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r:id="rId15"/>
    <sheet name="未售清单-仓储" sheetId="82" r:id="rId16"/>
    <sheet name="未售清单-车位" sheetId="83" r:id="rId17"/>
    <sheet name="数据-汇总表" sheetId="6" r:id="rId18"/>
    <sheet name="数据-取费表" sheetId="1" r:id="rId19"/>
    <sheet name="估价对象房地状况" sheetId="20" state="hidden" r:id="rId20"/>
    <sheet name="系统读取表" sheetId="74" r:id="rId21"/>
    <sheet name="结果表" sheetId="9" r:id="rId22"/>
    <sheet name="成本法" sheetId="68" r:id="rId23"/>
    <sheet name="成本法 (元)" sheetId="69" state="hidden" r:id="rId24"/>
    <sheet name="土地比较法-住宅、综合" sheetId="39" r:id="rId25"/>
    <sheet name="土地案例" sheetId="84" r:id="rId26"/>
    <sheet name="假设开发法" sheetId="12" r:id="rId27"/>
    <sheet name="收益法" sheetId="15" state="hidden" r:id="rId28"/>
    <sheet name="收益法 (元)" sheetId="67" state="hidden" r:id="rId29"/>
    <sheet name="收益法-酒店模型" sheetId="77" state="hidden" r:id="rId30"/>
    <sheet name="收益法（汇总）" sheetId="70" state="hidden" r:id="rId31"/>
    <sheet name="项目成交情况" sheetId="85" r:id="rId32"/>
    <sheet name="比较法-住宅" sheetId="21" r:id="rId33"/>
    <sheet name="比较法-商业" sheetId="33" state="hidden" r:id="rId34"/>
    <sheet name="比较法-办公" sheetId="34" state="hidden" r:id="rId35"/>
    <sheet name="比较法-工业" sheetId="37" state="hidden" r:id="rId36"/>
    <sheet name="住宅案例" sheetId="86" r:id="rId37"/>
    <sheet name="比较法-车位" sheetId="35" r:id="rId38"/>
    <sheet name="车位案例" sheetId="87" r:id="rId39"/>
    <sheet name="比较法-仓储" sheetId="36" r:id="rId40"/>
    <sheet name="仓储案例" sheetId="88" r:id="rId41"/>
    <sheet name="土地比较法-工业" sheetId="40" state="hidden" r:id="rId42"/>
    <sheet name="典型户型修正" sheetId="31" state="hidden" r:id="rId43"/>
    <sheet name="基准地价（汇总）" sheetId="76" state="hidden" r:id="rId44"/>
    <sheet name="基准地价修正" sheetId="4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34" hidden="1">'比较法-办公'!$A$1:$L$50</definedName>
    <definedName name="_xlnm._FilterDatabase" localSheetId="39" hidden="1">'比较法-仓储'!$A$1:$L$37</definedName>
    <definedName name="_xlnm._FilterDatabase" localSheetId="37"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41" hidden="1">'土地比较法-工业'!$A$1:$L$43</definedName>
    <definedName name="_xlnm._FilterDatabase" localSheetId="24"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34">'比较法-办公'!$A$1:$K$55,'比较法-办公'!$A$58:$M$132</definedName>
    <definedName name="_xlnm.Print_Area" localSheetId="39">'比较法-仓储'!$A$1:$K$42,'比较法-仓储'!$A$45:$M$96</definedName>
    <definedName name="_xlnm.Print_Area" localSheetId="37">'比较法-车位'!$A$1:$K$44,'比较法-车位'!$A$47:$M$102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26">假设开发法!$A$1:$K$32</definedName>
    <definedName name="_xlnm.Print_Area" localSheetId="21">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7">'数据-汇总表'!$A$1:$P$32</definedName>
    <definedName name="_xlnm.Print_Area" localSheetId="41">'土地比较法-工业'!$A$1:$K$61,'土地比较法-工业'!$A$64:$M$121</definedName>
    <definedName name="_xlnm.Print_Area" localSheetId="2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25">'[1]比较法-办公'!$B$119:$M$119</definedName>
    <definedName name="办公层高" localSheetId="31">'[1]比较法-办公'!$B$119:$M$119</definedName>
    <definedName name="办公层高">'比较法-办公'!$B$119:$M$119</definedName>
    <definedName name="办公朝向" localSheetId="25">'[1]比较法-办公'!$B$91:$M$91</definedName>
    <definedName name="办公朝向" localSheetId="31">'[1]比较法-办公'!$B$91:$M$91</definedName>
    <definedName name="办公朝向">'比较法-办公'!$B$91:$M$91</definedName>
    <definedName name="办公道路级别" localSheetId="25">'[1]比较法-办公'!$B$87:$M$87</definedName>
    <definedName name="办公道路级别" localSheetId="31">'[1]比较法-办公'!$B$87:$M$87</definedName>
    <definedName name="办公道路级别">'比较法-办公'!$B$87:$M$87</definedName>
    <definedName name="办公公共部分装修" localSheetId="25">'[1]比较法-办公'!$B$108:$M$108</definedName>
    <definedName name="办公公共部分装修" localSheetId="31">'[1]比较法-办公'!$B$108:$M$108</definedName>
    <definedName name="办公公共部分装修">'比较法-办公'!$B$108:$M$108</definedName>
    <definedName name="办公基础设施水平" localSheetId="25">'[1]比较法-办公'!$B$117:$M$117</definedName>
    <definedName name="办公基础设施水平" localSheetId="31">'[1]比较法-办公'!$B$117:$M$117</definedName>
    <definedName name="办公基础设施水平">'比较法-办公'!$B$117:$M$117</definedName>
    <definedName name="办公集聚程度" localSheetId="25">[1]定义!$M$1:$M$6</definedName>
    <definedName name="办公集聚程度" localSheetId="31">[1]定义!$M$1:$M$6</definedName>
    <definedName name="办公集聚程度">定义!$M$1:$M$6</definedName>
    <definedName name="办公建筑结构" localSheetId="25">'[1]比较法-办公'!$B$106:$M$106</definedName>
    <definedName name="办公建筑结构" localSheetId="31">'[1]比较法-办公'!$B$106:$M$106</definedName>
    <definedName name="办公建筑结构">'比较法-办公'!$B$106:$M$106</definedName>
    <definedName name="办公建筑类型" localSheetId="25">'[1]比较法-办公'!$B$101:$M$101</definedName>
    <definedName name="办公建筑类型" localSheetId="31">'[1]比较法-办公'!$B$101:$M$101</definedName>
    <definedName name="办公建筑类型">'比较法-办公'!$B$101:$M$101</definedName>
    <definedName name="办公交易情况" localSheetId="25">'[1]比较法-办公'!$A$62:$M$62</definedName>
    <definedName name="办公交易情况" localSheetId="31">'[1]比较法-办公'!$A$62:$M$62</definedName>
    <definedName name="办公交易情况">'比较法-办公'!$A$62:$M$62</definedName>
    <definedName name="办公楼层" localSheetId="25">'[1]比较法-办公'!$B$89:$M$89</definedName>
    <definedName name="办公楼层" localSheetId="31">'[1]比较法-办公'!$B$89:$M$89</definedName>
    <definedName name="办公楼层">'比较法-办公'!$B$89:$M$89</definedName>
    <definedName name="办公内部装修" localSheetId="25">'[1]比较法-办公'!$B$123:$M$123</definedName>
    <definedName name="办公内部装修" localSheetId="31">'[1]比较法-办公'!$B$123:$M$123</definedName>
    <definedName name="办公内部装修">'比较法-办公'!$B$123:$M$123</definedName>
    <definedName name="办公物业管理" localSheetId="25">'[1]比较法-办公'!$B$115:$M$115</definedName>
    <definedName name="办公物业管理" localSheetId="31">'[1]比较法-办公'!$B$115:$M$115</definedName>
    <definedName name="办公物业管理">'比较法-办公'!$B$115:$M$115</definedName>
    <definedName name="办公用途" localSheetId="25">'[1]比较法-办公'!$B$64:$M$64</definedName>
    <definedName name="办公用途" localSheetId="31">'[1]比较法-办公'!$B$64:$M$64</definedName>
    <definedName name="办公用途">'比较法-办公'!$B$64:$M$64</definedName>
    <definedName name="仓储公共部分装修" localSheetId="25">'[1]比较法-仓储'!$B$77:$M$77</definedName>
    <definedName name="仓储公共部分装修" localSheetId="31">'[1]比较法-仓储'!$B$77:$M$77</definedName>
    <definedName name="仓储公共部分装修">'比较法-仓储'!$B$77:$M$77</definedName>
    <definedName name="仓储交易情况" localSheetId="25">'[1]比较法-仓储'!$A$49:$M$49</definedName>
    <definedName name="仓储交易情况" localSheetId="31">'[1]比较法-仓储'!$A$49:$M$49</definedName>
    <definedName name="仓储交易情况">'比较法-仓储'!$A$49:$M$49</definedName>
    <definedName name="仓储楼层" localSheetId="25">'[1]比较法-仓储'!$B$69:$M$69</definedName>
    <definedName name="仓储楼层" localSheetId="31">'[1]比较法-仓储'!$B$69:$M$69</definedName>
    <definedName name="仓储楼层">'比较法-仓储'!$B$69:$M$69</definedName>
    <definedName name="仓储物业等级" localSheetId="25">'[1]比较法-仓储'!$B$82:$M$82</definedName>
    <definedName name="仓储物业等级" localSheetId="31">'[1]比较法-仓储'!$B$82:$M$82</definedName>
    <definedName name="仓储物业等级">'比较法-仓储'!$B$82:$M$82</definedName>
    <definedName name="仓储用途" localSheetId="25">'[1]比较法-仓储'!$B$51:$M$51</definedName>
    <definedName name="仓储用途" localSheetId="31">'[1]比较法-仓储'!$B$51:$M$51</definedName>
    <definedName name="仓储用途">'比较法-仓储'!$B$51:$M$51</definedName>
    <definedName name="产业集聚程度" localSheetId="25">[1]定义!$N$1:$N$6</definedName>
    <definedName name="产业集聚程度" localSheetId="31">[1]定义!$N$1:$N$6</definedName>
    <definedName name="产业集聚程度">定义!$N$1:$N$6</definedName>
    <definedName name="车位公共部分装修" localSheetId="25">'[1]比较法-车位'!$B$83:$M$83</definedName>
    <definedName name="车位公共部分装修" localSheetId="31">'[1]比较法-车位'!$B$83:$M$83</definedName>
    <definedName name="车位公共部分装修">'比较法-车位'!$B$83:$M$83</definedName>
    <definedName name="车位交易情况" localSheetId="25">'[1]比较法-车位'!$A$51:$M$51</definedName>
    <definedName name="车位交易情况" localSheetId="31">'[1]比较法-车位'!$A$51:$M$51</definedName>
    <definedName name="车位交易情况">'比较法-车位'!$A$51:$M$51</definedName>
    <definedName name="车位类型" localSheetId="25">'[1]比较法-车位'!$B$93:$M$93</definedName>
    <definedName name="车位类型" localSheetId="31">'[1]比较法-车位'!$B$93:$M$93</definedName>
    <definedName name="车位类型">'比较法-车位'!$B$93:$M$93</definedName>
    <definedName name="车位楼层" localSheetId="25">'[1]比较法-车位'!$B$71:$M$71</definedName>
    <definedName name="车位楼层" localSheetId="31">'[1]比较法-车位'!$B$71:$M$71</definedName>
    <definedName name="车位楼层">'比较法-车位'!$B$71:$M$71</definedName>
    <definedName name="车位配套类型" localSheetId="25">'[1]比较法-车位'!$B$79:$M$79</definedName>
    <definedName name="车位配套类型" localSheetId="31">'[1]比较法-车位'!$B$79:$M$79</definedName>
    <definedName name="车位配套类型">'比较法-车位'!$B$79:$M$79</definedName>
    <definedName name="车位物业等级" localSheetId="25">'[1]比较法-车位'!$B$88:$M$88</definedName>
    <definedName name="车位物业等级" localSheetId="31">'[1]比较法-车位'!$B$88:$M$88</definedName>
    <definedName name="车位物业等级">'比较法-车位'!$B$88:$M$88</definedName>
    <definedName name="车位用途" localSheetId="25">'[1]比较法-车位'!$B$53:$M$53</definedName>
    <definedName name="车位用途" localSheetId="31">'[1]比较法-车位'!$B$53:$M$53</definedName>
    <definedName name="车位用途">'比较法-车位'!$B$53:$M$53</definedName>
    <definedName name="城镇土地纳税等级分级范围" localSheetId="25">'[1]数据-取费表'!$A$53:$A$63</definedName>
    <definedName name="城镇土地纳税等级分级范围" localSheetId="31">'[1]数据-取费表'!$A$53:$A$63</definedName>
    <definedName name="城镇土地纳税等级分级范围">'数据-取费表'!$A$53:$A$63</definedName>
    <definedName name="单价内涵" localSheetId="25">[1]定义!$V$1:$V$3</definedName>
    <definedName name="单价内涵" localSheetId="31">[1]定义!$V$1:$V$3</definedName>
    <definedName name="单价内涵">定义!$V$1:$V$3</definedName>
    <definedName name="地类判定" localSheetId="25">[1]定义!$H$1:$H$9</definedName>
    <definedName name="地类判定" localSheetId="31">[1]定义!$H$1:$H$9</definedName>
    <definedName name="地类判定">定义!$H$1:$H$9</definedName>
    <definedName name="二级">区片价!$J$1:$J$21</definedName>
    <definedName name="二级分类" localSheetId="25">[1]修正!$C$19:$C$51</definedName>
    <definedName name="二级分类" localSheetId="31">[1]修正!$C$19:$C$51</definedName>
    <definedName name="二级分类">修正!$C$19:$C$51</definedName>
    <definedName name="法定最高年限" localSheetId="25">[1]定义!$G$1:$G$6</definedName>
    <definedName name="法定最高年限" localSheetId="31">[1]定义!$G$1:$G$6</definedName>
    <definedName name="法定最高年限">定义!$G$1:$G$6</definedName>
    <definedName name="工业公共部分装修" localSheetId="25">'[1]比较法-工业'!$B$95:$M$95</definedName>
    <definedName name="工业公共部分装修" localSheetId="31">'[1]比较法-工业'!$B$95:$M$95</definedName>
    <definedName name="工业公共部分装修">'比较法-工业'!$B$95:$M$95</definedName>
    <definedName name="工业基础设施水平" localSheetId="25">'[1]比较法-工业'!$B$102:$M$102</definedName>
    <definedName name="工业基础设施水平" localSheetId="31">'[1]比较法-工业'!$B$102:$M$102</definedName>
    <definedName name="工业基础设施水平">'比较法-工业'!$B$102:$M$102</definedName>
    <definedName name="工业建筑结构" localSheetId="25">'[1]比较法-工业'!$B$93:$M$93</definedName>
    <definedName name="工业建筑结构" localSheetId="31">'[1]比较法-工业'!$B$93:$M$93</definedName>
    <definedName name="工业建筑结构">'比较法-工业'!$B$93:$M$93</definedName>
    <definedName name="工业建筑类型" localSheetId="25">'[1]比较法-工业'!$B$88:$M$88</definedName>
    <definedName name="工业建筑类型" localSheetId="31">'[1]比较法-工业'!$B$88:$M$88</definedName>
    <definedName name="工业建筑类型">'比较法-工业'!$B$88:$M$88</definedName>
    <definedName name="工业交易情况" localSheetId="25">'[1]比较法-工业'!$A$55:$M$55</definedName>
    <definedName name="工业交易情况" localSheetId="31">'[1]比较法-工业'!$A$55:$M$55</definedName>
    <definedName name="工业交易情况">'比较法-工业'!$A$55:$M$55</definedName>
    <definedName name="工业内部装修" localSheetId="25">'[1]比较法-工业'!$B$104:$M$104</definedName>
    <definedName name="工业内部装修" localSheetId="31">'[1]比较法-工业'!$B$104:$M$104</definedName>
    <definedName name="工业内部装修">'比较法-工业'!$B$104:$M$104</definedName>
    <definedName name="工业物业管理" localSheetId="25">'[1]比较法-工业'!$B$100:$M$100</definedName>
    <definedName name="工业物业管理" localSheetId="31">'[1]比较法-工业'!$B$100:$M$100</definedName>
    <definedName name="工业物业管理">'比较法-工业'!$B$100:$M$100</definedName>
    <definedName name="工业用途" localSheetId="25">'[1]比较法-工业'!$B$57:$M$57</definedName>
    <definedName name="工业用途" localSheetId="31">'[1]比较法-工业'!$B$57:$M$57</definedName>
    <definedName name="工业用途">'比较法-工业'!$B$57:$M$57</definedName>
    <definedName name="公共配套设施" localSheetId="25">[1]定义!$Q$1:$Q$6</definedName>
    <definedName name="公共配套设施" localSheetId="31">[1]定义!$Q$1:$Q$6</definedName>
    <definedName name="公共配套设施">定义!$Q$1:$Q$6</definedName>
    <definedName name="估价范围判定" localSheetId="25">[1]定义!$D$1:$D$4</definedName>
    <definedName name="估价范围判定" localSheetId="31">[1]定义!$D$1:$D$4</definedName>
    <definedName name="估价范围判定">定义!$D$1:$D$4</definedName>
    <definedName name="估价方法" localSheetId="25">[1]定义!$B$1:$B$50</definedName>
    <definedName name="估价方法" localSheetId="31">[1]定义!$B$1:$B$50</definedName>
    <definedName name="估价方法">定义!$B$1:$B$50</definedName>
    <definedName name="环境" localSheetId="25">[1]定义!$S$1:$S$6</definedName>
    <definedName name="环境" localSheetId="31">[1]定义!$S$1:$S$6</definedName>
    <definedName name="环境">定义!$S$1:$S$6</definedName>
    <definedName name="基础设施水平" localSheetId="25">[1]定义!$R$1:$R$6</definedName>
    <definedName name="基础设施水平" localSheetId="31">[1]定义!$R$1:$R$6</definedName>
    <definedName name="基础设施水平">定义!$R$1:$R$6</definedName>
    <definedName name="季度">基准地价修正!$Q$19:$AD$19</definedName>
    <definedName name="价值类型2" localSheetId="25">[1]定义!$B$54:$B$56</definedName>
    <definedName name="价值类型2" localSheetId="31">[1]定义!$B$54:$B$56</definedName>
    <definedName name="价值类型2">定义!$B$54:$B$56</definedName>
    <definedName name="交通便捷度" localSheetId="25">[1]定义!$O$1:$O$6</definedName>
    <definedName name="交通便捷度" localSheetId="31">[1]定义!$O$1:$O$6</definedName>
    <definedName name="交通便捷度">定义!$O$1:$O$6</definedName>
    <definedName name="九级">区片价!$Q$1:$Q$51</definedName>
    <definedName name="居住社区成熟度" localSheetId="25">[1]定义!$K$1:$K$6</definedName>
    <definedName name="居住社区成熟度" localSheetId="31">[1]定义!$K$1:$K$6</definedName>
    <definedName name="居住社区成熟度">定义!$K$1:$K$6</definedName>
    <definedName name="类别" localSheetId="25">[1]定义!$J$1:$J$3</definedName>
    <definedName name="类别" localSheetId="31">[1]定义!$J$1:$J$3</definedName>
    <definedName name="类别">定义!$J$1:$J$3</definedName>
    <definedName name="临街状况" localSheetId="25">[1]定义!$T$1:$T$5</definedName>
    <definedName name="临街状况" localSheetId="31">[1]定义!$T$1:$T$5</definedName>
    <definedName name="临街状况">定义!$T$1:$T$5</definedName>
    <definedName name="六级">区片价!$N$1:$N$64</definedName>
    <definedName name="内部装修维护情况" localSheetId="25">[1]定义!$U$1:$U$6</definedName>
    <definedName name="内部装修维护情况" localSheetId="31">[1]定义!$U$1:$U$6</definedName>
    <definedName name="内部装修维护情况">定义!$U$1:$U$6</definedName>
    <definedName name="七级">区片价!$O$1:$O$45</definedName>
    <definedName name="七通一平" localSheetId="25">[1]修正!$A$8:$A$16</definedName>
    <definedName name="七通一平" localSheetId="31">[1]修正!$A$8:$A$16</definedName>
    <definedName name="七通一平">修正!$A$8:$A$16</definedName>
    <definedName name="区域土地利用方向" localSheetId="25">[1]定义!$P$1:$P$6</definedName>
    <definedName name="区域土地利用方向" localSheetId="31">[1]定义!$P$1:$P$6</definedName>
    <definedName name="区域土地利用方向">定义!$P$1:$P$6</definedName>
    <definedName name="三级">区片价!$K$1:$K$26</definedName>
    <definedName name="商业层高" localSheetId="25">'[1]比较法-商业'!$B$116:$M$116</definedName>
    <definedName name="商业层高" localSheetId="31">'[1]比较法-商业'!$B$116:$M$116</definedName>
    <definedName name="商业层高">'比较法-商业'!$B$116:$M$116</definedName>
    <definedName name="商业成新度">'比较法-商业'!$B$109:$M$109</definedName>
    <definedName name="商业繁华度" localSheetId="25">[1]定义!$L$1:$L$6</definedName>
    <definedName name="商业繁华度" localSheetId="31">[1]定义!$L$1:$L$6</definedName>
    <definedName name="商业繁华度">定义!$L$1:$L$6</definedName>
    <definedName name="商业公共部分装修" localSheetId="25">'[1]比较法-商业'!$B$107:$M$107</definedName>
    <definedName name="商业公共部分装修" localSheetId="31">'[1]比较法-商业'!$B$107:$M$107</definedName>
    <definedName name="商业公共部分装修">'比较法-商业'!$B$107:$M$107</definedName>
    <definedName name="商业基础设施水平" localSheetId="25">'[1]比较法-商业'!$B$112:$M$112</definedName>
    <definedName name="商业基础设施水平" localSheetId="31">'[1]比较法-商业'!$B$112:$M$112</definedName>
    <definedName name="商业基础设施水平">'比较法-商业'!$B$112:$M$112</definedName>
    <definedName name="商业建筑结构" localSheetId="25">'[1]比较法-商业'!$B$105:$M$105</definedName>
    <definedName name="商业建筑结构" localSheetId="31">'[1]比较法-商业'!$B$105:$M$105</definedName>
    <definedName name="商业建筑结构">'比较法-商业'!$B$105:$M$105</definedName>
    <definedName name="商业交易情况" localSheetId="25">'[1]比较法-商业'!$A$61:$M$61</definedName>
    <definedName name="商业交易情况" localSheetId="31">'[1]比较法-商业'!$A$61:$M$61</definedName>
    <definedName name="商业交易情况">'比较法-商业'!$A$61:$M$61</definedName>
    <definedName name="商业街名称" localSheetId="25">[1]修正!$C$71:$C$138</definedName>
    <definedName name="商业街名称" localSheetId="31">[1]修正!$C$71:$C$138</definedName>
    <definedName name="商业街名称">修正!$C$71:$C$138</definedName>
    <definedName name="商业进深比" localSheetId="25">'[1]比较法-商业'!$B$120:$M$120</definedName>
    <definedName name="商业进深比" localSheetId="31">'[1]比较法-商业'!$B$120:$M$120</definedName>
    <definedName name="商业进深比">'比较法-商业'!$B$120:$M$120</definedName>
    <definedName name="商业类型" localSheetId="25">'[1]比较法-商业'!$B$100:$M$100</definedName>
    <definedName name="商业类型" localSheetId="31">'[1]比较法-商业'!$B$100:$M$100</definedName>
    <definedName name="商业类型">'比较法-商业'!$B$100:$M$100</definedName>
    <definedName name="商业临街状况" localSheetId="25">'[1]比较法-商业'!$B$86:$M$86</definedName>
    <definedName name="商业临街状况" localSheetId="31">'[1]比较法-商业'!$B$86:$M$86</definedName>
    <definedName name="商业临街状况">'比较法-商业'!$B$86:$M$86</definedName>
    <definedName name="商业楼层" localSheetId="25">'[1]比较法-商业'!$B$92:$M$92</definedName>
    <definedName name="商业楼层" localSheetId="31">'[1]比较法-商业'!$B$92:$M$92</definedName>
    <definedName name="商业楼层">'比较法-商业'!$B$92:$M$92</definedName>
    <definedName name="商业内部装修" localSheetId="25">'[1]比较法-商业'!$B$122:$M$122</definedName>
    <definedName name="商业内部装修" localSheetId="31">'[1]比较法-商业'!$B$122:$M$122</definedName>
    <definedName name="商业内部装修">'比较法-商业'!$B$122:$M$122</definedName>
    <definedName name="商业人流量" localSheetId="25">'[1]比较法-商业'!$B$90:$M$90</definedName>
    <definedName name="商业人流量" localSheetId="31">'[1]比较法-商业'!$B$90:$M$90</definedName>
    <definedName name="商业人流量">'比较法-商业'!$B$90:$M$90</definedName>
    <definedName name="商业业态" localSheetId="25">'[1]比较法-商业'!$B$114:$M$114</definedName>
    <definedName name="商业业态" localSheetId="31">'[1]比较法-商业'!$B$114:$M$114</definedName>
    <definedName name="商业业态">'比较法-商业'!$B$114:$M$114</definedName>
    <definedName name="商业用途" localSheetId="25">'[1]比较法-商业'!$B$63:$M$63</definedName>
    <definedName name="商业用途" localSheetId="3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5">'[1]比较法-仓储'!$B$89:$M$89</definedName>
    <definedName name="是否封闭" localSheetId="31">'[1]比较法-仓储'!$B$89:$M$89</definedName>
    <definedName name="是否封闭">'比较法-仓储'!$B$89:$M$89</definedName>
    <definedName name="是否直接入户" localSheetId="25">'[1]比较法-车位'!$B$95:$M$95</definedName>
    <definedName name="是否直接入户" localSheetId="31">'[1]比较法-车位'!$B$95:$M$95</definedName>
    <definedName name="是否直接入户">'比较法-车位'!$B$95:$M$95</definedName>
    <definedName name="四级">区片价!$L$1:$L$33</definedName>
    <definedName name="套工道路等级" localSheetId="25">'[1]土地比较法-工业'!$B$97:$M$97</definedName>
    <definedName name="套工道路等级" localSheetId="31">'[1]土地比较法-工业'!$B$97:$M$97</definedName>
    <definedName name="套工道路等级">'土地比较法-工业'!$B$97:$M$97</definedName>
    <definedName name="套工地质条件" localSheetId="25">'[1]土地比较法-工业'!$B$114:$M$114</definedName>
    <definedName name="套工地质条件" localSheetId="31">'[1]土地比较法-工业'!$B$114:$M$114</definedName>
    <definedName name="套工地质条件">'土地比较法-工业'!$B$114:$M$114</definedName>
    <definedName name="套工交易情况" localSheetId="25">'[1]土地比较法-住宅、综合'!$A$72:$M$72</definedName>
    <definedName name="套工交易情况" localSheetId="31">'[1]土地比较法-住宅、综合'!$A$72:$M$72</definedName>
    <definedName name="套工交易情况">'土地比较法-住宅、综合'!$A$72:$M$72</definedName>
    <definedName name="套工土地级别" localSheetId="25">'[1]土地比较法-工业'!$B$99:$M$99</definedName>
    <definedName name="套工土地级别" localSheetId="31">'[1]土地比较法-工业'!$B$99:$M$99</definedName>
    <definedName name="套工土地级别">'土地比较法-工业'!$B$99:$M$99</definedName>
    <definedName name="套工用途" localSheetId="25">'[1]土地比较法-工业'!$B$70:$M$70</definedName>
    <definedName name="套工用途" localSheetId="31">'[1]土地比较法-工业'!$B$70:$M$70</definedName>
    <definedName name="套工用途">'土地比较法-工业'!$B$70:$M$70</definedName>
    <definedName name="套工宗地开发程度" localSheetId="25">'[1]土地比较法-工业'!$B$112:$M$112</definedName>
    <definedName name="套工宗地开发程度" localSheetId="31">'[1]土地比较法-工业'!$B$112:$M$112</definedName>
    <definedName name="套工宗地开发程度">'土地比较法-工业'!$B$112:$M$112</definedName>
    <definedName name="套工宗地形状" localSheetId="25">'[1]土地比较法-工业'!$B$110:$M$110</definedName>
    <definedName name="套工宗地形状" localSheetId="31">'[1]土地比较法-工业'!$B$110:$M$110</definedName>
    <definedName name="套工宗地形状">'土地比较法-工业'!$B$110:$M$110</definedName>
    <definedName name="套综道路等级" localSheetId="25">'[1]土地比较法-住宅、综合'!$B$105:$M$105</definedName>
    <definedName name="套综道路等级" localSheetId="31">'[1]土地比较法-住宅、综合'!$B$105:$M$105</definedName>
    <definedName name="套综道路等级">'土地比较法-住宅、综合'!$B$105:$M$105</definedName>
    <definedName name="套综工程地质条件" localSheetId="25">'[1]土地比较法-住宅、综合'!$B$124:$M$124</definedName>
    <definedName name="套综工程地质条件" localSheetId="31">'[1]土地比较法-住宅、综合'!$B$124:$M$124</definedName>
    <definedName name="套综工程地质条件">'土地比较法-住宅、综合'!$B$124:$M$124</definedName>
    <definedName name="套综交易情况" localSheetId="25">'[1]土地比较法-住宅、综合'!$A$72:$M$72</definedName>
    <definedName name="套综交易情况" localSheetId="31">'[1]土地比较法-住宅、综合'!$A$72:$M$72</definedName>
    <definedName name="套综交易情况">'土地比较法-住宅、综合'!$A$72:$M$72</definedName>
    <definedName name="套综临街宽度及深度" localSheetId="25">'[1]土地比较法-住宅、综合'!$B$120:$M$120</definedName>
    <definedName name="套综临街宽度及深度" localSheetId="31">'[1]土地比较法-住宅、综合'!$B$120:$M$120</definedName>
    <definedName name="套综临街宽度及深度">'土地比较法-住宅、综合'!$B$120:$M$120</definedName>
    <definedName name="套综土地级别" localSheetId="25">'[1]土地比较法-住宅、综合'!$B$107:$M$107</definedName>
    <definedName name="套综土地级别" localSheetId="31">'[1]土地比较法-住宅、综合'!$B$107:$M$107</definedName>
    <definedName name="套综土地级别">'土地比较法-住宅、综合'!$B$107:$M$107</definedName>
    <definedName name="套综用途" localSheetId="25">'[1]土地比较法-住宅、综合'!$B$74:$M$74</definedName>
    <definedName name="套综用途" localSheetId="31">'[1]土地比较法-住宅、综合'!$B$74:$M$74</definedName>
    <definedName name="套综用途">'土地比较法-住宅、综合'!$B$74:$M$74</definedName>
    <definedName name="套综宗地内开发程度" localSheetId="25">'[1]土地比较法-住宅、综合'!$B$122:$M$122</definedName>
    <definedName name="套综宗地内开发程度" localSheetId="31">'[1]土地比较法-住宅、综合'!$B$122:$M$122</definedName>
    <definedName name="套综宗地内开发程度">'土地比较法-住宅、综合'!$B$122:$M$122</definedName>
    <definedName name="套综宗地形状" localSheetId="25">'[1]土地比较法-住宅、综合'!$B$118:$M$118</definedName>
    <definedName name="套综宗地形状" localSheetId="31">'[1]土地比较法-住宅、综合'!$B$118:$M$118</definedName>
    <definedName name="套综宗地形状">'土地比较法-住宅、综合'!$B$118:$M$118</definedName>
    <definedName name="土地估价师">估价师及机构信息!$D$3:$D$24</definedName>
    <definedName name="土地级别" localSheetId="25">[1]定义!$C$1:$C$14</definedName>
    <definedName name="土地级别" localSheetId="31">[1]定义!$C$1:$C$14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31">[1]定义!$E$2:$E$4</definedName>
    <definedName name="位置">定义!$E$2:$E$4</definedName>
    <definedName name="五等判定" localSheetId="25">[1]定义!$W$1:$W$6</definedName>
    <definedName name="五等判定" localSheetId="31">[1]定义!$W$1:$W$6</definedName>
    <definedName name="五等判定">定义!$W$1:$W$6</definedName>
    <definedName name="五级">区片价!$M$1:$M$41</definedName>
    <definedName name="项目类型" localSheetId="29">'[2]数据-汇总表'!$C$17:$C$26</definedName>
    <definedName name="项目类型" localSheetId="25">'[1]数据-汇总表'!$C$17:$C$26</definedName>
    <definedName name="项目类型" localSheetId="31">'[1]数据-汇总表'!$C$17:$C$26</definedName>
    <definedName name="项目类型">'数据-汇总表'!$C$17:$C$26</definedName>
    <definedName name="写字楼等级" localSheetId="25">'[1]比较法-办公'!$B$113:$M$113</definedName>
    <definedName name="写字楼等级" localSheetId="31">'[1]比较法-办公'!$B$113:$M$113</definedName>
    <definedName name="写字楼等级">'比较法-办公'!$B$113:$M$113</definedName>
    <definedName name="一级">区片价!$I$1:$I$6</definedName>
    <definedName name="一修多修正项2" localSheetId="25">[1]典型户型修正!$5:$5</definedName>
    <definedName name="一修多修正项2" localSheetId="31">[1]典型户型修正!$5:$5</definedName>
    <definedName name="一修多修正项2">典型户型修正!$5:$5</definedName>
    <definedName name="一修多修正项3" localSheetId="25">[1]典型户型修正!$7:$7</definedName>
    <definedName name="一修多修正项3" localSheetId="31">[1]典型户型修正!$7:$7</definedName>
    <definedName name="一修多修正项3">典型户型修正!$7:$7</definedName>
    <definedName name="一修多修正项4" localSheetId="25">[1]典型户型修正!$9:$9</definedName>
    <definedName name="一修多修正项4" localSheetId="31">[1]典型户型修正!$9:$9</definedName>
    <definedName name="一修多修正项4">典型户型修正!$9:$9</definedName>
    <definedName name="一修多修正项5" localSheetId="25">[1]典型户型修正!$11:$11</definedName>
    <definedName name="一修多修正项5" localSheetId="31">[1]典型户型修正!$11:$11</definedName>
    <definedName name="一修多修正项5">典型户型修正!$11:$11</definedName>
    <definedName name="一修多修正项6" localSheetId="25">[1]典型户型修正!$13:$13</definedName>
    <definedName name="一修多修正项6" localSheetId="31">[1]典型户型修正!$13:$13</definedName>
    <definedName name="一修多修正项6">典型户型修正!$13:$13</definedName>
    <definedName name="一修多修正项7" localSheetId="25">[1]典型户型修正!$15:$15</definedName>
    <definedName name="一修多修正项7" localSheetId="31">[1]典型户型修正!$15:$15</definedName>
    <definedName name="一修多修正项7">典型户型修正!$15:$15</definedName>
    <definedName name="一修多修正项8" localSheetId="25">[1]典型户型修正!$17:$17</definedName>
    <definedName name="一修多修正项8" localSheetId="31">[1]典型户型修正!$17:$17</definedName>
    <definedName name="一修多修正项8">典型户型修正!$17:$17</definedName>
    <definedName name="用途明细" localSheetId="25">[1]定义!$A$1:$A$50</definedName>
    <definedName name="用途明细" localSheetId="31">[1]定义!$A$1:$A$50</definedName>
    <definedName name="用途明细">定义!$A$1:$A$50</definedName>
    <definedName name="有无电梯" localSheetId="25">'[1]比较法-仓储'!$B$84:$M$84</definedName>
    <definedName name="有无电梯" localSheetId="31">'[1]比较法-仓储'!$B$84:$M$84</definedName>
    <definedName name="有无电梯">'比较法-仓储'!$B$84:$M$84</definedName>
    <definedName name="主用途" localSheetId="25">[1]定义!$F$1:$F$12</definedName>
    <definedName name="主用途" localSheetId="31">[1]定义!$F$1:$F$12</definedName>
    <definedName name="主用途">定义!$F$1:$F$12</definedName>
    <definedName name="住宅朝向" localSheetId="25">'[1]比较法-住宅'!$B$88:$M$88</definedName>
    <definedName name="住宅朝向" localSheetId="31">'[1]比较法-住宅'!$B$88:$M$88</definedName>
    <definedName name="住宅朝向">'比较法-住宅'!$B$88:$M$88</definedName>
    <definedName name="住宅房型" localSheetId="25">'[1]比较法-住宅'!$B$118:$M$118</definedName>
    <definedName name="住宅房型" localSheetId="31">'[1]比较法-住宅'!$B$118:$M$118</definedName>
    <definedName name="住宅房型">'比较法-住宅'!$B$118:$M$118</definedName>
    <definedName name="住宅公共部分装修" localSheetId="25">'[1]比较法-住宅'!$B$109:$M$109</definedName>
    <definedName name="住宅公共部分装修" localSheetId="31">'[1]比较法-住宅'!$B$109:$M$109</definedName>
    <definedName name="住宅公共部分装修">'比较法-住宅'!$B$109:$M$109</definedName>
    <definedName name="住宅基础设施水平" localSheetId="25">'[1]比较法-住宅'!$B$116:$M$116</definedName>
    <definedName name="住宅基础设施水平" localSheetId="31">'[1]比较法-住宅'!$B$116:$M$116</definedName>
    <definedName name="住宅基础设施水平">'比较法-住宅'!$B$116:$M$116</definedName>
    <definedName name="住宅建筑结构" localSheetId="25">'[1]比较法-住宅'!$B$105:$M$105</definedName>
    <definedName name="住宅建筑结构" localSheetId="31">'[1]比较法-住宅'!$B$105:$M$105</definedName>
    <definedName name="住宅建筑结构">'比较法-住宅'!$B$105:$M$105</definedName>
    <definedName name="住宅建筑类型" localSheetId="25">'[1]比较法-住宅'!$B$100:$M$100</definedName>
    <definedName name="住宅建筑类型" localSheetId="31">'[1]比较法-住宅'!$B$100:$M$100</definedName>
    <definedName name="住宅建筑类型">'比较法-住宅'!$B$100:$M$100</definedName>
    <definedName name="住宅建筑品质" localSheetId="25">'[1]比较法-住宅'!$B$107:$M$107</definedName>
    <definedName name="住宅建筑品质" localSheetId="31">'[1]比较法-住宅'!$B$107:$M$107</definedName>
    <definedName name="住宅建筑品质">'比较法-住宅'!$B$107:$M$107</definedName>
    <definedName name="住宅交易情况" localSheetId="25">'[1]比较法-住宅'!$A$61:$M$61</definedName>
    <definedName name="住宅交易情况" localSheetId="31">'[1]比较法-住宅'!$A$61:$M$61</definedName>
    <definedName name="住宅交易情况">'比较法-住宅'!$A$61:$M$61</definedName>
    <definedName name="住宅楼层" localSheetId="25">'[1]比较法-住宅'!$B$86:$M$86</definedName>
    <definedName name="住宅楼层" localSheetId="31">'[1]比较法-住宅'!$B$86:$M$86</definedName>
    <definedName name="住宅楼层">'比较法-住宅'!$B$86:$M$86</definedName>
    <definedName name="住宅内部装修" localSheetId="25">'[1]比较法-住宅'!$B$122:$M$122</definedName>
    <definedName name="住宅内部装修" localSheetId="31">'[1]比较法-住宅'!$B$122:$M$122</definedName>
    <definedName name="住宅内部装修">'比较法-住宅'!$B$122:$M$122</definedName>
    <definedName name="住宅物业管理" localSheetId="25">'[1]比较法-住宅'!$B$114:$M$114</definedName>
    <definedName name="住宅物业管理" localSheetId="31">'[1]比较法-住宅'!$B$114:$M$114</definedName>
    <definedName name="住宅物业管理">'比较法-住宅'!$B$114:$M$114</definedName>
    <definedName name="住宅用途" localSheetId="25">'[1]比较法-住宅'!$B$63:$M$63</definedName>
    <definedName name="住宅用途" localSheetId="31">'[1]比较法-住宅'!$B$63:$M$63</definedName>
    <definedName name="住宅用途">'比较法-住宅'!$B$63:$M$63</definedName>
    <definedName name="住宅主力户型面积">'比较法-住宅'!$B$120:$M$120</definedName>
    <definedName name="注册房地产估价师" localSheetId="25">[1]估价师及机构信息!$A$3:$A$16</definedName>
    <definedName name="注册房地产估价师" localSheetId="31">[1]估价师及机构信息!$A$3:$A$16</definedName>
    <definedName name="注册房地产估价师">估价师及机构信息!$A$3:$A$16</definedName>
  </definedNames>
  <calcPr calcId="144525" iterate="1"/>
</workbook>
</file>

<file path=xl/calcChain.xml><?xml version="1.0" encoding="utf-8"?>
<calcChain xmlns="http://schemas.openxmlformats.org/spreadsheetml/2006/main">
  <c r="T104" i="85" l="1"/>
  <c r="C29" i="80"/>
  <c r="H196" i="81" l="1"/>
  <c r="H195" i="81"/>
  <c r="H194" i="81"/>
  <c r="AN16" i="3"/>
  <c r="AJ18" i="3"/>
  <c r="AN18" i="3"/>
  <c r="AF18" i="3"/>
  <c r="AH17" i="3"/>
  <c r="AD16" i="3"/>
  <c r="AD19" i="3"/>
  <c r="B26" i="80" l="1"/>
  <c r="G26" i="80"/>
  <c r="F27" i="80"/>
  <c r="AH8" i="1"/>
  <c r="I7" i="36" l="1"/>
  <c r="G7" i="36"/>
  <c r="E7" i="36"/>
  <c r="C31" i="35"/>
  <c r="I37" i="35"/>
  <c r="I31" i="35"/>
  <c r="I7" i="35"/>
  <c r="G37" i="35"/>
  <c r="G31" i="35"/>
  <c r="G7" i="35"/>
  <c r="E37" i="35"/>
  <c r="E31" i="35"/>
  <c r="E7" i="35"/>
  <c r="C11" i="21"/>
  <c r="I7" i="21"/>
  <c r="G7" i="21"/>
  <c r="E7" i="21"/>
  <c r="S102" i="87"/>
  <c r="S101" i="87"/>
  <c r="S62" i="87"/>
  <c r="S61" i="87"/>
  <c r="S20" i="87"/>
  <c r="S19" i="87"/>
  <c r="C38" i="39"/>
  <c r="C11" i="39"/>
  <c r="C71" i="39"/>
  <c r="D71" i="39"/>
  <c r="N7" i="1"/>
  <c r="N8" i="1" s="1"/>
  <c r="K14" i="3"/>
  <c r="H452" i="83"/>
  <c r="H470" i="82"/>
  <c r="D28" i="80" s="1"/>
  <c r="H193" i="81"/>
  <c r="E34" i="80"/>
  <c r="E33" i="80"/>
  <c r="E32" i="80"/>
  <c r="E35" i="80" s="1"/>
  <c r="E28" i="80"/>
  <c r="D34" i="80" s="1"/>
  <c r="C28" i="80"/>
  <c r="E27" i="80"/>
  <c r="M15" i="3" s="1"/>
  <c r="D27" i="80"/>
  <c r="C27" i="80"/>
  <c r="B25" i="80"/>
  <c r="B24" i="80"/>
  <c r="B23" i="80"/>
  <c r="B22" i="80"/>
  <c r="B21" i="80"/>
  <c r="B20" i="80"/>
  <c r="B19" i="80"/>
  <c r="B18" i="80"/>
  <c r="B17" i="80"/>
  <c r="B16" i="80"/>
  <c r="B15" i="80"/>
  <c r="B14" i="80"/>
  <c r="B13" i="80"/>
  <c r="B12" i="80"/>
  <c r="B11" i="80"/>
  <c r="B10" i="80"/>
  <c r="B9" i="80"/>
  <c r="B8" i="80"/>
  <c r="B7" i="80"/>
  <c r="B6" i="80"/>
  <c r="B5" i="80"/>
  <c r="B4" i="80"/>
  <c r="B3" i="80"/>
  <c r="B2" i="80"/>
  <c r="G14" i="73"/>
  <c r="F14" i="73"/>
  <c r="E14" i="73"/>
  <c r="E29" i="80" l="1"/>
  <c r="N15" i="3" s="1"/>
  <c r="G21" i="6" s="1"/>
  <c r="C33" i="21"/>
  <c r="B27" i="80"/>
  <c r="I13" i="3"/>
  <c r="F28" i="80"/>
  <c r="G28" i="80" s="1"/>
  <c r="D33" i="80"/>
  <c r="D29" i="80"/>
  <c r="L14" i="3" s="1"/>
  <c r="G20" i="6" s="1"/>
  <c r="D32" i="80"/>
  <c r="I12" i="79"/>
  <c r="D35" i="80" l="1"/>
  <c r="F29" i="80"/>
  <c r="J13" i="3"/>
  <c r="F19" i="6"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E40" i="71" s="1"/>
  <c r="U40" i="71" s="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28" i="71" s="1"/>
  <c r="P32" i="71"/>
  <c r="O32" i="71"/>
  <c r="N32" i="71"/>
  <c r="X32" i="71" s="1"/>
  <c r="Q31" i="71"/>
  <c r="P31" i="71"/>
  <c r="O31" i="71"/>
  <c r="N31" i="71"/>
  <c r="Q30" i="71"/>
  <c r="P30" i="71"/>
  <c r="O30" i="71"/>
  <c r="Y30" i="71"/>
  <c r="Z30" i="71" s="1"/>
  <c r="N30" i="71"/>
  <c r="Q29" i="71"/>
  <c r="F30" i="71" s="1"/>
  <c r="F31" i="71" s="1"/>
  <c r="F32" i="71" s="1"/>
  <c r="V32" i="71" s="1"/>
  <c r="P29" i="71"/>
  <c r="O29" i="71"/>
  <c r="Y27" i="71" s="1"/>
  <c r="Z27" i="71" s="1"/>
  <c r="N29" i="71"/>
  <c r="D29" i="71"/>
  <c r="O28" i="71"/>
  <c r="Y26" i="71" s="1"/>
  <c r="Z26" i="71" s="1"/>
  <c r="N28" i="71"/>
  <c r="B28" i="71" s="1"/>
  <c r="B30" i="71"/>
  <c r="B31" i="71"/>
  <c r="E30" i="71"/>
  <c r="E31" i="71"/>
  <c r="E32" i="71" s="1"/>
  <c r="U32" i="71" s="1"/>
  <c r="AA37"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C70" i="71" s="1"/>
  <c r="D70"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D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C29" i="39"/>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W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AC21" i="33"/>
  <c r="J21" i="21"/>
  <c r="AC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1" i="69"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5" i="3" s="1"/>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A17" i="3" s="1"/>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AB39" i="40" s="1"/>
  <c r="U39" i="40"/>
  <c r="Q38" i="40"/>
  <c r="Z38" i="40" s="1"/>
  <c r="J38" i="40"/>
  <c r="AC38" i="40"/>
  <c r="H38" i="40"/>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H24" i="36"/>
  <c r="AB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H31" i="34" s="1"/>
  <c r="B95" i="34"/>
  <c r="B93" i="34"/>
  <c r="B75" i="34"/>
  <c r="B73" i="34"/>
  <c r="B71" i="34"/>
  <c r="B130" i="33"/>
  <c r="B128" i="33"/>
  <c r="B126" i="33"/>
  <c r="F44" i="33" s="1"/>
  <c r="B98" i="33"/>
  <c r="F31" i="33" s="1"/>
  <c r="B96" i="33"/>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F15" i="21" s="1"/>
  <c r="B130" i="21"/>
  <c r="J46" i="21" s="1"/>
  <c r="B128" i="21"/>
  <c r="J45" i="21"/>
  <c r="W45" i="21" s="1"/>
  <c r="B126" i="21"/>
  <c r="B98" i="21"/>
  <c r="H31" i="21" s="1"/>
  <c r="AB31" i="21" s="1"/>
  <c r="B96" i="2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O5"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F35" i="39"/>
  <c r="U30" i="37"/>
  <c r="W31" i="37"/>
  <c r="E103" i="37"/>
  <c r="F103" i="37"/>
  <c r="G103" i="37" s="1"/>
  <c r="H103" i="37" s="1"/>
  <c r="I103" i="37" s="1"/>
  <c r="J103" i="37" s="1"/>
  <c r="K103" i="37" s="1"/>
  <c r="L103" i="37" s="1"/>
  <c r="M103" i="37" s="1"/>
  <c r="F29" i="36"/>
  <c r="AA29" i="36" s="1"/>
  <c r="F16" i="36"/>
  <c r="AA16" i="36" s="1"/>
  <c r="H22" i="35"/>
  <c r="AB22" i="35" s="1"/>
  <c r="AC27" i="35"/>
  <c r="U34" i="35"/>
  <c r="F36" i="34"/>
  <c r="J35" i="34"/>
  <c r="U34" i="34"/>
  <c r="H39" i="33"/>
  <c r="AB39" i="33"/>
  <c r="U33" i="33"/>
  <c r="U35" i="33"/>
  <c r="W39" i="33"/>
  <c r="S27" i="35"/>
  <c r="F11" i="40"/>
  <c r="AA11" i="40"/>
  <c r="H11" i="40"/>
  <c r="AB11" i="40" s="1"/>
  <c r="W8" i="40"/>
  <c r="S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H19" i="39"/>
  <c r="AB19" i="39" s="1"/>
  <c r="F19" i="39"/>
  <c r="H17" i="39"/>
  <c r="AB17" i="39" s="1"/>
  <c r="F17" i="39"/>
  <c r="AA17" i="39" s="1"/>
  <c r="J23" i="40"/>
  <c r="AC23" i="40"/>
  <c r="F21" i="40"/>
  <c r="AA21" i="40" s="1"/>
  <c r="J21" i="40"/>
  <c r="W21" i="40"/>
  <c r="H42" i="39"/>
  <c r="J34" i="39"/>
  <c r="AC34" i="39" s="1"/>
  <c r="F100" i="39"/>
  <c r="H27" i="39"/>
  <c r="U27" i="39" s="1"/>
  <c r="J19" i="39"/>
  <c r="AC19" i="39" s="1"/>
  <c r="J17" i="39"/>
  <c r="W17" i="39" s="1"/>
  <c r="J27" i="39"/>
  <c r="AC27" i="39" s="1"/>
  <c r="F27" i="39"/>
  <c r="S27" i="39" s="1"/>
  <c r="F11" i="21"/>
  <c r="S11" i="21" s="1"/>
  <c r="C25" i="39"/>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F16" i="35"/>
  <c r="S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s="1"/>
  <c r="F41" i="33"/>
  <c r="AA41" i="33"/>
  <c r="S38" i="33"/>
  <c r="E113" i="33"/>
  <c r="F32" i="33"/>
  <c r="AA32" i="33"/>
  <c r="J19" i="33"/>
  <c r="J15" i="33"/>
  <c r="AC15" i="33"/>
  <c r="F11" i="33"/>
  <c r="AA11" i="33" s="1"/>
  <c r="U40" i="33"/>
  <c r="W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F30" i="21"/>
  <c r="S30" i="21" s="1"/>
  <c r="H46" i="21"/>
  <c r="U46" i="21"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45" i="21"/>
  <c r="AA45" i="21" s="1"/>
  <c r="F27" i="33"/>
  <c r="AA27" i="33" s="1"/>
  <c r="J13" i="33"/>
  <c r="H13" i="33"/>
  <c r="U13" i="33" s="1"/>
  <c r="F13" i="33"/>
  <c r="S13" i="33" s="1"/>
  <c r="J29" i="33"/>
  <c r="H29" i="33"/>
  <c r="U29" i="33"/>
  <c r="F29" i="33"/>
  <c r="S29" i="33" s="1"/>
  <c r="J31" i="33"/>
  <c r="W31" i="33"/>
  <c r="H31" i="33"/>
  <c r="H45" i="33"/>
  <c r="U45" i="33" s="1"/>
  <c r="J45" i="33"/>
  <c r="W45" i="33" s="1"/>
  <c r="F45" i="33"/>
  <c r="AA45" i="33"/>
  <c r="J14" i="34"/>
  <c r="W14" i="34" s="1"/>
  <c r="F14" i="34"/>
  <c r="H14" i="34"/>
  <c r="AB14" i="34" s="1"/>
  <c r="H30" i="34"/>
  <c r="F30" i="34"/>
  <c r="S30" i="34" s="1"/>
  <c r="J30" i="34"/>
  <c r="H32" i="34"/>
  <c r="F32" i="34"/>
  <c r="J32" i="34"/>
  <c r="W32" i="34" s="1"/>
  <c r="H46" i="34"/>
  <c r="U46" i="34"/>
  <c r="F46" i="34"/>
  <c r="H11" i="35"/>
  <c r="AB11" i="35" s="1"/>
  <c r="J11" i="35"/>
  <c r="W11" i="35" s="1"/>
  <c r="AC11" i="35"/>
  <c r="J26" i="36"/>
  <c r="W26" i="36" s="1"/>
  <c r="H28" i="36"/>
  <c r="U28" i="36" s="1"/>
  <c r="H32" i="36"/>
  <c r="AB32" i="36" s="1"/>
  <c r="J32" i="36"/>
  <c r="W32" i="36" s="1"/>
  <c r="H11" i="36"/>
  <c r="U11" i="36" s="1"/>
  <c r="H13" i="36"/>
  <c r="AB13" i="36" s="1"/>
  <c r="J13" i="36"/>
  <c r="F13" i="36"/>
  <c r="S13" i="36" s="1"/>
  <c r="E89" i="37"/>
  <c r="F89" i="37"/>
  <c r="G89" i="37" s="1"/>
  <c r="H89" i="37" s="1"/>
  <c r="I89" i="37" s="1"/>
  <c r="J89" i="37" s="1"/>
  <c r="K89" i="37" s="1"/>
  <c r="L89" i="37" s="1"/>
  <c r="M89" i="37" s="1"/>
  <c r="J29" i="37"/>
  <c r="W29" i="37" s="1"/>
  <c r="F29" i="37"/>
  <c r="S29" i="37" s="1"/>
  <c r="H36" i="37"/>
  <c r="AB36" i="37"/>
  <c r="J37" i="37"/>
  <c r="AC37" i="37" s="1"/>
  <c r="H37" i="37"/>
  <c r="U37" i="37"/>
  <c r="H40" i="37"/>
  <c r="U40" i="37" s="1"/>
  <c r="J40" i="37"/>
  <c r="AC40" i="37"/>
  <c r="F40" i="37"/>
  <c r="AA40" i="37" s="1"/>
  <c r="AC12" i="40"/>
  <c r="H14" i="33"/>
  <c r="U14" i="33" s="1"/>
  <c r="F14" i="33"/>
  <c r="AA14" i="33" s="1"/>
  <c r="S14" i="33"/>
  <c r="H30" i="33"/>
  <c r="AB30" i="33" s="1"/>
  <c r="F30" i="33"/>
  <c r="J30" i="33"/>
  <c r="H44" i="33"/>
  <c r="J44" i="33"/>
  <c r="AC44" i="33"/>
  <c r="J46" i="33"/>
  <c r="AC46" i="33" s="1"/>
  <c r="F46" i="33"/>
  <c r="AA46" i="33" s="1"/>
  <c r="H46" i="33"/>
  <c r="AB46" i="33"/>
  <c r="H13" i="34"/>
  <c r="U13" i="34" s="1"/>
  <c r="J13" i="34"/>
  <c r="W13" i="34" s="1"/>
  <c r="F13" i="34"/>
  <c r="AA13" i="34" s="1"/>
  <c r="J29" i="34"/>
  <c r="W29" i="34" s="1"/>
  <c r="F29" i="34"/>
  <c r="S29" i="34" s="1"/>
  <c r="H29" i="34"/>
  <c r="AB29" i="34" s="1"/>
  <c r="J31" i="34"/>
  <c r="W31" i="34" s="1"/>
  <c r="AC31" i="34"/>
  <c r="F31" i="34"/>
  <c r="S31" i="34" s="1"/>
  <c r="H45" i="34"/>
  <c r="U45" i="34" s="1"/>
  <c r="J45" i="34"/>
  <c r="W45" i="34"/>
  <c r="F45" i="34"/>
  <c r="S45" i="34" s="1"/>
  <c r="H47" i="34"/>
  <c r="U47" i="34" s="1"/>
  <c r="F47" i="34"/>
  <c r="S47" i="34" s="1"/>
  <c r="J47" i="34"/>
  <c r="AC47" i="34" s="1"/>
  <c r="F13" i="35"/>
  <c r="J13" i="35"/>
  <c r="H13" i="35"/>
  <c r="U13" i="35" s="1"/>
  <c r="W25" i="35"/>
  <c r="F25" i="35"/>
  <c r="H25" i="35"/>
  <c r="AB25" i="35" s="1"/>
  <c r="J35" i="35"/>
  <c r="AC35" i="35" s="1"/>
  <c r="F35" i="35"/>
  <c r="AA35" i="35"/>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14" i="37"/>
  <c r="F27" i="37"/>
  <c r="AA27" i="37" s="1"/>
  <c r="F13" i="39"/>
  <c r="S13" i="39" s="1"/>
  <c r="J13" i="39"/>
  <c r="W13" i="39" s="1"/>
  <c r="H13" i="39"/>
  <c r="F14" i="40"/>
  <c r="J27" i="37"/>
  <c r="AC27" i="37"/>
  <c r="U46" i="33"/>
  <c r="J36" i="37"/>
  <c r="AC36" i="37" s="1"/>
  <c r="J10" i="36"/>
  <c r="AC10" i="36" s="1"/>
  <c r="AB46" i="34"/>
  <c r="S45" i="33"/>
  <c r="BA586" i="3"/>
  <c r="F17" i="21"/>
  <c r="AA17" i="21" s="1"/>
  <c r="H17" i="21"/>
  <c r="AB17" i="21" s="1"/>
  <c r="J41" i="39"/>
  <c r="W41" i="39" s="1"/>
  <c r="G544" i="3"/>
  <c r="G540" i="3"/>
  <c r="G535" i="3"/>
  <c r="G532" i="3"/>
  <c r="G531" i="3"/>
  <c r="G527" i="3"/>
  <c r="G523" i="3"/>
  <c r="G518" i="3"/>
  <c r="G510" i="3"/>
  <c r="G508" i="3"/>
  <c r="G504" i="3"/>
  <c r="G496" i="3"/>
  <c r="G584" i="3"/>
  <c r="G576" i="3"/>
  <c r="G568" i="3"/>
  <c r="G564" i="3"/>
  <c r="G554" i="3"/>
  <c r="G550" i="3"/>
  <c r="BL584" i="3"/>
  <c r="BL560" i="3"/>
  <c r="BL554" i="3"/>
  <c r="BL546" i="3"/>
  <c r="BL542" i="3"/>
  <c r="BL538" i="3"/>
  <c r="AZ538" i="3" s="1"/>
  <c r="BL534" i="3"/>
  <c r="BL530" i="3"/>
  <c r="BL526" i="3"/>
  <c r="BL522" i="3"/>
  <c r="BL516" i="3"/>
  <c r="BL512" i="3"/>
  <c r="BL506" i="3"/>
  <c r="BL502" i="3"/>
  <c r="AZ502" i="3" s="1"/>
  <c r="BL498" i="3"/>
  <c r="BL494" i="3"/>
  <c r="BL578" i="3"/>
  <c r="BL562" i="3"/>
  <c r="BL556" i="3"/>
  <c r="BL552" i="3"/>
  <c r="BL544" i="3"/>
  <c r="BL540" i="3"/>
  <c r="AZ540" i="3" s="1"/>
  <c r="BL536" i="3"/>
  <c r="G533" i="3"/>
  <c r="BL532" i="3"/>
  <c r="G529" i="3"/>
  <c r="BL528" i="3"/>
  <c r="G525" i="3"/>
  <c r="BL524" i="3"/>
  <c r="BL518" i="3"/>
  <c r="BL514" i="3"/>
  <c r="BL510" i="3"/>
  <c r="BL504" i="3"/>
  <c r="BL500" i="3"/>
  <c r="AZ500" i="3" s="1"/>
  <c r="BL496" i="3"/>
  <c r="G493" i="3"/>
  <c r="BA582" i="3"/>
  <c r="BA574" i="3"/>
  <c r="BA566" i="3"/>
  <c r="BA564" i="3"/>
  <c r="BA562" i="3"/>
  <c r="BA560" i="3"/>
  <c r="AZ560" i="3" s="1"/>
  <c r="BA558" i="3"/>
  <c r="AZ558" i="3" s="1"/>
  <c r="BA556" i="3"/>
  <c r="AZ556" i="3"/>
  <c r="BA554" i="3"/>
  <c r="AZ554" i="3" s="1"/>
  <c r="BA552" i="3"/>
  <c r="AZ552" i="3"/>
  <c r="BA548" i="3"/>
  <c r="BA546" i="3"/>
  <c r="AZ546" i="3" s="1"/>
  <c r="BA544" i="3"/>
  <c r="AZ544" i="3"/>
  <c r="BA542" i="3"/>
  <c r="AZ542" i="3" s="1"/>
  <c r="BA540" i="3"/>
  <c r="BA538" i="3"/>
  <c r="BA536" i="3"/>
  <c r="AZ536" i="3" s="1"/>
  <c r="BA534" i="3"/>
  <c r="AZ534" i="3"/>
  <c r="BA532" i="3"/>
  <c r="AZ532" i="3" s="1"/>
  <c r="BA530" i="3"/>
  <c r="AZ530" i="3" s="1"/>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AZ498" i="3"/>
  <c r="BA496" i="3"/>
  <c r="AZ496" i="3" s="1"/>
  <c r="BA494"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AZ503" i="3" s="1"/>
  <c r="BA501" i="3"/>
  <c r="BA499" i="3"/>
  <c r="BA497" i="3"/>
  <c r="BA495" i="3"/>
  <c r="BA493" i="3"/>
  <c r="G577" i="3"/>
  <c r="G575" i="3"/>
  <c r="G573" i="3"/>
  <c r="G569" i="3"/>
  <c r="G567" i="3"/>
  <c r="G565" i="3"/>
  <c r="G563" i="3"/>
  <c r="G561" i="3"/>
  <c r="BL558" i="3"/>
  <c r="BA557" i="3"/>
  <c r="AZ557" i="3" s="1"/>
  <c r="AC557" i="3"/>
  <c r="G557" i="3" s="1"/>
  <c r="BQ557" i="3"/>
  <c r="BL557" i="3" s="1"/>
  <c r="BQ583" i="3"/>
  <c r="BQ581" i="3"/>
  <c r="BQ579" i="3"/>
  <c r="BQ577" i="3"/>
  <c r="BQ575" i="3"/>
  <c r="BQ573" i="3"/>
  <c r="BQ571" i="3"/>
  <c r="BQ569" i="3"/>
  <c r="BQ567" i="3"/>
  <c r="BL567" i="3"/>
  <c r="BQ565" i="3"/>
  <c r="BL565" i="3" s="1"/>
  <c r="BQ563" i="3"/>
  <c r="BL563" i="3"/>
  <c r="AZ563" i="3" s="1"/>
  <c r="BQ561" i="3"/>
  <c r="BL561" i="3" s="1"/>
  <c r="AZ561" i="3" s="1"/>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H42" i="33"/>
  <c r="J43" i="33"/>
  <c r="AC43" i="33" s="1"/>
  <c r="S28" i="31"/>
  <c r="S27" i="31"/>
  <c r="S26" i="31"/>
  <c r="W23" i="35"/>
  <c r="U26" i="37"/>
  <c r="W47" i="34"/>
  <c r="AC36" i="34"/>
  <c r="AA13" i="33"/>
  <c r="AC31"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G181" i="3"/>
  <c r="BA183" i="3"/>
  <c r="BL184" i="3"/>
  <c r="G185" i="3"/>
  <c r="BA187" i="3"/>
  <c r="AZ187" i="3" s="1"/>
  <c r="BL188" i="3"/>
  <c r="AZ188" i="3" s="1"/>
  <c r="G189" i="3"/>
  <c r="BA191" i="3"/>
  <c r="AZ191" i="3" s="1"/>
  <c r="BL192" i="3"/>
  <c r="G193" i="3"/>
  <c r="BA195" i="3"/>
  <c r="AZ195" i="3" s="1"/>
  <c r="BL196" i="3"/>
  <c r="G197" i="3"/>
  <c r="BA199" i="3"/>
  <c r="AZ199" i="3" s="1"/>
  <c r="BL200" i="3"/>
  <c r="AZ200" i="3" s="1"/>
  <c r="G201" i="3"/>
  <c r="BA203" i="3"/>
  <c r="BL204" i="3"/>
  <c r="AZ47" i="3"/>
  <c r="AZ184" i="3"/>
  <c r="G534" i="3"/>
  <c r="G530" i="3"/>
  <c r="G522" i="3"/>
  <c r="G516" i="3"/>
  <c r="G512" i="3"/>
  <c r="G506" i="3"/>
  <c r="G498" i="3"/>
  <c r="G494"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c r="BL311" i="3"/>
  <c r="AZ311" i="3" s="1"/>
  <c r="G312" i="3"/>
  <c r="BA314" i="3"/>
  <c r="BL315" i="3"/>
  <c r="AZ315" i="3" s="1"/>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AZ229" i="3"/>
  <c r="AZ233" i="3"/>
  <c r="AZ237" i="3"/>
  <c r="AZ245" i="3"/>
  <c r="AZ257" i="3"/>
  <c r="AZ265" i="3"/>
  <c r="BA379" i="3"/>
  <c r="AZ379" i="3" s="1"/>
  <c r="BL380" i="3"/>
  <c r="AZ380" i="3" s="1"/>
  <c r="G381" i="3"/>
  <c r="BA383" i="3"/>
  <c r="AZ383" i="3" s="1"/>
  <c r="BL384" i="3"/>
  <c r="AZ384" i="3" s="1"/>
  <c r="G385" i="3"/>
  <c r="BA387" i="3"/>
  <c r="AZ387" i="3" s="1"/>
  <c r="BL388" i="3"/>
  <c r="G389" i="3"/>
  <c r="BA391" i="3"/>
  <c r="AZ391" i="3" s="1"/>
  <c r="BL392" i="3"/>
  <c r="G393" i="3"/>
  <c r="AZ283" i="3"/>
  <c r="BF5" i="3"/>
  <c r="AZ506" i="3"/>
  <c r="G548" i="3"/>
  <c r="G538" i="3"/>
  <c r="G520" i="3"/>
  <c r="G502" i="3"/>
  <c r="BE5" i="3"/>
  <c r="G17" i="3"/>
  <c r="AZ392" i="3"/>
  <c r="G509" i="3"/>
  <c r="BL493" i="3"/>
  <c r="AZ493" i="3" s="1"/>
  <c r="U36" i="40"/>
  <c r="F83" i="43"/>
  <c r="H85" i="43" s="1"/>
  <c r="F50" i="43"/>
  <c r="H54" i="43" s="1"/>
  <c r="F72" i="43"/>
  <c r="H75" i="43" s="1"/>
  <c r="AC35" i="21"/>
  <c r="W37" i="37"/>
  <c r="W44" i="34"/>
  <c r="AC44" i="34"/>
  <c r="U13" i="37"/>
  <c r="U12" i="40"/>
  <c r="AA12" i="40"/>
  <c r="J37" i="33"/>
  <c r="W37" i="33"/>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J39" i="39"/>
  <c r="AC39" i="39" s="1"/>
  <c r="E96" i="39"/>
  <c r="F96" i="39" s="1"/>
  <c r="G96" i="39" s="1"/>
  <c r="AZ227" i="3"/>
  <c r="AZ235" i="3"/>
  <c r="AZ240" i="3"/>
  <c r="AZ280" i="3"/>
  <c r="AZ74" i="3"/>
  <c r="F23" i="39"/>
  <c r="H27" i="36"/>
  <c r="U27" i="36" s="1"/>
  <c r="F27" i="36"/>
  <c r="AA27" i="36" s="1"/>
  <c r="H33" i="34"/>
  <c r="F32" i="37"/>
  <c r="AA32" i="37"/>
  <c r="G96" i="37"/>
  <c r="H96" i="37" s="1"/>
  <c r="I96" i="37" s="1"/>
  <c r="J96" i="37" s="1"/>
  <c r="K96" i="37" s="1"/>
  <c r="L96" i="37" s="1"/>
  <c r="M96" i="37" s="1"/>
  <c r="F20" i="36"/>
  <c r="AA20" i="36" s="1"/>
  <c r="J33" i="34"/>
  <c r="H23" i="39"/>
  <c r="U23" i="39" s="1"/>
  <c r="D48" i="9"/>
  <c r="M52" i="9" s="1"/>
  <c r="K9" i="1"/>
  <c r="M9" i="1" s="1"/>
  <c r="D93" i="9"/>
  <c r="K6" i="1"/>
  <c r="AP6" i="1" s="1"/>
  <c r="W27" i="34"/>
  <c r="AC27" i="34"/>
  <c r="AC39" i="40"/>
  <c r="W39" i="40"/>
  <c r="AZ412" i="3"/>
  <c r="AZ433" i="3"/>
  <c r="W12" i="33"/>
  <c r="AC12" i="33"/>
  <c r="S32" i="36"/>
  <c r="AZ437" i="3"/>
  <c r="BL14" i="3"/>
  <c r="U30" i="33"/>
  <c r="AC13" i="34"/>
  <c r="AA47" i="34"/>
  <c r="W28" i="37"/>
  <c r="F12" i="33"/>
  <c r="H12" i="39"/>
  <c r="U12" i="39" s="1"/>
  <c r="F39" i="40"/>
  <c r="AZ189" i="3"/>
  <c r="B12" i="1"/>
  <c r="E12" i="1" s="1"/>
  <c r="B10" i="1"/>
  <c r="E10" i="1" s="1"/>
  <c r="K12" i="1"/>
  <c r="M12" i="1" s="1"/>
  <c r="S13" i="1"/>
  <c r="AR13" i="1" s="1"/>
  <c r="R13" i="1"/>
  <c r="J51" i="67"/>
  <c r="C42" i="1"/>
  <c r="C24" i="12" s="1"/>
  <c r="AC34" i="33"/>
  <c r="AA34" i="33"/>
  <c r="B41" i="1"/>
  <c r="F48" i="9" s="1"/>
  <c r="O52" i="9" s="1"/>
  <c r="AB37" i="40"/>
  <c r="S35" i="40"/>
  <c r="U35" i="40"/>
  <c r="W38" i="40"/>
  <c r="AA32" i="40"/>
  <c r="S23" i="40"/>
  <c r="AC17" i="40"/>
  <c r="AC15" i="40"/>
  <c r="AA19" i="40"/>
  <c r="S28" i="40"/>
  <c r="U21" i="40"/>
  <c r="AB19" i="40"/>
  <c r="U37" i="39"/>
  <c r="S37" i="39"/>
  <c r="F32" i="39"/>
  <c r="S32" i="39" s="1"/>
  <c r="F106" i="39"/>
  <c r="G106" i="39" s="1"/>
  <c r="H106" i="39" s="1"/>
  <c r="I106" i="39" s="1"/>
  <c r="J106" i="39" s="1"/>
  <c r="K106" i="39" s="1"/>
  <c r="L106" i="39" s="1"/>
  <c r="M106" i="39" s="1"/>
  <c r="J21" i="39"/>
  <c r="W21" i="39" s="1"/>
  <c r="F21" i="39"/>
  <c r="AA21" i="39" s="1"/>
  <c r="G94" i="39"/>
  <c r="H21" i="39"/>
  <c r="U21" i="39" s="1"/>
  <c r="U19" i="39"/>
  <c r="S17" i="39"/>
  <c r="S9" i="39"/>
  <c r="U14" i="39"/>
  <c r="AC26" i="36"/>
  <c r="U22" i="36"/>
  <c r="U24" i="36"/>
  <c r="U23" i="36"/>
  <c r="AB13" i="35"/>
  <c r="U29" i="35"/>
  <c r="AB27" i="35"/>
  <c r="AC30" i="35"/>
  <c r="S32" i="35"/>
  <c r="S28" i="35"/>
  <c r="U22" i="35"/>
  <c r="S22" i="35"/>
  <c r="AA11" i="35"/>
  <c r="AC12" i="35"/>
  <c r="H9" i="35"/>
  <c r="U9" i="35" s="1"/>
  <c r="AB40" i="37"/>
  <c r="W27" i="37"/>
  <c r="AC29" i="37"/>
  <c r="U29" i="37"/>
  <c r="S32" i="37"/>
  <c r="AB31" i="37"/>
  <c r="W30" i="37"/>
  <c r="S36" i="37"/>
  <c r="AA38" i="37"/>
  <c r="U32" i="37"/>
  <c r="W38" i="37"/>
  <c r="AC35" i="37"/>
  <c r="S30" i="37"/>
  <c r="S37" i="37"/>
  <c r="AC15" i="37"/>
  <c r="J17" i="37"/>
  <c r="W17" i="37"/>
  <c r="G73" i="37"/>
  <c r="F17" i="37"/>
  <c r="AB17" i="37"/>
  <c r="F19" i="37"/>
  <c r="S19" i="37" s="1"/>
  <c r="F79" i="37"/>
  <c r="G79" i="37" s="1"/>
  <c r="F23" i="37"/>
  <c r="S23" i="37" s="1"/>
  <c r="U15" i="37"/>
  <c r="AC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AA25" i="33" s="1"/>
  <c r="J23" i="33"/>
  <c r="AC23" i="33" s="1"/>
  <c r="F85" i="33"/>
  <c r="H23" i="33"/>
  <c r="F81" i="33"/>
  <c r="F19" i="33"/>
  <c r="S19" i="33" s="1"/>
  <c r="J17" i="33"/>
  <c r="F79" i="33"/>
  <c r="G79" i="33" s="1"/>
  <c r="S15" i="33"/>
  <c r="W15" i="33"/>
  <c r="U9" i="33"/>
  <c r="J10" i="33"/>
  <c r="W10" i="33" s="1"/>
  <c r="H10" i="33"/>
  <c r="U10" i="33" s="1"/>
  <c r="AC11" i="33"/>
  <c r="AB14" i="33"/>
  <c r="AA38" i="21"/>
  <c r="J15" i="21"/>
  <c r="W15" i="21" s="1"/>
  <c r="F77" i="21"/>
  <c r="G77" i="21" s="1"/>
  <c r="F23" i="21"/>
  <c r="S23" i="21" s="1"/>
  <c r="E85" i="21"/>
  <c r="F85" i="21" s="1"/>
  <c r="G85" i="21" s="1"/>
  <c r="D120" i="9"/>
  <c r="D121" i="9" s="1"/>
  <c r="D7" i="52" s="1"/>
  <c r="C18" i="9"/>
  <c r="D18" i="9" s="1"/>
  <c r="F34" i="67"/>
  <c r="F62" i="67" s="1"/>
  <c r="M20" i="67"/>
  <c r="F34" i="15"/>
  <c r="F62" i="15" s="1"/>
  <c r="G13" i="3"/>
  <c r="J56" i="9"/>
  <c r="J57" i="9" s="1"/>
  <c r="J59" i="9" s="1"/>
  <c r="J61" i="9" s="1"/>
  <c r="A24" i="51"/>
  <c r="B18" i="72" s="1"/>
  <c r="U29" i="34"/>
  <c r="E32" i="6"/>
  <c r="E19" i="69"/>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AB17" i="40"/>
  <c r="U8" i="40"/>
  <c r="S8" i="40"/>
  <c r="AC41" i="39"/>
  <c r="U13" i="39"/>
  <c r="AB13" i="39"/>
  <c r="AA13" i="39"/>
  <c r="S14" i="39"/>
  <c r="AC17" i="39"/>
  <c r="U38" i="39"/>
  <c r="AC25" i="36"/>
  <c r="U32" i="36"/>
  <c r="W29" i="36"/>
  <c r="AA13" i="36"/>
  <c r="W9" i="36"/>
  <c r="W22" i="36"/>
  <c r="AC25" i="35"/>
  <c r="U24" i="35"/>
  <c r="S35" i="35"/>
  <c r="W35" i="35"/>
  <c r="AA16" i="35"/>
  <c r="AA35" i="37"/>
  <c r="W36" i="37"/>
  <c r="S27" i="37"/>
  <c r="S28" i="37"/>
  <c r="W32" i="37"/>
  <c r="U36" i="37"/>
  <c r="U38" i="37"/>
  <c r="AB37" i="37"/>
  <c r="AC34" i="37"/>
  <c r="AB35" i="37"/>
  <c r="AA31" i="37"/>
  <c r="U19" i="37"/>
  <c r="AA29" i="37"/>
  <c r="U8" i="37"/>
  <c r="AB40" i="34"/>
  <c r="U19" i="34"/>
  <c r="W19"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AB42" i="21"/>
  <c r="F33" i="21"/>
  <c r="AA33" i="21" s="1"/>
  <c r="J33" i="21"/>
  <c r="AC33" i="21" s="1"/>
  <c r="H33" i="21"/>
  <c r="AB33" i="21" s="1"/>
  <c r="U13" i="21"/>
  <c r="AB13" i="21"/>
  <c r="J17" i="21"/>
  <c r="AC17" i="21" s="1"/>
  <c r="AC19" i="21"/>
  <c r="AC14" i="21"/>
  <c r="H45" i="21"/>
  <c r="U45" i="21" s="1"/>
  <c r="F29" i="21"/>
  <c r="AA29" i="21" s="1"/>
  <c r="F13" i="21"/>
  <c r="AA13" i="21" s="1"/>
  <c r="H32" i="21"/>
  <c r="U32" i="21" s="1"/>
  <c r="H9" i="21"/>
  <c r="AB9" i="21" s="1"/>
  <c r="J9" i="21"/>
  <c r="W9" i="21" s="1"/>
  <c r="J32" i="21"/>
  <c r="W32" i="21" s="1"/>
  <c r="F32" i="21"/>
  <c r="AA32" i="21" s="1"/>
  <c r="W29" i="21"/>
  <c r="AA9" i="21"/>
  <c r="K141" i="21"/>
  <c r="K144" i="21"/>
  <c r="K143" i="21"/>
  <c r="AC45" i="21"/>
  <c r="F10" i="21"/>
  <c r="AA10" i="21" s="1"/>
  <c r="K145" i="21"/>
  <c r="W25" i="21"/>
  <c r="S17" i="21"/>
  <c r="AB36" i="21"/>
  <c r="W30" i="40"/>
  <c r="C19" i="39"/>
  <c r="C15" i="40"/>
  <c r="C23" i="40"/>
  <c r="C21" i="40"/>
  <c r="U30" i="40"/>
  <c r="B56" i="43"/>
  <c r="B67" i="43"/>
  <c r="B51" i="43"/>
  <c r="B54" i="43"/>
  <c r="B58" i="43"/>
  <c r="B62" i="43"/>
  <c r="B65" i="43"/>
  <c r="B69" i="43"/>
  <c r="D23" i="15"/>
  <c r="E4" i="4"/>
  <c r="B5" i="62" s="1"/>
  <c r="B73" i="72" s="1"/>
  <c r="C4" i="4"/>
  <c r="F30" i="68"/>
  <c r="F48" i="68" s="1"/>
  <c r="F28" i="67"/>
  <c r="F52" i="9"/>
  <c r="F32" i="67"/>
  <c r="F60" i="67" s="1"/>
  <c r="F32" i="15"/>
  <c r="F60" i="15" s="1"/>
  <c r="F28" i="15"/>
  <c r="AA39" i="40"/>
  <c r="S39" i="40"/>
  <c r="S12" i="33"/>
  <c r="AA12" i="33"/>
  <c r="F54" i="9"/>
  <c r="J32" i="39"/>
  <c r="AC32" i="39" s="1"/>
  <c r="H32" i="39"/>
  <c r="AB32" i="39" s="1"/>
  <c r="AA32" i="39"/>
  <c r="AC17" i="37"/>
  <c r="J19" i="37"/>
  <c r="W19" i="37" s="1"/>
  <c r="G75" i="37"/>
  <c r="AA19" i="37"/>
  <c r="AA23" i="37"/>
  <c r="J23" i="37"/>
  <c r="J10" i="37"/>
  <c r="W10" i="37" s="1"/>
  <c r="H11" i="37"/>
  <c r="AB11" i="37" s="1"/>
  <c r="H11" i="34"/>
  <c r="U11" i="34" s="1"/>
  <c r="J10" i="34"/>
  <c r="AC10" i="34" s="1"/>
  <c r="W35" i="33"/>
  <c r="AC35" i="33"/>
  <c r="J36" i="33"/>
  <c r="W36" i="33" s="1"/>
  <c r="H36" i="33"/>
  <c r="U36" i="33" s="1"/>
  <c r="S36" i="33"/>
  <c r="U27" i="33"/>
  <c r="AB27" i="33"/>
  <c r="J27" i="33"/>
  <c r="U25" i="33"/>
  <c r="AB25" i="33"/>
  <c r="S25" i="33"/>
  <c r="G87" i="33"/>
  <c r="H87" i="33"/>
  <c r="I87" i="33"/>
  <c r="J87" i="33" s="1"/>
  <c r="K87" i="33" s="1"/>
  <c r="L87" i="33" s="1"/>
  <c r="M87" i="33" s="1"/>
  <c r="J25" i="33"/>
  <c r="AB23" i="33"/>
  <c r="U23" i="33"/>
  <c r="F23" i="33"/>
  <c r="G85" i="33"/>
  <c r="AA19" i="33"/>
  <c r="H19" i="33"/>
  <c r="AB19" i="33" s="1"/>
  <c r="G81" i="33"/>
  <c r="H17" i="33"/>
  <c r="U17" i="33" s="1"/>
  <c r="F17" i="33"/>
  <c r="S17" i="33" s="1"/>
  <c r="W17" i="33"/>
  <c r="AC17" i="33"/>
  <c r="AA23" i="21"/>
  <c r="J23" i="21"/>
  <c r="W23" i="21" s="1"/>
  <c r="H23" i="21"/>
  <c r="U23" i="21" s="1"/>
  <c r="D6" i="52"/>
  <c r="AP7" i="1"/>
  <c r="U32" i="39"/>
  <c r="W23" i="37"/>
  <c r="AC23" i="37"/>
  <c r="J63" i="37"/>
  <c r="K63" i="37" s="1"/>
  <c r="L63" i="37" s="1"/>
  <c r="M63" i="37" s="1"/>
  <c r="J11" i="37"/>
  <c r="AC11" i="37" s="1"/>
  <c r="J11" i="34"/>
  <c r="W11" i="34" s="1"/>
  <c r="W27" i="33"/>
  <c r="AC27" i="33"/>
  <c r="W25" i="33"/>
  <c r="AC25" i="33"/>
  <c r="U19"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 i="68"/>
  <c r="L47" i="15"/>
  <c r="B10" i="76"/>
  <c r="F6" i="73"/>
  <c r="E2" i="69"/>
  <c r="F26" i="15"/>
  <c r="E9" i="76"/>
  <c r="F36" i="15"/>
  <c r="F20" i="31"/>
  <c r="B11" i="76"/>
  <c r="B7" i="76"/>
  <c r="E8" i="76"/>
  <c r="F7" i="73"/>
  <c r="M6" i="15"/>
  <c r="E13" i="76"/>
  <c r="E12" i="76"/>
  <c r="F8" i="15"/>
  <c r="B13" i="76"/>
  <c r="M26" i="15"/>
  <c r="J15" i="15"/>
  <c r="M8" i="15"/>
  <c r="B9" i="76"/>
  <c r="F4" i="73"/>
  <c r="C76" i="15"/>
  <c r="D6" i="73"/>
  <c r="B12" i="76"/>
  <c r="M29" i="15"/>
  <c r="F16" i="15"/>
  <c r="M24" i="15"/>
  <c r="F5" i="73"/>
  <c r="B8" i="76"/>
  <c r="E10" i="76"/>
  <c r="E7" i="76"/>
  <c r="F3" i="73"/>
  <c r="F42" i="15"/>
  <c r="F43" i="15"/>
  <c r="E11" i="76"/>
  <c r="F37" i="15"/>
  <c r="AO13" i="1"/>
  <c r="U35" i="21" l="1"/>
  <c r="S35" i="21"/>
  <c r="AA36" i="21"/>
  <c r="AC34" i="21"/>
  <c r="AB46" i="21"/>
  <c r="F46" i="21"/>
  <c r="AA46" i="21" s="1"/>
  <c r="AC40" i="21"/>
  <c r="BG5" i="3"/>
  <c r="BA13" i="3"/>
  <c r="D3" i="35"/>
  <c r="G3" i="35" s="1"/>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S45"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AZ572" i="3" s="1"/>
  <c r="BR5" i="3"/>
  <c r="BL571" i="3"/>
  <c r="BA571" i="3"/>
  <c r="AZ571" i="3" s="1"/>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14"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07"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15" i="3" s="1"/>
  <c r="AZ398" i="3"/>
  <c r="BA403" i="3"/>
  <c r="BA402" i="3"/>
  <c r="AZ402" i="3" s="1"/>
  <c r="BA406" i="3"/>
  <c r="AZ406" i="3" s="1"/>
  <c r="AZ451" i="3"/>
  <c r="AZ458" i="3"/>
  <c r="AZ414" i="3"/>
  <c r="AZ418" i="3"/>
  <c r="BL442" i="3"/>
  <c r="BL444" i="3"/>
  <c r="G446" i="3"/>
  <c r="BL448" i="3"/>
  <c r="G450" i="3"/>
  <c r="BA454" i="3"/>
  <c r="BA457" i="3"/>
  <c r="AZ457" i="3" s="1"/>
  <c r="BA459" i="3"/>
  <c r="BA460" i="3"/>
  <c r="BA461" i="3"/>
  <c r="BL464" i="3"/>
  <c r="BL466" i="3"/>
  <c r="AZ466" i="3" s="1"/>
  <c r="G468" i="3"/>
  <c r="AZ469" i="3"/>
  <c r="AZ483" i="3"/>
  <c r="BL215" i="3"/>
  <c r="BA222" i="3"/>
  <c r="AZ222" i="3" s="1"/>
  <c r="BA224" i="3"/>
  <c r="AZ224" i="3" s="1"/>
  <c r="BA226" i="3"/>
  <c r="G409" i="3"/>
  <c r="BL410" i="3"/>
  <c r="G419" i="3"/>
  <c r="BA422" i="3"/>
  <c r="AZ422" i="3" s="1"/>
  <c r="G430" i="3"/>
  <c r="BL431" i="3"/>
  <c r="BL434" i="3"/>
  <c r="G437" i="3"/>
  <c r="BL438" i="3"/>
  <c r="BL439" i="3"/>
  <c r="BA441" i="3"/>
  <c r="AZ441" i="3" s="1"/>
  <c r="AZ444" i="3"/>
  <c r="AZ448" i="3"/>
  <c r="AZ464" i="3"/>
  <c r="BL468" i="3"/>
  <c r="BL470" i="3"/>
  <c r="BL473" i="3"/>
  <c r="AZ473" i="3" s="1"/>
  <c r="BL474" i="3"/>
  <c r="BA482" i="3"/>
  <c r="BA484" i="3"/>
  <c r="AZ484" i="3" s="1"/>
  <c r="BA303" i="3"/>
  <c r="AZ303" i="3" s="1"/>
  <c r="BA307" i="3"/>
  <c r="BL314" i="3"/>
  <c r="AZ314" i="3" s="1"/>
  <c r="BA332" i="3"/>
  <c r="BL332" i="3"/>
  <c r="BA367" i="3"/>
  <c r="AZ367" i="3" s="1"/>
  <c r="BA370" i="3"/>
  <c r="AZ370" i="3" s="1"/>
  <c r="BA386" i="3"/>
  <c r="AZ386" i="3" s="1"/>
  <c r="BL238" i="3"/>
  <c r="BL243" i="3"/>
  <c r="BA247" i="3"/>
  <c r="AZ247" i="3" s="1"/>
  <c r="BL247" i="3"/>
  <c r="BA249" i="3"/>
  <c r="AZ249" i="3" s="1"/>
  <c r="BL249" i="3"/>
  <c r="BA251" i="3"/>
  <c r="AZ251" i="3" s="1"/>
  <c r="BL251" i="3"/>
  <c r="BA253" i="3"/>
  <c r="BL260" i="3"/>
  <c r="BL263" i="3"/>
  <c r="BL270" i="3"/>
  <c r="AZ270" i="3" s="1"/>
  <c r="BA272" i="3"/>
  <c r="AZ272" i="3" s="1"/>
  <c r="BL275" i="3"/>
  <c r="AZ275" i="3" s="1"/>
  <c r="BL285" i="3"/>
  <c r="BL287" i="3"/>
  <c r="BA294" i="3"/>
  <c r="BL299" i="3"/>
  <c r="BL113" i="3"/>
  <c r="BL115" i="3"/>
  <c r="AZ115" i="3" s="1"/>
  <c r="BA118" i="3"/>
  <c r="AZ118" i="3" s="1"/>
  <c r="BL118" i="3"/>
  <c r="BL123" i="3"/>
  <c r="AZ123" i="3" s="1"/>
  <c r="G128" i="3"/>
  <c r="BL146" i="3"/>
  <c r="AZ146" i="3" s="1"/>
  <c r="G399" i="3"/>
  <c r="BL400" i="3"/>
  <c r="AZ400" i="3" s="1"/>
  <c r="BL408" i="3"/>
  <c r="BL411" i="3"/>
  <c r="BL413" i="3"/>
  <c r="AZ413" i="3" s="1"/>
  <c r="G416" i="3"/>
  <c r="BL417" i="3"/>
  <c r="BL418" i="3"/>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BL415" i="3"/>
  <c r="AZ415" i="3" s="1"/>
  <c r="BA417" i="3"/>
  <c r="BL421" i="3"/>
  <c r="AZ421" i="3" s="1"/>
  <c r="BL422" i="3"/>
  <c r="BL425" i="3"/>
  <c r="AZ425" i="3" s="1"/>
  <c r="BL426" i="3"/>
  <c r="BA428" i="3"/>
  <c r="AZ428" i="3" s="1"/>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AZ59" i="3" s="1"/>
  <c r="BL61" i="3"/>
  <c r="G64" i="3"/>
  <c r="BA64" i="3"/>
  <c r="BA68" i="3"/>
  <c r="B27" i="71"/>
  <c r="B26" i="71" s="1"/>
  <c r="S28" i="71"/>
  <c r="BA282" i="3"/>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AZ51" i="3" s="1"/>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3" i="71"/>
  <c r="N67" i="71"/>
  <c r="B66" i="71"/>
  <c r="BL97" i="3"/>
  <c r="AZ97" i="3" s="1"/>
  <c r="BL101" i="3"/>
  <c r="BL102" i="3"/>
  <c r="G104" i="3"/>
  <c r="G105" i="3"/>
  <c r="BL106" i="3"/>
  <c r="BA108" i="3"/>
  <c r="AZ108" i="3" s="1"/>
  <c r="BA110" i="3"/>
  <c r="AZ110" i="3" s="1"/>
  <c r="F3" i="35"/>
  <c r="S21" i="37"/>
  <c r="B77" i="43"/>
  <c r="AA18" i="35"/>
  <c r="T60" i="71"/>
  <c r="O66" i="71"/>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66" i="71"/>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E28" i="6"/>
  <c r="K14" i="1"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M9" i="67"/>
  <c r="F40" i="67"/>
  <c r="M23" i="67"/>
  <c r="F13" i="15"/>
  <c r="F43" i="67"/>
  <c r="D4" i="73"/>
  <c r="M22" i="15"/>
  <c r="F26" i="67"/>
  <c r="F6" i="67"/>
  <c r="D5" i="73"/>
  <c r="F8" i="67"/>
  <c r="M6" i="67"/>
  <c r="F38" i="67"/>
  <c r="M28" i="15"/>
  <c r="M28" i="67"/>
  <c r="F9" i="15"/>
  <c r="M22" i="67"/>
  <c r="L48" i="67"/>
  <c r="C76" i="67"/>
  <c r="M26" i="67"/>
  <c r="M23" i="15"/>
  <c r="J15" i="67"/>
  <c r="D7" i="73"/>
  <c r="F38" i="15"/>
  <c r="L48" i="15"/>
  <c r="F6" i="15"/>
  <c r="F36" i="67"/>
  <c r="F7" i="67"/>
  <c r="F9" i="67"/>
  <c r="M8" i="67"/>
  <c r="M9" i="15"/>
  <c r="L47" i="67"/>
  <c r="C16" i="15"/>
  <c r="M24" i="67"/>
  <c r="F7" i="15"/>
  <c r="M29" i="67"/>
  <c r="F13" i="67"/>
  <c r="F40" i="15"/>
  <c r="F37" i="67"/>
  <c r="F42" i="67"/>
  <c r="F16" i="67"/>
  <c r="D3" i="73"/>
  <c r="G30" i="6" l="1"/>
  <c r="G31" i="6" s="1"/>
  <c r="E12" i="6"/>
  <c r="E57" i="40" s="1"/>
  <c r="D9" i="11"/>
  <c r="C9" i="11" s="1"/>
  <c r="D9" i="69"/>
  <c r="C9" i="69" s="1"/>
  <c r="D19" i="12"/>
  <c r="C19" i="12" s="1"/>
  <c r="E15" i="6"/>
  <c r="E64" i="39" s="1"/>
  <c r="E11" i="6"/>
  <c r="E60" i="39" s="1"/>
  <c r="E8" i="6"/>
  <c r="F27" i="6" s="1"/>
  <c r="E13" i="6"/>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8"/>
  <c r="E72" i="43"/>
  <c r="B70" i="43" s="1"/>
  <c r="E60" i="40"/>
  <c r="F31" i="6"/>
  <c r="E58" i="40"/>
  <c r="E62" i="39"/>
  <c r="M14" i="1"/>
  <c r="D5" i="43"/>
  <c r="C7" i="43"/>
  <c r="C5" i="43" s="1"/>
  <c r="D10" i="52"/>
  <c r="D125" i="9"/>
  <c r="D11" i="52" s="1"/>
  <c r="B7" i="74"/>
  <c r="C7" i="74" s="1"/>
  <c r="F67" i="39"/>
  <c r="F59" i="67"/>
  <c r="H7" i="37"/>
  <c r="AB7" i="37" s="1"/>
  <c r="T42" i="37" s="1"/>
  <c r="G42" i="37" s="1"/>
  <c r="H7" i="33"/>
  <c r="J7" i="33"/>
  <c r="D65" i="40"/>
  <c r="E63" i="40"/>
  <c r="F48" i="35"/>
  <c r="AC7" i="37"/>
  <c r="W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E51" i="40" l="1"/>
  <c r="AZ5" i="3"/>
  <c r="K15" i="1"/>
  <c r="K16" i="1" s="1"/>
  <c r="L19" i="6"/>
  <c r="L27" i="6" s="1"/>
  <c r="F28" i="12"/>
  <c r="F27" i="11"/>
  <c r="E16" i="6"/>
  <c r="F27" i="68"/>
  <c r="F45" i="68" s="1"/>
  <c r="V36" i="36"/>
  <c r="I36"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65" i="39" s="1"/>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E3" i="6"/>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M18" i="9"/>
  <c r="B118" i="9" s="1"/>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C47" i="68" l="1"/>
  <c r="D45" i="68" s="1"/>
  <c r="AY162" i="3"/>
  <c r="AY561" i="3"/>
  <c r="AY545" i="3"/>
  <c r="AY252" i="3"/>
  <c r="U10" i="40"/>
  <c r="AY437" i="3"/>
  <c r="AY575" i="3"/>
  <c r="AY380" i="3"/>
  <c r="AY130" i="3"/>
  <c r="AY299" i="3"/>
  <c r="AY375" i="3"/>
  <c r="AY570" i="3"/>
  <c r="AY132" i="3"/>
  <c r="AY114" i="3"/>
  <c r="AY42" i="3"/>
  <c r="W10" i="40"/>
  <c r="AY477" i="3"/>
  <c r="AY490" i="3"/>
  <c r="AY406" i="3"/>
  <c r="AY535" i="3"/>
  <c r="AY513" i="3"/>
  <c r="E6" i="6"/>
  <c r="B14" i="74"/>
  <c r="B1" i="74" s="1"/>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D21" i="6" l="1"/>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R21" i="6" s="1"/>
  <c r="R8" i="1" s="1"/>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A10" i="51"/>
  <c r="B9" i="72" s="1"/>
  <c r="C10" i="68"/>
  <c r="B29" i="1"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14" i="15"/>
  <c r="E6" i="76"/>
  <c r="R25" i="6" l="1"/>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I6" i="6" l="1"/>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5" i="11" l="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M21" i="15"/>
  <c r="F35" i="15"/>
  <c r="F35" i="67"/>
  <c r="R49" i="21" l="1"/>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2" i="35"/>
  <c r="C8" i="71" l="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6" i="1"/>
  <c r="AO11" i="1"/>
  <c r="AO7" i="1"/>
  <c r="AO10" i="1"/>
  <c r="AO8" i="1"/>
  <c r="B3" i="35" l="1"/>
  <c r="D6" i="12" s="1"/>
  <c r="D8" i="12"/>
  <c r="B3" i="36"/>
  <c r="E6" i="12" s="1"/>
  <c r="E8" i="12"/>
  <c r="C4" i="12"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23" i="12"/>
  <c r="C31" i="12"/>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6" i="71"/>
  <c r="C5" i="71"/>
  <c r="D5" i="71" s="1"/>
  <c r="M24" i="43" s="1"/>
  <c r="C42" i="40"/>
  <c r="C43" i="40"/>
  <c r="E47" i="40"/>
  <c r="F47" i="40" s="1"/>
  <c r="E46" i="40"/>
  <c r="F46" i="40" s="1"/>
  <c r="I47" i="40"/>
  <c r="J47" i="40" s="1"/>
  <c r="B3" i="39" l="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C57" i="68" s="1"/>
  <c r="C56" i="68" s="1"/>
  <c r="D20" i="9"/>
  <c r="D103" i="9" l="1"/>
  <c r="B2" i="68"/>
  <c r="C19" i="9"/>
  <c r="C102" i="9" l="1"/>
  <c r="D22" i="9"/>
  <c r="G19" i="9"/>
  <c r="C21" i="9"/>
  <c r="B3" i="68"/>
  <c r="D35" i="9"/>
  <c r="D34" i="9"/>
  <c r="C20" i="9"/>
  <c r="G21" i="9" l="1"/>
  <c r="D14" i="74"/>
  <c r="G14" i="74" s="1"/>
  <c r="B6" i="74" s="1"/>
  <c r="D6" i="74" s="1"/>
  <c r="G20" i="9"/>
  <c r="C32" i="9" s="1"/>
  <c r="C103" i="9"/>
  <c r="E14" i="74" l="1"/>
  <c r="F14" i="74"/>
  <c r="B5" i="74"/>
  <c r="D5" i="74" s="1"/>
  <c r="C35" i="9"/>
  <c r="C34" i="9" s="1"/>
  <c r="D118" i="9" l="1"/>
  <c r="D119" i="9" s="1"/>
  <c r="D5" i="52" s="1"/>
  <c r="B49" i="72" s="1"/>
  <c r="F118" i="9"/>
  <c r="G118" i="9" s="1"/>
  <c r="G4" i="52" s="1"/>
  <c r="B52" i="72" s="1"/>
  <c r="H118" i="9"/>
  <c r="C104" i="9" s="1"/>
  <c r="H4" i="52" l="1"/>
  <c r="H119" i="9"/>
  <c r="H5" i="52" s="1"/>
  <c r="F4" i="52"/>
  <c r="B51" i="72" s="1"/>
  <c r="F119" i="9"/>
  <c r="F5" i="52" s="1"/>
  <c r="B53" i="72" s="1"/>
  <c r="D4" i="52"/>
  <c r="B47" i="72" s="1"/>
  <c r="H101" i="9"/>
  <c r="I118" i="9"/>
  <c r="H102" i="9" l="1"/>
  <c r="C105" i="9"/>
  <c r="E118" i="9"/>
  <c r="E4" i="52" s="1"/>
  <c r="B48" i="72" s="1"/>
  <c r="I4" i="52"/>
  <c r="D45" i="9"/>
  <c r="D5" i="53"/>
  <c r="M48" i="9"/>
  <c r="H107" i="9"/>
  <c r="D6" i="53" l="1"/>
  <c r="B22" i="72" s="1"/>
  <c r="B20" i="72"/>
  <c r="M49" i="9"/>
  <c r="D122" i="9"/>
  <c r="H108" i="9"/>
  <c r="D13" i="53"/>
  <c r="C64" i="9"/>
  <c r="C63" i="9" s="1"/>
  <c r="C67" i="9" s="1"/>
  <c r="D52" i="9"/>
  <c r="C78" i="9"/>
  <c r="C73" i="9" s="1"/>
  <c r="C93" i="9"/>
  <c r="C86" i="9" s="1"/>
  <c r="D53" i="9"/>
  <c r="D55" i="9"/>
  <c r="M53" i="9" s="1"/>
  <c r="C72" i="9"/>
  <c r="C85" i="9"/>
  <c r="C5" i="74"/>
  <c r="D7" i="53"/>
  <c r="B21" i="72" s="1"/>
  <c r="C95" i="9" l="1"/>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M69" i="9" l="1"/>
  <c r="N69" i="9" s="1"/>
  <c r="C81" i="9"/>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<sst xmlns="http://schemas.openxmlformats.org/spreadsheetml/2006/main" count="14774" uniqueCount="5862">
  <si>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</si>
  <si>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</si>
  <si>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</si>
  <si>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</si>
  <si>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</si>
  <si>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</si>
  <si>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</si>
  <si>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</si>
  <si>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</si>
  <si>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</si>
  <si>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</si>
  <si>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</si>
  <si>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</si>
  <si>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</si>
  <si>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</si>
  <si>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</si>
  <si>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</si>
  <si>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</si>
  <si>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</si>
  <si>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</si>
  <si>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</si>
  <si>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</si>
  <si>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</si>
  <si>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</si>
  <si>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</si>
  <si>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</si>
  <si>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</si>
  <si>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</si>
  <si>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</si>
  <si>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</si>
  <si>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</si>
  <si>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</si>
  <si>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</si>
  <si>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</si>
  <si>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</si>
  <si>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</si>
  <si>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</si>
  <si>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</si>
  <si>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</si>
  <si>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</si>
  <si>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</si>
  <si>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</si>
  <si>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</si>
  <si>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</si>
  <si>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</si>
  <si>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</si>
  <si>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</si>
  <si>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</si>
  <si>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</si>
  <si>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</si>
  <si>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</si>
  <si>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</si>
  <si>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</si>
  <si>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</si>
  <si>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</si>
  <si>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</si>
  <si>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</si>
  <si>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</si>
  <si>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</si>
  <si>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</si>
  <si>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</si>
  <si>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</si>
  <si>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</si>
  <si>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</si>
  <si>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</si>
  <si>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</si>
  <si>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</si>
  <si>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</si>
  <si>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</si>
  <si>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</si>
  <si>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</si>
  <si>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</si>
  <si>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</si>
  <si>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</si>
  <si>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</si>
  <si>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</si>
  <si>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</si>
  <si>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</si>
  <si>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</si>
  <si>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</si>
  <si>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</si>
  <si>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</si>
  <si>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</si>
  <si>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</si>
  <si>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</si>
  <si>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</si>
  <si>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</si>
  <si>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</si>
  <si>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</si>
  <si>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</si>
  <si>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</si>
  <si>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</si>
  <si>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</si>
  <si>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</si>
  <si>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</si>
  <si>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</si>
  <si>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</si>
  <si>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</si>
  <si>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</si>
  <si>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</si>
  <si>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</si>
  <si>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</si>
  <si>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</si>
  <si>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</si>
  <si>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</si>
  <si>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</si>
  <si>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</si>
  <si>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</si>
  <si>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</si>
  <si>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</si>
  <si>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</si>
  <si>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</si>
  <si>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</si>
  <si>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</si>
  <si>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</si>
  <si>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</si>
  <si>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</si>
  <si>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</si>
  <si>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</si>
  <si>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</si>
  <si>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</si>
  <si>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</si>
  <si>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</si>
  <si>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</si>
  <si>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</si>
  <si>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</si>
  <si>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</si>
  <si>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</si>
  <si>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</si>
  <si>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</si>
  <si>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</si>
  <si>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</si>
  <si>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</si>
  <si>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</si>
  <si>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</si>
  <si>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</si>
  <si>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</si>
  <si>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</si>
  <si>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</si>
  <si>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</si>
  <si>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</si>
  <si>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</si>
  <si>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</si>
  <si>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</si>
  <si>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</si>
  <si>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</si>
  <si>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</si>
  <si>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</si>
  <si>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</si>
  <si>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</si>
  <si>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</si>
  <si>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</si>
  <si>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</si>
  <si>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</si>
  <si>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</si>
  <si>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</si>
  <si>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</si>
  <si>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</si>
  <si>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</si>
  <si>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</si>
  <si>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</si>
  <si>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</si>
  <si>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</si>
  <si>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</si>
  <si>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</si>
  <si>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</si>
  <si>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</si>
  <si>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</si>
  <si>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</si>
  <si>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</si>
  <si>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</si>
  <si>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</si>
  <si>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</si>
  <si>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</si>
  <si>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</si>
  <si>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</si>
  <si>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</si>
  <si>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</si>
  <si>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</si>
  <si>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</si>
  <si>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</si>
  <si>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</si>
  <si>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</si>
  <si>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</si>
  <si>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</si>
  <si>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</si>
  <si>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</si>
  <si>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</si>
  <si>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</si>
  <si>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</si>
  <si>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</si>
  <si>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</si>
  <si>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</si>
  <si>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</si>
  <si>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</si>
  <si>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</si>
  <si>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</si>
  <si>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</si>
  <si>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</si>
  <si>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</si>
  <si>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</si>
  <si>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</si>
  <si>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</si>
  <si>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</si>
  <si>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</si>
  <si>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</si>
  <si>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</si>
  <si>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</si>
  <si>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</si>
  <si>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</si>
  <si>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</si>
  <si>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</si>
  <si>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</si>
  <si>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</si>
  <si>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</si>
  <si>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</si>
  <si>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</si>
  <si>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</si>
  <si>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</si>
  <si>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</si>
  <si>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</si>
  <si>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</si>
  <si>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</si>
  <si>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</si>
  <si>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</si>
  <si>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</si>
  <si>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</si>
  <si>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</si>
  <si>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</si>
  <si>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</si>
  <si>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</si>
  <si>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</si>
  <si>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</si>
  <si>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</si>
  <si>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</si>
  <si>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</si>
  <si>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</si>
  <si>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</si>
  <si>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</si>
  <si>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</si>
  <si>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</si>
  <si>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</si>
  <si>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</si>
  <si>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</si>
  <si>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</si>
  <si>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</si>
  <si>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</si>
  <si>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</si>
  <si>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</si>
  <si>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</si>
  <si>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</si>
  <si>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</si>
  <si>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</si>
  <si>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</si>
  <si>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</si>
  <si>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</si>
  <si>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</si>
  <si>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</si>
  <si>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</si>
  <si>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</si>
  <si>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</si>
  <si>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</si>
  <si>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</si>
  <si>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</si>
  <si>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</si>
  <si>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</si>
  <si>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</si>
  <si>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</si>
  <si>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</si>
  <si>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</si>
  <si>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</si>
  <si>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</si>
  <si>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</si>
  <si>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</si>
  <si>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</si>
  <si>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</si>
  <si>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</si>
  <si>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</si>
  <si>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</si>
  <si>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</si>
  <si>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</si>
  <si>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</si>
  <si>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</si>
  <si>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</si>
  <si>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</si>
  <si>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</si>
  <si>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</si>
  <si>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</si>
  <si>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</si>
  <si>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</si>
  <si>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</si>
  <si>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</si>
  <si>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</si>
  <si>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</si>
  <si>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</si>
  <si>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</si>
  <si>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</si>
  <si>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</si>
  <si>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</si>
  <si>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</si>
  <si>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</si>
  <si>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</si>
  <si>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</si>
  <si>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</si>
  <si>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</si>
  <si>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</si>
  <si>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</si>
  <si>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</si>
  <si>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</si>
  <si>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</si>
  <si>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</si>
  <si>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</si>
  <si>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</si>
  <si>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</si>
  <si>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</si>
  <si>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</si>
  <si>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</si>
  <si>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</si>
  <si>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</si>
  <si>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</si>
  <si>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</si>
  <si>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</si>
  <si>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</si>
  <si>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</si>
  <si>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</si>
  <si>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</si>
  <si>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</si>
  <si>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</si>
  <si>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</si>
  <si>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</si>
  <si>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</si>
  <si>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</si>
  <si>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</si>
  <si>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</si>
  <si>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</si>
  <si>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</si>
  <si>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</si>
  <si>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</si>
  <si>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</si>
  <si>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</si>
  <si>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</si>
  <si>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</si>
  <si>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</si>
  <si>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</si>
  <si>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</si>
  <si>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</si>
  <si>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</si>
  <si>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</si>
  <si>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</si>
  <si>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</si>
  <si>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</si>
  <si>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</si>
  <si>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</si>
  <si>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</si>
  <si>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</si>
  <si>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</si>
  <si>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</si>
  <si>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</si>
  <si>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</si>
  <si>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</si>
  <si>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</si>
  <si>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</si>
  <si>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</si>
  <si>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</si>
  <si>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</si>
  <si>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</si>
  <si>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</si>
  <si>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</si>
  <si>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</si>
  <si>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</si>
  <si>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</si>
  <si>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</si>
  <si>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</si>
  <si>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</si>
  <si>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</si>
  <si>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</si>
  <si>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</si>
  <si>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</si>
  <si>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</si>
  <si>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</si>
  <si>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</si>
  <si>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</si>
  <si>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</si>
  <si>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</si>
  <si>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</si>
  <si>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</si>
  <si>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</si>
  <si>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</si>
  <si>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</si>
  <si>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</si>
  <si>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</si>
  <si>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</si>
  <si>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</si>
  <si>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</si>
  <si>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</si>
  <si>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</si>
  <si>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</si>
  <si>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</si>
  <si>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</si>
  <si>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</si>
  <si>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</si>
  <si>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</si>
  <si>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</si>
  <si>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</si>
  <si>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</si>
  <si>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</si>
  <si>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</si>
  <si>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</si>
  <si>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</si>
  <si>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</si>
  <si>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</si>
  <si>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</si>
  <si>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</si>
  <si>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</si>
  <si>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</si>
  <si>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</si>
  <si>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</si>
  <si>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</si>
  <si>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</si>
  <si>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</si>
  <si>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</si>
  <si>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</si>
  <si>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</si>
  <si>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</si>
  <si>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</si>
  <si>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</si>
  <si>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</si>
  <si>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</si>
  <si>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</si>
  <si>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</si>
  <si>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</si>
  <si>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</si>
  <si>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</si>
  <si>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</si>
  <si>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</si>
  <si>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</si>
  <si>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</si>
  <si>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</si>
  <si>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</si>
  <si>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</si>
  <si>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</si>
  <si>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</si>
  <si>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</si>
  <si>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</si>
  <si>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</si>
  <si>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</si>
  <si>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</si>
  <si>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</si>
  <si>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</si>
  <si>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</si>
  <si>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</si>
  <si>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</si>
  <si>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</si>
  <si>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</si>
  <si>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</si>
  <si>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</si>
  <si>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</si>
  <si>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</si>
  <si>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</si>
  <si>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</si>
  <si>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</si>
  <si>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</si>
  <si>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</si>
  <si>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</si>
  <si>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</si>
  <si>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</si>
  <si>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</si>
  <si>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</si>
  <si>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</si>
  <si>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</si>
  <si>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</si>
  <si>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</si>
  <si>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</si>
  <si>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</si>
  <si>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</si>
  <si>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</si>
  <si>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</si>
  <si>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</si>
  <si>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</si>
  <si>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</si>
  <si>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</si>
  <si>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</si>
  <si>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</si>
  <si>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</si>
  <si>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</si>
  <si>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</si>
  <si>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</si>
  <si>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</si>
  <si>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</si>
  <si>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</si>
  <si>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</si>
  <si>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</si>
  <si>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</si>
  <si>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</si>
  <si>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</si>
  <si>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</si>
  <si>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</si>
  <si>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</si>
  <si>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</si>
  <si>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</si>
  <si>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</si>
  <si>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</si>
  <si>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</si>
  <si>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</si>
  <si>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</si>
  <si>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</si>
  <si>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</si>
  <si>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</si>
  <si>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</si>
  <si>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</si>
  <si>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</si>
  <si>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</si>
  <si>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</si>
  <si>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</si>
  <si>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</si>
  <si>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</si>
  <si>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</si>
  <si>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</si>
  <si>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</si>
  <si>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</si>
  <si>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</si>
  <si>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</si>
  <si>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</si>
  <si>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</si>
  <si>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</si>
  <si>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</si>
  <si>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</si>
  <si>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</si>
  <si>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</si>
  <si>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</si>
  <si>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</si>
  <si>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</si>
  <si>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</si>
  <si>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</si>
  <si>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</si>
  <si>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</si>
  <si>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</si>
  <si>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</si>
  <si>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</si>
  <si>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</si>
  <si>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</si>
  <si>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</si>
  <si>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</si>
  <si>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</si>
  <si>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</si>
  <si>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</si>
  <si>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</si>
  <si>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</si>
  <si>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</si>
  <si>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</si>
  <si>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</si>
  <si>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</si>
  <si>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</si>
  <si>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</si>
  <si>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</si>
  <si>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</si>
  <si>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</si>
  <si>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</si>
  <si>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</si>
  <si>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</si>
  <si>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</si>
  <si>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</si>
  <si>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</si>
  <si>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</si>
  <si>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</si>
  <si>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</si>
  <si>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</si>
  <si>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</si>
  <si>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</si>
  <si>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</si>
  <si>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</si>
  <si>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</si>
  <si>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</si>
  <si>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</si>
  <si>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</si>
  <si>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</si>
  <si>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</si>
  <si>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</si>
  <si>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</si>
  <si>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</si>
  <si>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</si>
  <si>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</si>
  <si>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</si>
  <si>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</si>
  <si>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</si>
  <si>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</si>
  <si>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</si>
  <si>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</si>
  <si>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</si>
  <si>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</si>
  <si>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</si>
  <si>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</si>
  <si>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</si>
  <si>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</si>
  <si>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</si>
  <si>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</si>
  <si>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</si>
  <si>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</si>
  <si>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</si>
  <si>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</si>
  <si>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</si>
  <si>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</si>
  <si>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</si>
  <si>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</si>
  <si>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</si>
  <si>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</si>
  <si>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</si>
  <si>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</si>
  <si>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</si>
  <si>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</si>
  <si>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</si>
  <si>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</si>
  <si>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</si>
  <si>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</si>
  <si>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</si>
  <si>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</si>
  <si>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</si>
  <si>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</si>
  <si>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</si>
  <si>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</si>
  <si>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</si>
  <si>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</si>
  <si>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</si>
  <si>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</si>
  <si>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</si>
  <si>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</si>
  <si>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</si>
  <si>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</si>
  <si>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</si>
  <si>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</si>
  <si>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</si>
  <si>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</si>
  <si>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</si>
  <si>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</si>
  <si>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</si>
  <si>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</si>
  <si>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</si>
  <si>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</si>
  <si>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</si>
  <si>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</si>
  <si>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</si>
  <si>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</si>
  <si>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</si>
  <si>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</si>
  <si>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</si>
  <si>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</si>
  <si>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</si>
  <si>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</si>
  <si>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</si>
  <si>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</si>
  <si>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</si>
  <si>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</si>
  <si>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</si>
  <si>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</si>
  <si>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</si>
  <si>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</si>
  <si>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</si>
  <si>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</si>
  <si>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</si>
  <si>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</si>
  <si>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</si>
  <si>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</si>
  <si>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</si>
  <si>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</si>
  <si>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</si>
  <si>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</si>
  <si>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</si>
  <si>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</si>
  <si>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</si>
  <si>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</si>
  <si>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</si>
  <si>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</si>
  <si>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</si>
  <si>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</si>
  <si>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</si>
  <si>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</si>
  <si>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</si>
  <si>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</si>
  <si>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</si>
  <si>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</si>
  <si>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</si>
  <si>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</si>
  <si>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</si>
  <si>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</si>
  <si>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</si>
  <si>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</si>
  <si>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</si>
  <si>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</si>
  <si>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</si>
  <si>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</si>
  <si>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</si>
  <si>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</si>
  <si>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</si>
  <si>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</si>
  <si>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</si>
  <si>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</si>
  <si>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</si>
  <si>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</si>
  <si>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</si>
  <si>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</si>
  <si>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</si>
  <si>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</si>
  <si>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</si>
  <si>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</si>
  <si>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</si>
  <si>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</si>
  <si>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</si>
  <si>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</si>
  <si>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</si>
  <si>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</si>
  <si>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</si>
  <si>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</si>
  <si>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</si>
  <si>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</si>
  <si>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</si>
  <si>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</si>
  <si>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</si>
  <si>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</si>
  <si>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</si>
  <si>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</si>
  <si>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</si>
  <si>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</si>
  <si>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</si>
  <si>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</si>
  <si>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</si>
  <si>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</si>
  <si>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</si>
  <si>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</si>
  <si>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</si>
  <si>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</si>
  <si>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</si>
  <si>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</si>
  <si>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</si>
  <si>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</si>
  <si>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</si>
  <si>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</si>
  <si>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</si>
  <si>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</si>
  <si>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</si>
  <si>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</si>
  <si>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</si>
  <si>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</si>
  <si>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</si>
  <si>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</si>
  <si>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</si>
  <si>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</si>
  <si>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</si>
  <si>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</si>
  <si>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</si>
  <si>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</si>
  <si>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</si>
  <si>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</si>
  <si>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</si>
  <si>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</si>
  <si>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</si>
  <si>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</si>
  <si>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</si>
  <si>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</si>
  <si>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</si>
  <si>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</si>
  <si>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</si>
  <si>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</si>
  <si>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</si>
  <si>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</si>
  <si>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</si>
  <si>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</si>
  <si>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</si>
  <si>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</si>
  <si>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</si>
  <si>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</si>
  <si>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</si>
  <si>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</si>
  <si>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</si>
  <si>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</si>
  <si>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</si>
  <si>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</si>
  <si>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</si>
  <si>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</si>
  <si>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</si>
  <si>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</si>
  <si>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</si>
  <si>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</si>
  <si>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</si>
  <si>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</si>
  <si>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</si>
  <si>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</si>
  <si>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</si>
  <si>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</si>
  <si>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</si>
  <si>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</si>
  <si>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</si>
  <si>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</si>
  <si>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</si>
  <si>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</si>
  <si>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</si>
  <si>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</si>
  <si>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</si>
  <si>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</si>
  <si>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</si>
  <si>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</si>
  <si>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</si>
  <si>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</si>
  <si>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</si>
  <si>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</si>
  <si>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</si>
  <si>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</si>
  <si>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</si>
  <si>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</si>
  <si>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</si>
  <si>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</si>
  <si>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</si>
  <si>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</si>
  <si>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</si>
  <si>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</si>
  <si>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</si>
  <si>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</si>
  <si>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</si>
  <si>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</si>
  <si>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</si>
  <si>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</si>
  <si>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</si>
  <si>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</si>
  <si>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</si>
  <si>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</si>
  <si>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</si>
  <si>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</si>
  <si>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</si>
  <si>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</si>
  <si>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</si>
  <si>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</si>
  <si>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</si>
  <si>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</si>
  <si>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</si>
  <si>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</si>
  <si>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</si>
  <si>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</si>
  <si>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</si>
  <si>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</si>
  <si>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</si>
  <si>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</si>
  <si>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</si>
  <si>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</si>
  <si>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</si>
  <si>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</si>
  <si>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</si>
  <si>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</si>
  <si>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</si>
  <si>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</si>
  <si>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</si>
  <si>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</si>
  <si>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</si>
  <si>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</si>
  <si>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</si>
  <si>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</si>
  <si>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</si>
  <si>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</si>
  <si>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</si>
  <si>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</si>
  <si>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</si>
  <si>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</si>
  <si>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</si>
  <si>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</si>
  <si>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</si>
  <si>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</si>
  <si>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</si>
  <si>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</si>
  <si>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</si>
  <si>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</si>
  <si>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</si>
  <si>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</si>
  <si>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</si>
  <si>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</si>
  <si>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</si>
  <si>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</si>
  <si>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</si>
  <si>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</si>
  <si>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</si>
  <si>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</si>
  <si>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</si>
  <si>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</si>
  <si>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</si>
  <si>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</si>
  <si>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</si>
  <si>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</si>
  <si>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</si>
  <si>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</si>
  <si>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</si>
  <si>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</si>
  <si>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</si>
  <si>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</si>
  <si>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</si>
  <si>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</si>
  <si>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</si>
  <si>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</si>
  <si>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</si>
  <si>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</si>
  <si>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</si>
  <si>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</si>
  <si>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</si>
  <si>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</si>
  <si>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</si>
  <si>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</si>
  <si>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</si>
  <si>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</si>
  <si>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</si>
  <si>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</si>
  <si>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</si>
  <si>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</si>
  <si>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</si>
  <si>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</si>
  <si>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</si>
  <si>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</si>
  <si>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</si>
  <si>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</si>
  <si>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</si>
  <si>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</si>
  <si>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</si>
  <si>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</si>
  <si>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</si>
  <si>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</si>
  <si>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</si>
  <si>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</si>
  <si>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</si>
  <si>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</si>
  <si>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</si>
  <si>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</si>
  <si>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</si>
  <si>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</si>
  <si>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</si>
  <si>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</si>
  <si>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</si>
  <si>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</si>
  <si>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</si>
  <si>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</si>
  <si>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</si>
  <si>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</si>
  <si>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</si>
  <si>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</si>
  <si>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</si>
  <si>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</si>
  <si>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</si>
  <si>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</si>
  <si>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</si>
  <si>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</si>
  <si>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</si>
  <si>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</si>
  <si>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</si>
  <si>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</si>
  <si>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</si>
  <si>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</si>
  <si>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</si>
  <si>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</si>
  <si>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</si>
  <si>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</si>
  <si>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</si>
  <si>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</si>
  <si>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</si>
  <si>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</si>
  <si>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</si>
  <si>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</si>
  <si>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</si>
  <si>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</si>
  <si>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</si>
  <si>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</si>
  <si>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</si>
  <si>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</si>
  <si>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</si>
  <si>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</si>
  <si>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</si>
  <si>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</si>
  <si>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</si>
  <si>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</si>
  <si>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</si>
  <si>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</si>
  <si>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</si>
  <si>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</si>
  <si>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</si>
  <si>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</si>
  <si>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</si>
  <si>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</si>
  <si>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</si>
  <si>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</si>
  <si>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</si>
  <si>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</si>
  <si>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</si>
  <si>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</si>
  <si>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</si>
  <si>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</si>
  <si>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</si>
  <si>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</si>
  <si>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</si>
  <si>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</si>
  <si>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</si>
  <si>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</si>
  <si>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</si>
  <si>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</si>
  <si>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</si>
  <si>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</si>
  <si>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</si>
  <si>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</si>
  <si>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</si>
  <si>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</si>
  <si>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</si>
  <si>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</si>
  <si>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</si>
  <si>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</si>
  <si>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</si>
  <si>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</si>
  <si>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</si>
  <si>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</si>
  <si>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</si>
  <si>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</si>
  <si>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</si>
  <si>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</si>
  <si>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</si>
  <si>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</si>
  <si>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</si>
  <si>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</si>
  <si>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</si>
  <si>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</si>
  <si>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</si>
  <si>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</si>
  <si>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</si>
  <si>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</si>
  <si>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</si>
  <si>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</si>
  <si>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</si>
  <si>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</si>
  <si>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</si>
  <si>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</si>
  <si>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</si>
  <si>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</si>
  <si>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</si>
  <si>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</si>
  <si>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</si>
  <si>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</si>
  <si>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</si>
  <si>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</si>
  <si>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</si>
  <si>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</si>
  <si>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</si>
  <si>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</si>
  <si>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</si>
  <si>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</si>
  <si>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</si>
  <si>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</si>
  <si>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</si>
  <si>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</si>
  <si>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</si>
  <si>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</si>
  <si>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</si>
  <si>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</si>
  <si>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</si>
  <si>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</si>
  <si>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</si>
  <si>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</si>
  <si>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</si>
  <si>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</si>
  <si>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</si>
  <si>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</si>
  <si>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</si>
  <si>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</si>
  <si>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</si>
  <si>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</si>
  <si>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</si>
  <si>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</si>
  <si>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</si>
  <si>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</si>
  <si>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</si>
  <si>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</si>
  <si>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</si>
  <si>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</si>
  <si>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</si>
  <si>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</si>
  <si>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</si>
  <si>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</si>
  <si>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</si>
  <si>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</si>
  <si>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</si>
  <si>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</si>
  <si>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</si>
  <si>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</si>
  <si>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</si>
  <si>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</si>
  <si>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</si>
  <si>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</si>
  <si>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</si>
  <si>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</si>
  <si>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</si>
  <si>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</si>
  <si>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</si>
  <si>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</si>
  <si>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</si>
  <si>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</si>
  <si>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</si>
  <si>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</si>
  <si>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</si>
  <si>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</si>
  <si>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</si>
  <si>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</si>
  <si>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</si>
  <si>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</si>
  <si>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</si>
  <si>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</si>
  <si>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</si>
  <si>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</si>
  <si>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</si>
  <si>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</si>
  <si>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</si>
  <si>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</si>
  <si>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</si>
  <si>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</si>
  <si>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</si>
  <si>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</si>
  <si>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</si>
  <si>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</si>
  <si>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</si>
  <si>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</si>
  <si>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</si>
  <si>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</si>
  <si>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</si>
  <si>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</si>
  <si>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</si>
  <si>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</si>
  <si>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</si>
  <si>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</si>
  <si>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</si>
  <si>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</si>
  <si>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</si>
  <si>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</si>
  <si>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</si>
  <si>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</si>
  <si>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</si>
  <si>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</si>
  <si>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</si>
  <si>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</si>
  <si>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</si>
  <si>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</si>
  <si>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</si>
  <si>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</si>
  <si>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</si>
  <si>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</si>
  <si>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</si>
  <si>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</si>
  <si>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</si>
  <si>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</si>
  <si>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</si>
  <si>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</si>
  <si>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</si>
  <si>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</si>
  <si>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</si>
  <si>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</si>
  <si>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</si>
  <si>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</si>
  <si>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</si>
  <si>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</si>
  <si>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</si>
  <si>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</si>
  <si>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</si>
  <si>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</si>
  <si>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</si>
  <si>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</si>
  <si>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</si>
  <si>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</si>
  <si>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</si>
  <si>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</si>
  <si>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</si>
  <si>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</si>
  <si>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</si>
  <si>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</si>
  <si>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</si>
  <si>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</si>
  <si>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</si>
  <si>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</si>
  <si>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</si>
  <si>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</si>
  <si>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</si>
  <si>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</si>
  <si>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</si>
  <si>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</si>
  <si>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</si>
  <si>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</si>
  <si>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</si>
  <si>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</si>
  <si>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</si>
  <si>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</si>
  <si>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</si>
  <si>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</si>
  <si>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</si>
  <si>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</si>
  <si>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</si>
  <si>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</si>
  <si>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</si>
  <si>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</si>
  <si>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</si>
  <si>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</si>
  <si>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</si>
  <si>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</si>
  <si>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</si>
  <si>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</si>
  <si>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</si>
  <si>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</si>
  <si>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</si>
  <si>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</si>
  <si>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</si>
  <si>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</si>
  <si>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</si>
  <si>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</si>
  <si>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</si>
  <si>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</si>
  <si>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</si>
  <si>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</si>
  <si>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</si>
  <si>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</si>
  <si>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</si>
  <si>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</si>
  <si>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</si>
  <si>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</si>
  <si>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</si>
  <si>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</si>
  <si>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</si>
  <si>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</si>
  <si>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</si>
  <si>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</si>
  <si>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</si>
  <si>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</si>
  <si>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</si>
  <si>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</si>
  <si>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</si>
  <si>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</si>
  <si>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</si>
  <si>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</si>
  <si>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</si>
  <si>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</si>
  <si>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</si>
  <si>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</si>
  <si>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</si>
  <si>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</si>
  <si>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</si>
  <si>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</si>
  <si>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</si>
  <si>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</si>
  <si>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</si>
  <si>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</si>
  <si>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</si>
  <si>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</si>
  <si>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</si>
  <si>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</si>
  <si>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</si>
  <si>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</si>
  <si>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</si>
  <si>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</si>
  <si>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</si>
  <si>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</si>
  <si>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</si>
  <si>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</si>
  <si>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</si>
  <si>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</si>
  <si>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</si>
  <si>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</si>
  <si>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</si>
  <si>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</si>
  <si>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</si>
  <si>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</si>
  <si>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</si>
  <si>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</si>
  <si>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</si>
  <si>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</si>
  <si>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</si>
  <si>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</si>
  <si>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</si>
  <si>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</si>
  <si>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</si>
  <si>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</si>
  <si>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</si>
  <si>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</si>
  <si>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</si>
  <si>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</si>
  <si>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</si>
  <si>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</si>
  <si>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</si>
  <si>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</si>
  <si>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</si>
  <si>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</si>
  <si>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</si>
  <si>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</si>
  <si>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</si>
  <si>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</si>
  <si>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</si>
  <si>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</si>
  <si>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</si>
  <si>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</si>
  <si>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</si>
  <si>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</si>
  <si>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</si>
  <si>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</si>
  <si>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</si>
  <si>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</si>
  <si>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</si>
  <si>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</si>
  <si>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</si>
  <si>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</si>
  <si>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</si>
  <si>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</si>
  <si>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</si>
  <si>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</si>
  <si>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</si>
  <si>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</si>
  <si>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</si>
  <si>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</si>
  <si>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</si>
  <si>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</si>
  <si>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</si>
  <si>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</si>
  <si>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</si>
  <si>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</si>
  <si>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</si>
  <si>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</si>
  <si>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</si>
  <si>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</si>
  <si>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</si>
  <si>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</si>
  <si>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</si>
  <si>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</si>
  <si>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</si>
  <si>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</si>
  <si>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</si>
  <si>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</si>
  <si>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</si>
  <si>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</si>
  <si>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</si>
  <si>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</si>
  <si>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</si>
  <si>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</si>
  <si>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</si>
  <si>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</si>
  <si>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</si>
  <si>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</si>
  <si>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</si>
  <si>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</si>
  <si>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</si>
  <si>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</si>
  <si>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</si>
  <si>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</si>
  <si>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</si>
  <si>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</si>
  <si>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</si>
  <si>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</si>
  <si>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</si>
  <si>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</si>
  <si>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</si>
  <si>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</si>
  <si>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</si>
  <si>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</si>
  <si>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</si>
  <si>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</si>
  <si>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</si>
  <si>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</si>
  <si>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</si>
  <si>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</si>
  <si>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</si>
  <si>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</si>
  <si>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</si>
  <si>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</si>
  <si>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</si>
  <si>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</si>
  <si>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</si>
  <si>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</si>
  <si>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</si>
  <si>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</si>
  <si>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</si>
  <si>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</si>
  <si>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</si>
  <si>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</si>
  <si>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</si>
  <si>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</si>
  <si>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</si>
  <si>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</si>
  <si>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</si>
  <si>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</si>
  <si>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</si>
  <si>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</si>
  <si>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</si>
  <si>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</si>
  <si>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</si>
  <si>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</si>
  <si>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</si>
  <si>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</si>
  <si>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</si>
  <si>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</si>
  <si>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</si>
  <si>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</si>
  <si>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</si>
  <si>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</si>
  <si>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</si>
  <si>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</si>
  <si>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</si>
  <si>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</si>
  <si>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</si>
  <si>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</si>
  <si>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</si>
  <si>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</si>
  <si>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</si>
  <si>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</si>
  <si>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</si>
  <si>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</si>
  <si>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</si>
  <si>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</si>
  <si>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</si>
  <si>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</si>
  <si>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</si>
  <si>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</si>
  <si>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</si>
  <si>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</si>
  <si>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</si>
  <si>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</si>
  <si>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</si>
  <si>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</si>
  <si>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</si>
  <si>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</si>
  <si>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</si>
  <si>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</si>
  <si>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</si>
  <si>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</si>
  <si>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</si>
  <si>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</si>
  <si>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</si>
  <si>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</si>
  <si>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</si>
  <si>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</si>
  <si>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</si>
  <si>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</si>
  <si>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</si>
  <si>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</si>
  <si>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</si>
  <si>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</si>
  <si>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</si>
  <si>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</si>
  <si>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</si>
  <si>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</si>
  <si>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</si>
  <si>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</si>
  <si>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</si>
  <si>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</si>
  <si>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</si>
  <si>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</si>
  <si>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</si>
  <si>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</si>
  <si>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</si>
  <si>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</si>
  <si>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</si>
  <si>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</si>
  <si>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</si>
  <si>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</si>
  <si>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</si>
  <si>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</si>
  <si>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</si>
  <si>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</si>
  <si>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</si>
  <si>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</si>
  <si>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</si>
  <si>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</si>
  <si>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</si>
  <si>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</si>
  <si>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</si>
  <si>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</si>
  <si>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</si>
  <si>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</si>
  <si>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</si>
  <si>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</si>
  <si>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</si>
  <si>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</si>
  <si>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</si>
  <si>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</si>
  <si>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</si>
  <si>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</si>
  <si>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</si>
  <si>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</si>
  <si>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</si>
  <si>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</si>
  <si>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</si>
  <si>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</si>
  <si>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</si>
  <si>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</si>
  <si>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</si>
  <si>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</si>
  <si>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</si>
  <si>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</si>
  <si>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</si>
  <si>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</si>
  <si>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</si>
  <si>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</si>
  <si>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</si>
  <si>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</si>
  <si>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</si>
  <si>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</si>
  <si>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</si>
  <si>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</si>
  <si>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</si>
  <si>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</si>
  <si>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</si>
  <si>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</si>
  <si>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</si>
  <si>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</si>
  <si>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</si>
  <si>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</si>
  <si>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</si>
  <si>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</si>
  <si>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</si>
  <si>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</si>
  <si>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</si>
  <si>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</si>
  <si>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</si>
  <si>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</si>
  <si>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</si>
  <si>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</si>
  <si>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</si>
  <si>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</si>
  <si>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</si>
  <si>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</si>
  <si>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</si>
  <si>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</si>
  <si>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</si>
  <si>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</si>
  <si>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</si>
  <si>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</si>
  <si>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</si>
  <si>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</si>
  <si>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</si>
  <si>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</si>
  <si>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</si>
  <si>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</si>
  <si>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</si>
  <si>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</si>
  <si>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</si>
  <si>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</si>
  <si>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</si>
  <si>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</si>
  <si>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</si>
  <si>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</si>
  <si>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</si>
  <si>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</si>
  <si>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</si>
  <si>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</si>
  <si>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</si>
  <si>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</si>
  <si>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</si>
  <si>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</si>
  <si>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</si>
  <si>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</si>
  <si>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</si>
  <si>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</si>
  <si>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</si>
  <si>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</si>
  <si>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</si>
  <si>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</si>
  <si>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</si>
  <si>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</si>
  <si>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</si>
  <si>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</si>
  <si>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</si>
  <si>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</si>
  <si>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</si>
  <si>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</si>
  <si>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</si>
  <si>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</si>
  <si>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</si>
  <si>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</si>
  <si>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</si>
  <si>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</si>
  <si>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</si>
  <si>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</si>
  <si>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</si>
  <si>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</si>
  <si>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</si>
  <si>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</si>
  <si>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</si>
  <si>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</si>
  <si>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</si>
  <si>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</si>
  <si>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</si>
  <si>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</si>
  <si>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</si>
  <si>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</si>
  <si>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</si>
  <si>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</si>
  <si>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</si>
  <si>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</si>
  <si>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</si>
  <si>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</si>
  <si>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</si>
  <si>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</si>
  <si>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</si>
  <si>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</si>
  <si>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</si>
  <si>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</si>
  <si>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</si>
  <si>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</si>
  <si>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</si>
  <si>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</si>
  <si>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</si>
  <si>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</si>
  <si>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</si>
  <si>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</si>
  <si>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</si>
  <si>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</si>
  <si>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</si>
  <si>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</si>
  <si>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</si>
  <si>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</si>
  <si>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</si>
  <si>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</si>
  <si>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</si>
  <si>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</si>
  <si>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</si>
  <si>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</si>
  <si>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</si>
  <si>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</si>
  <si>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</si>
  <si>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</si>
  <si>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</si>
  <si>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</si>
  <si>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</si>
  <si>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</si>
  <si>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</si>
  <si>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</si>
  <si>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</si>
  <si>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</si>
  <si>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</si>
  <si>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</si>
  <si>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</si>
  <si>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</si>
  <si>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</si>
  <si>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</si>
  <si>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</si>
  <si>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</si>
  <si>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</si>
  <si>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</si>
  <si>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</si>
  <si>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</si>
  <si>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</si>
  <si>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</si>
  <si>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</si>
  <si>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</si>
  <si>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</si>
  <si>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</si>
  <si>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</si>
  <si>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</si>
  <si>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</si>
  <si>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</si>
  <si>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</si>
  <si>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</si>
  <si>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</si>
  <si>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</si>
  <si>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</si>
  <si>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</si>
  <si>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</si>
  <si>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</si>
  <si>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</si>
  <si>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</si>
  <si>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</si>
  <si>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</si>
  <si>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</si>
  <si>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</si>
  <si>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</si>
  <si>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</si>
  <si>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</si>
  <si>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</si>
  <si>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</si>
  <si>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</si>
  <si>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</si>
  <si>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</si>
  <si>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</si>
  <si>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</si>
  <si>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</si>
  <si>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</si>
  <si>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</si>
  <si>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</si>
  <si>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</si>
  <si>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</si>
  <si>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</si>
  <si>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</si>
  <si>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</si>
  <si>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</si>
  <si>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</si>
  <si>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</si>
  <si>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</si>
  <si>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</si>
  <si>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</si>
  <si>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</si>
  <si>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</si>
  <si>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</si>
  <si>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</si>
  <si>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</si>
  <si>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</si>
  <si>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</si>
  <si>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</si>
  <si>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</si>
  <si>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</si>
  <si>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</si>
  <si>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</si>
  <si>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</si>
  <si>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</si>
  <si>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</si>
  <si>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</si>
  <si>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</si>
  <si>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</si>
  <si>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</si>
  <si>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</si>
  <si>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</si>
  <si>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</si>
  <si>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</si>
  <si>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</si>
  <si>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</si>
  <si>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</si>
  <si>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</si>
  <si>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</si>
  <si>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</si>
  <si>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</si>
  <si>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</si>
  <si>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</si>
  <si>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</si>
  <si>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</si>
  <si>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</si>
  <si>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</si>
  <si>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</si>
  <si>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</si>
  <si>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</si>
  <si>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</si>
  <si>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</si>
  <si>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</si>
  <si>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</si>
  <si>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</si>
  <si>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</si>
  <si>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</si>
  <si>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</si>
  <si>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</si>
  <si>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</si>
  <si>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</si>
  <si>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</si>
  <si>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</si>
  <si>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</si>
  <si>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</si>
  <si>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</si>
  <si>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</si>
  <si>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</si>
  <si>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</si>
  <si>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</si>
  <si>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</si>
  <si>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</si>
  <si>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</si>
  <si>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</si>
  <si>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</si>
  <si>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</si>
  <si>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</si>
  <si>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</si>
  <si>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</si>
  <si>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</si>
  <si>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</si>
  <si>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</si>
  <si>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</si>
  <si>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</si>
  <si>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</si>
  <si>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</si>
  <si>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</si>
  <si>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</si>
  <si>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</si>
  <si>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</si>
  <si>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</si>
  <si>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</si>
  <si>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</si>
  <si>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</si>
  <si>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</si>
  <si>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</si>
  <si>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</si>
  <si>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</si>
  <si>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</si>
  <si>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</si>
  <si>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</si>
  <si>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</si>
  <si>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</si>
  <si>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</si>
  <si>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</si>
  <si>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</si>
  <si>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</si>
  <si>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</si>
  <si>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</si>
  <si>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</si>
  <si>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</si>
  <si>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</si>
  <si>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</si>
  <si>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</si>
  <si>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</si>
  <si>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</si>
  <si>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</si>
  <si>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</si>
  <si>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</si>
  <si>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</si>
  <si>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</si>
  <si>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</si>
  <si>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</si>
  <si>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</si>
  <si>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</si>
  <si>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</si>
  <si>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</si>
  <si>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</si>
  <si>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</si>
  <si>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</si>
  <si>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</si>
  <si>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</si>
  <si>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</si>
  <si>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</si>
  <si>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</si>
  <si>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</si>
  <si>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</si>
  <si>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</si>
  <si>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</si>
  <si>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</si>
  <si>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</si>
  <si>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</si>
  <si>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</si>
  <si>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</si>
  <si>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</si>
  <si>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</si>
  <si>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</si>
  <si>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</si>
  <si>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</si>
  <si>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</si>
  <si>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</si>
  <si>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</si>
  <si>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</si>
  <si>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</si>
  <si>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</si>
  <si>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</si>
  <si>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</si>
  <si>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</si>
  <si>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</si>
  <si>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</si>
  <si>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</si>
  <si>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</si>
  <si>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</si>
  <si>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</si>
  <si>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</si>
  <si>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</si>
  <si>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</si>
  <si>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</si>
  <si>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</si>
  <si>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</si>
  <si>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</si>
  <si>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</si>
  <si>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</si>
  <si>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</si>
  <si>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</si>
  <si>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</si>
  <si>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</si>
  <si>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</si>
  <si>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</si>
  <si>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</si>
  <si>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</si>
  <si>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</si>
  <si>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</si>
  <si>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</si>
  <si>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</si>
  <si>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</si>
  <si>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</si>
  <si>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</si>
  <si>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</si>
  <si>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</si>
  <si>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</si>
  <si>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</si>
  <si>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</si>
  <si>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</si>
  <si>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</si>
  <si>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</si>
  <si>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</si>
  <si>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</si>
  <si>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</si>
  <si>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</si>
  <si>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</si>
  <si>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</si>
  <si>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</si>
  <si>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</si>
  <si>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</si>
  <si>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</si>
  <si>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</si>
  <si>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</si>
  <si>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</si>
  <si>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</si>
  <si>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</si>
  <si>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</si>
  <si>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</si>
  <si>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</si>
  <si>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</si>
  <si>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</si>
  <si>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</si>
  <si>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</si>
  <si>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</si>
  <si>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</si>
  <si>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</si>
  <si>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</si>
  <si>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</si>
  <si>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</si>
  <si>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</si>
  <si>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</si>
  <si>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</si>
  <si>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</si>
  <si>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</si>
  <si>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</si>
  <si>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</si>
  <si>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</si>
  <si>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</si>
  <si>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</si>
  <si>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</si>
  <si>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</si>
  <si>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</si>
  <si>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</si>
  <si>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</si>
  <si>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</si>
  <si>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</si>
  <si>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</si>
  <si>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</si>
  <si>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</si>
  <si>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</si>
  <si>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</si>
  <si>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</si>
  <si>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</si>
  <si>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</si>
  <si>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</si>
  <si>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</si>
  <si>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</si>
  <si>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</si>
  <si>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</si>
  <si>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</si>
  <si>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</si>
  <si>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</si>
  <si>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</si>
  <si>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</si>
  <si>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</si>
  <si>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</si>
  <si>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</si>
  <si>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</si>
  <si>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</si>
  <si>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</si>
  <si>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</si>
  <si>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</si>
  <si>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</si>
  <si>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</si>
  <si>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</si>
  <si>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</si>
  <si>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</si>
  <si>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</si>
  <si>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</si>
  <si>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</si>
  <si>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</si>
  <si>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</si>
  <si>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</si>
  <si>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</si>
  <si>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</si>
  <si>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</si>
  <si>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</si>
  <si>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</si>
  <si>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</si>
  <si>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</si>
  <si>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</si>
  <si>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</si>
  <si>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</si>
  <si>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</si>
  <si>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</si>
  <si>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</si>
  <si>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</si>
  <si>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</si>
  <si>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</si>
  <si>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</si>
  <si>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</si>
  <si>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</si>
  <si>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</si>
  <si>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</si>
  <si>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</si>
  <si>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</si>
  <si>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</si>
  <si>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</si>
  <si>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</si>
  <si>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</si>
  <si>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</si>
  <si>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</si>
  <si>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</si>
  <si>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</si>
  <si>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</si>
  <si>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</si>
  <si>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</si>
  <si>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</si>
  <si>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</si>
  <si>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</si>
  <si>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</si>
  <si>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</si>
  <si>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</si>
  <si>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</si>
  <si>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</si>
  <si>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</si>
  <si>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</si>
  <si>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</si>
  <si>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</si>
  <si>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</si>
  <si>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</si>
  <si>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</si>
  <si>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</si>
  <si>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</si>
  <si>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</si>
  <si>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</si>
  <si>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</si>
  <si>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</si>
  <si>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</si>
  <si>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</si>
  <si>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</si>
  <si>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</si>
  <si>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</si>
  <si>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</si>
  <si>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</si>
  <si>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</si>
  <si>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</si>
  <si>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</si>
  <si>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</si>
  <si>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</si>
  <si>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</si>
  <si>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</si>
  <si>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</si>
  <si>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</si>
  <si>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</si>
  <si>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</si>
  <si>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</si>
  <si>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</si>
  <si>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</si>
  <si>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</si>
  <si>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</si>
  <si>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</si>
  <si>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</si>
  <si>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</si>
  <si>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</si>
  <si>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</si>
  <si>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</si>
  <si>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</si>
  <si>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</si>
  <si>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</si>
  <si>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</si>
  <si>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</si>
  <si>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</si>
  <si>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</si>
  <si>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</si>
  <si>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</si>
  <si>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</si>
  <si>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</si>
  <si>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</si>
  <si>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</si>
  <si>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</si>
  <si>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</si>
  <si>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</si>
  <si>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</si>
  <si>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</si>
  <si>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</si>
  <si>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</si>
  <si>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</si>
  <si>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</si>
  <si>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</si>
  <si>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</si>
  <si>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</si>
  <si>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</si>
  <si>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</si>
  <si>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</si>
  <si>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</si>
  <si>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</si>
  <si>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</si>
  <si>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</si>
  <si>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</si>
  <si>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</si>
  <si>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</si>
  <si>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</si>
  <si>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</si>
  <si>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</si>
  <si>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</si>
  <si>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</si>
  <si>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</si>
  <si>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</si>
  <si>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</si>
  <si>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</si>
  <si>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</si>
  <si>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</si>
  <si>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</si>
  <si>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</si>
  <si>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</si>
  <si>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</si>
  <si>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</si>
  <si>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</si>
  <si>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</si>
  <si>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</si>
  <si>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</si>
  <si>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</si>
  <si>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</si>
  <si>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</si>
  <si>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</si>
  <si>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</si>
  <si>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</si>
  <si>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</si>
  <si>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</si>
  <si>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</si>
  <si>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</si>
  <si>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</si>
  <si>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</si>
  <si>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</si>
  <si>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</si>
  <si>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</si>
  <si>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</si>
  <si>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</si>
  <si>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</si>
  <si>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</si>
  <si>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</si>
  <si>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</si>
  <si>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</si>
  <si>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</si>
  <si>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</si>
  <si>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</si>
  <si>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</si>
  <si>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</si>
  <si>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</si>
  <si>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</si>
  <si>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</si>
  <si>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</si>
  <si>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</si>
  <si>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</si>
  <si>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</si>
  <si>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</si>
  <si>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</si>
  <si>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</si>
  <si>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</si>
  <si>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</si>
  <si>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</si>
  <si>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</si>
  <si>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</si>
  <si>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</si>
  <si>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</si>
  <si>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</si>
  <si>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</si>
  <si>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</si>
  <si>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</si>
  <si>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</si>
  <si>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</si>
  <si>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</si>
  <si>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</si>
  <si>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</si>
  <si>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</si>
  <si>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</si>
  <si>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</si>
  <si>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</si>
  <si>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</si>
  <si>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</si>
  <si>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</si>
  <si>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</si>
  <si>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</si>
  <si>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</si>
  <si>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</si>
  <si>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</si>
  <si>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</si>
  <si>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</si>
  <si>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</si>
  <si>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</si>
  <si>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</si>
  <si>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</si>
  <si>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</si>
  <si>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</si>
  <si>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</si>
  <si>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</si>
  <si>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</si>
  <si>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</si>
  <si>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</si>
  <si>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</si>
  <si>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</si>
  <si>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</si>
  <si>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</si>
  <si>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</si>
  <si>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</si>
  <si>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</si>
  <si>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</si>
  <si>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</si>
  <si>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</si>
  <si>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</si>
  <si>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</si>
  <si>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</si>
  <si>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</si>
  <si>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</si>
  <si>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</si>
  <si>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</si>
  <si>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</si>
  <si>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</si>
  <si>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</si>
  <si>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</si>
  <si>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</si>
  <si>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</si>
  <si>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</si>
  <si>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</si>
  <si>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</si>
  <si>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</si>
  <si>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</si>
  <si>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</si>
  <si>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</si>
  <si>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</si>
  <si>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</si>
  <si>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</si>
  <si>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</si>
  <si>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</si>
  <si>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</si>
  <si>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</si>
  <si>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</si>
  <si>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</si>
  <si>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</si>
  <si>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</si>
  <si>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</si>
  <si>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</si>
  <si>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</si>
  <si>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</si>
  <si>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</si>
  <si>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</si>
  <si>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</si>
  <si>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</si>
  <si>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</si>
  <si>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</si>
  <si>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</si>
  <si>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</si>
  <si>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</si>
  <si>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</si>
  <si>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</si>
  <si>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</si>
  <si>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</si>
  <si>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</si>
  <si>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</si>
  <si>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</si>
  <si>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</si>
  <si>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</si>
  <si>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</si>
  <si>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</si>
  <si>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</si>
  <si>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</si>
  <si>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</si>
  <si>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</si>
  <si>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</si>
  <si>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</si>
  <si>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</si>
  <si>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</si>
  <si>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</si>
  <si>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</si>
  <si>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</si>
  <si>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</si>
  <si>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</si>
  <si>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</si>
  <si>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</si>
  <si>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</si>
  <si>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</si>
  <si>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</si>
  <si>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</si>
  <si>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</si>
  <si>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</si>
  <si>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</si>
  <si>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</si>
  <si>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</si>
  <si>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</si>
  <si>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</si>
  <si>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</si>
  <si>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</si>
  <si>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</si>
  <si>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</si>
  <si>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</si>
  <si>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</si>
  <si>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</si>
  <si>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</si>
  <si>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</si>
  <si>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</si>
  <si>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</si>
  <si>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</si>
  <si>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</si>
  <si>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</si>
  <si>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</si>
  <si>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</si>
  <si>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</si>
  <si>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</si>
  <si>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</si>
  <si>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</si>
  <si>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</si>
  <si>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</si>
  <si>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</si>
  <si>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</si>
  <si>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</si>
  <si>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</si>
  <si>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</si>
  <si>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</si>
  <si>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</si>
  <si>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</si>
  <si>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</si>
  <si>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</si>
  <si>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</si>
  <si>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</si>
  <si>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</si>
  <si>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</si>
  <si>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</si>
  <si>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</si>
  <si>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</si>
  <si>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</si>
  <si>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</si>
  <si>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</si>
  <si>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</si>
  <si>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</si>
  <si>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</si>
  <si>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</si>
  <si>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</si>
  <si>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</si>
  <si>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</si>
  <si>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</si>
  <si>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</si>
  <si>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</si>
  <si>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</si>
  <si>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</si>
  <si>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</si>
  <si>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</si>
  <si>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</si>
  <si>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</si>
  <si>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</si>
  <si>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</si>
  <si>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</si>
  <si>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</si>
  <si>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</si>
  <si>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</si>
  <si>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</si>
  <si>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</si>
  <si>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</si>
  <si>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</si>
  <si>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</si>
  <si>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</si>
  <si>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</si>
  <si>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</si>
  <si>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</si>
  <si>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</si>
  <si>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</si>
  <si>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</si>
  <si>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</si>
  <si>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</si>
  <si>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</si>
  <si>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</si>
  <si>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</si>
  <si>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</si>
  <si>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</si>
  <si>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</si>
  <si>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</si>
  <si>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</si>
  <si>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</si>
  <si>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</si>
  <si>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</si>
  <si>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</si>
  <si>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</si>
  <si>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</si>
  <si>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</si>
  <si>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</si>
  <si>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</si>
  <si>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</si>
  <si>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</si>
  <si>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</si>
  <si>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</si>
  <si>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</si>
  <si>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</si>
  <si>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</si>
  <si>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</si>
  <si>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</si>
  <si>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</si>
  <si>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</si>
  <si>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</si>
  <si>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</si>
  <si>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</si>
  <si>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</si>
  <si>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</si>
  <si>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</si>
  <si>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</si>
  <si>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</si>
  <si>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</si>
  <si>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</si>
  <si>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</si>
  <si>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</si>
  <si>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</si>
  <si>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</si>
  <si>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</si>
  <si>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</si>
  <si>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</si>
  <si>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</si>
  <si>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</si>
  <si>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</si>
  <si>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</si>
  <si>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</si>
  <si>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</si>
  <si>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</si>
  <si>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</si>
  <si>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</si>
  <si>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</si>
  <si>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</si>
  <si>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</si>
  <si>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</si>
  <si>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</si>
  <si>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</si>
  <si>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</si>
  <si>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</si>
  <si>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</si>
  <si>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</si>
  <si>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</si>
  <si>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</si>
  <si>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</si>
  <si>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</si>
  <si>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</si>
  <si>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</si>
  <si>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</si>
  <si>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</si>
  <si>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</si>
  <si>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</si>
  <si>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</si>
  <si>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</si>
  <si>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</si>
  <si>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</si>
  <si>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</si>
  <si>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</si>
  <si>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</si>
  <si>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</si>
  <si>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</si>
  <si>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</si>
  <si>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</si>
  <si>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</si>
  <si>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</si>
  <si>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</si>
  <si>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</si>
  <si>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</si>
  <si>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</si>
  <si>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</si>
  <si>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</si>
  <si>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</si>
  <si>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</si>
  <si>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</si>
  <si>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</si>
  <si>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</si>
  <si>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</si>
  <si>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</si>
  <si>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</si>
  <si>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</si>
  <si>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</si>
  <si>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</si>
  <si>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</si>
  <si>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</si>
  <si>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</si>
  <si>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</si>
  <si>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</si>
  <si>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</si>
  <si>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</si>
  <si>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</si>
  <si>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</si>
  <si>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</si>
  <si>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</si>
  <si>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</si>
  <si>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</si>
  <si>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</si>
  <si>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</si>
  <si>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</si>
  <si>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</si>
  <si>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</si>
  <si>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</si>
  <si>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</si>
  <si>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</si>
  <si>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</si>
  <si>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</si>
  <si>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</si>
  <si>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</si>
  <si>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</si>
  <si>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</si>
  <si>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</si>
  <si>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</si>
  <si>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</si>
  <si>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</si>
  <si>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</si>
  <si>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</si>
  <si>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</si>
  <si>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</si>
  <si>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</si>
  <si>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</si>
  <si>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</si>
  <si>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</si>
  <si>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</si>
  <si>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</si>
  <si>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</si>
  <si>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</si>
  <si>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</si>
  <si>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</si>
  <si>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</si>
  <si>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</si>
  <si>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</si>
  <si>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</si>
  <si>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</si>
  <si>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</si>
  <si>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</si>
  <si>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</si>
  <si>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</si>
  <si>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</si>
  <si>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</si>
  <si>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</si>
  <si>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</si>
  <si>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</si>
  <si>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</si>
  <si>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</si>
  <si>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</si>
  <si>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</si>
  <si>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</si>
  <si>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</si>
  <si>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</si>
  <si>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</si>
  <si>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</si>
  <si>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</si>
  <si>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</si>
  <si>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</si>
  <si>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</si>
  <si>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</si>
  <si>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</si>
  <si>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</si>
  <si>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</si>
  <si>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</si>
  <si>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</si>
  <si>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</si>
  <si>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</si>
  <si>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</si>
  <si>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</si>
  <si>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</si>
  <si>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</si>
  <si>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</si>
  <si>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</si>
  <si>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</si>
  <si>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</si>
  <si>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</si>
  <si>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</si>
  <si>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</si>
  <si>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</si>
  <si>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</si>
  <si>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</si>
  <si>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</si>
  <si>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</si>
  <si>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</si>
  <si>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</si>
  <si>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</si>
  <si>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</si>
  <si>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</si>
  <si>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</si>
  <si>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</si>
  <si>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</si>
  <si>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</si>
  <si>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</si>
  <si>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</si>
  <si>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</si>
  <si>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</si>
  <si>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</si>
  <si>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</si>
  <si>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</si>
  <si>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</si>
  <si>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</si>
  <si>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</si>
  <si>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</si>
  <si>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</si>
  <si>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</si>
  <si>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</si>
  <si>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</si>
  <si>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</si>
  <si>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</si>
  <si>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</si>
  <si>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</si>
  <si>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</si>
  <si>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</si>
  <si>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</si>
  <si>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</si>
  <si>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</si>
  <si>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</si>
  <si>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</si>
  <si>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</si>
  <si>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</si>
  <si>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</si>
  <si>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</si>
  <si>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</si>
  <si>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</si>
  <si>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</si>
  <si>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</si>
  <si>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</si>
  <si>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</si>
  <si>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</si>
  <si>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</si>
  <si>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</si>
  <si>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</si>
  <si>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</si>
  <si>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</si>
  <si>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</si>
  <si>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</si>
  <si>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</si>
  <si>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</si>
  <si>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</si>
  <si>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</si>
  <si>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</si>
  <si>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</si>
  <si>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</si>
  <si>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</si>
  <si>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</si>
  <si>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</si>
  <si>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</si>
  <si>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</si>
  <si>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</si>
  <si>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</si>
  <si>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</si>
  <si>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</si>
  <si>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</si>
  <si>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</si>
  <si>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</si>
  <si>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</si>
  <si>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</si>
  <si>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</si>
  <si>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</si>
  <si>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</si>
  <si>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</si>
  <si>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</si>
  <si>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</si>
  <si>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</si>
  <si>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</si>
  <si>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</si>
  <si>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</si>
  <si>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</si>
  <si>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</si>
  <si>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</si>
  <si>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</si>
  <si>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</si>
  <si>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</si>
  <si>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</si>
  <si>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</si>
  <si>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</si>
  <si>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</si>
  <si>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</si>
  <si>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</si>
  <si>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</si>
  <si>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</si>
  <si>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</si>
  <si>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</si>
  <si>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</si>
  <si>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</si>
  <si>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</si>
  <si>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</si>
  <si>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</si>
  <si>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</si>
  <si>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</si>
  <si>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</si>
  <si>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</si>
  <si>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</si>
  <si>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</si>
  <si>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</si>
  <si>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</si>
  <si>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</si>
  <si>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</si>
  <si>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</si>
  <si>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</si>
  <si>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</si>
  <si>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</si>
  <si>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</si>
  <si>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</si>
  <si>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</si>
  <si>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</si>
  <si>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</si>
  <si>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</si>
  <si>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</si>
  <si>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</si>
  <si>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</si>
  <si>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</si>
  <si>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</si>
  <si>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</si>
  <si>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</si>
  <si>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</si>
  <si>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</si>
  <si>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</si>
  <si>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</si>
  <si>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</si>
  <si>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</si>
  <si>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</si>
  <si>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</si>
  <si>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</si>
  <si>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</si>
  <si>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</si>
  <si>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</si>
  <si>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</si>
  <si>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</si>
  <si>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</si>
  <si>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</si>
  <si>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</si>
  <si>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</si>
  <si>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</si>
  <si>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</si>
  <si>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</si>
  <si>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</si>
  <si>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</si>
  <si>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</si>
  <si>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</si>
  <si>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</si>
  <si>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</si>
  <si>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</si>
  <si>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</si>
  <si>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</si>
  <si>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</si>
  <si>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</si>
  <si>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</si>
  <si>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</si>
  <si>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</si>
  <si>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</si>
  <si>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</si>
  <si>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</si>
  <si>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</si>
  <si>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</si>
  <si>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</si>
  <si>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</si>
  <si>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</si>
  <si>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</si>
  <si>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</si>
  <si>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</si>
  <si>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</si>
  <si>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</si>
  <si>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</si>
  <si>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</si>
  <si>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</si>
  <si>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</si>
  <si>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</si>
  <si>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</si>
  <si>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</si>
  <si>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</si>
  <si>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</si>
  <si>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</si>
  <si>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</si>
  <si>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</si>
  <si>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</si>
  <si>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</si>
  <si>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</si>
  <si>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</si>
  <si>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</si>
  <si>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</si>
  <si>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</si>
  <si>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</si>
  <si>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</si>
  <si>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</si>
  <si>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</si>
  <si>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</si>
  <si>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</si>
  <si>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</si>
  <si>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</si>
  <si>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</si>
  <si>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</si>
  <si>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</si>
  <si>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</si>
  <si>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</si>
  <si>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</si>
  <si>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</si>
  <si>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</si>
  <si>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</si>
  <si>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</si>
  <si>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</si>
  <si>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</si>
  <si>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</si>
  <si>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</si>
  <si>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</si>
  <si>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</si>
  <si>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</si>
  <si>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</si>
  <si>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</si>
  <si>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</si>
  <si>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</si>
  <si>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</si>
  <si>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</si>
  <si>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</si>
  <si>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</si>
  <si>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</si>
  <si>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</si>
  <si>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</si>
  <si>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</si>
  <si>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</si>
  <si>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</si>
  <si>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</si>
  <si>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</si>
  <si>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</si>
  <si>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</si>
  <si>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</si>
  <si>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</si>
  <si>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</si>
  <si>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</si>
  <si>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</si>
  <si>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</si>
  <si>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</si>
  <si>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</si>
  <si>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</si>
  <si>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</si>
  <si>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</si>
  <si>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</si>
  <si>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</si>
  <si>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</si>
  <si>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</si>
  <si>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</si>
  <si>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</si>
  <si>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</si>
  <si>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</si>
  <si>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</si>
  <si>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</si>
  <si>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</si>
  <si>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</si>
  <si>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</si>
  <si>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</si>
  <si>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</si>
  <si>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</si>
  <si>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</si>
  <si>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</si>
  <si>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</si>
  <si>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</si>
  <si>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</si>
  <si>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</si>
  <si>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</si>
  <si>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</si>
  <si>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</si>
  <si>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</si>
  <si>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</si>
  <si>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</si>
  <si>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</si>
  <si>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</si>
  <si>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</si>
  <si>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</si>
  <si>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</si>
  <si>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</si>
  <si>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</si>
  <si>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</si>
  <si>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</si>
  <si>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</si>
  <si>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</si>
  <si>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</si>
  <si>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</si>
  <si>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</si>
  <si>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</si>
  <si>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</si>
  <si>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</si>
  <si>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</si>
  <si>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</si>
  <si>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</si>
  <si>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</si>
  <si>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</si>
  <si>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</si>
  <si>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</si>
  <si>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</si>
  <si>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</si>
  <si>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</si>
  <si>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</si>
  <si>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</si>
  <si>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</si>
  <si>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</si>
  <si>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</si>
  <si>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</si>
  <si>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</si>
  <si>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</si>
  <si>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</si>
  <si>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</si>
  <si>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</si>
  <si>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</si>
  <si>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</si>
  <si>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</si>
  <si>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</si>
  <si>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</si>
  <si>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</si>
  <si>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</si>
  <si>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</si>
  <si>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</si>
  <si>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</si>
  <si>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</si>
  <si>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</si>
  <si>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</si>
  <si>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</si>
  <si>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</si>
  <si>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</si>
  <si>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</si>
  <si>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</si>
  <si>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</si>
  <si>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</si>
  <si>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</si>
  <si>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</si>
  <si>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</si>
  <si>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</si>
  <si>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</si>
  <si>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</si>
  <si>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</si>
  <si>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</si>
  <si>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</si>
  <si>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</si>
  <si>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</si>
  <si>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</si>
  <si>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</si>
  <si>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</si>
  <si>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</si>
  <si>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</si>
  <si>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</si>
  <si>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</si>
  <si>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</si>
  <si>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</si>
  <si>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</si>
  <si>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</si>
  <si>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</si>
  <si>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</si>
  <si>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</si>
  <si>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</si>
  <si>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</si>
  <si>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</si>
  <si>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</si>
  <si>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</si>
  <si>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</si>
  <si>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</si>
  <si>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</si>
  <si>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</si>
  <si>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</si>
  <si>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</si>
  <si>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</si>
  <si>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</si>
  <si>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</si>
  <si>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</si>
  <si>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</si>
  <si>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</si>
  <si>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</si>
  <si>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</si>
  <si>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</si>
  <si>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</si>
  <si>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</si>
  <si>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</si>
  <si>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</si>
  <si>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</si>
  <si>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</si>
  <si>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</si>
  <si>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</si>
  <si>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</si>
  <si>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</si>
  <si>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</si>
  <si>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</si>
  <si>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</si>
  <si>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</si>
  <si>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</si>
  <si>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</si>
  <si>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</si>
  <si>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</si>
  <si>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</si>
  <si>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</si>
  <si>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</si>
  <si>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</si>
  <si>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</si>
  <si>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</si>
  <si>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</si>
  <si>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</si>
  <si>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</si>
  <si>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</si>
  <si>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</si>
  <si>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</si>
  <si>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</si>
  <si>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</si>
  <si>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</si>
  <si>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</si>
  <si>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</si>
  <si>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</si>
  <si>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</si>
  <si>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</si>
  <si>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</si>
  <si>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</si>
  <si>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</si>
  <si>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</si>
  <si>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</si>
  <si>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</si>
  <si>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</si>
  <si>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</si>
  <si>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</si>
  <si>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</si>
  <si>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</si>
  <si>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</si>
  <si>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</si>
  <si>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</si>
  <si>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</si>
  <si>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</si>
  <si>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</si>
  <si>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</si>
  <si>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</si>
  <si>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</si>
  <si>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</si>
  <si>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</si>
  <si>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</si>
  <si>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</si>
  <si>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</si>
  <si>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</si>
  <si>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</si>
  <si>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</si>
  <si>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</si>
  <si>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</si>
  <si>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</si>
  <si>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</si>
  <si>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</si>
  <si>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</si>
  <si>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</si>
  <si>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</si>
  <si>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</si>
  <si>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</si>
  <si>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</si>
  <si>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</si>
  <si>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</si>
  <si>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</si>
  <si>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</si>
  <si>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</si>
  <si>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</si>
  <si>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</si>
  <si>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</si>
  <si>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</si>
  <si>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</si>
  <si>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</si>
  <si>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</si>
  <si>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</si>
  <si>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</si>
  <si>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</si>
  <si>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</si>
  <si>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</si>
  <si>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</si>
  <si>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</si>
  <si>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</si>
  <si>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</si>
  <si>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</si>
  <si>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</si>
  <si>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</si>
  <si>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</si>
  <si>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</si>
  <si>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</si>
  <si>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</si>
  <si>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</si>
  <si>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</si>
  <si>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</si>
  <si>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</si>
  <si>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</si>
  <si>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</si>
  <si>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</si>
  <si>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</si>
  <si>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</si>
  <si>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</si>
  <si>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</si>
  <si>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</si>
  <si>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</si>
  <si>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</si>
  <si>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</si>
  <si>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</si>
  <si>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</si>
  <si>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</si>
  <si>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</si>
  <si>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</si>
  <si>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</si>
  <si>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</si>
  <si>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</si>
  <si>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</si>
  <si>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</si>
  <si>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</si>
  <si>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</si>
  <si>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</si>
  <si>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</si>
  <si>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</si>
  <si>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</si>
  <si>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</si>
  <si>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</si>
  <si>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</si>
  <si>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</si>
  <si>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</si>
  <si>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</si>
  <si>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</si>
  <si>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</si>
  <si>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</si>
  <si>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</si>
  <si>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</si>
  <si>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</si>
  <si>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</si>
  <si>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</si>
  <si>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</si>
  <si>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</si>
  <si>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</si>
  <si>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</si>
  <si>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</si>
  <si>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</si>
  <si>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</si>
  <si>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</si>
  <si>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</si>
  <si>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</si>
  <si>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</si>
  <si>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</si>
  <si>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</si>
  <si>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</si>
  <si>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</si>
  <si>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</si>
  <si>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</si>
  <si>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</si>
  <si>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</si>
  <si>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</si>
  <si>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</si>
  <si>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</si>
  <si>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</si>
  <si>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</si>
  <si>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</si>
  <si>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</si>
  <si>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</si>
  <si>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</si>
  <si>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</si>
  <si>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</si>
  <si>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</si>
  <si>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</si>
  <si>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</si>
  <si>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</si>
  <si>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</si>
  <si>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</si>
  <si>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</si>
  <si>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</si>
  <si>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</si>
  <si>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</si>
  <si>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</si>
  <si>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</si>
  <si>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</si>
  <si>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</si>
  <si>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</si>
  <si>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</si>
  <si>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</si>
  <si>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</si>
  <si>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</si>
  <si>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</si>
  <si>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</si>
  <si>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</si>
  <si>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</si>
  <si>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</si>
  <si>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</si>
  <si>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</si>
  <si>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</si>
  <si>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</si>
  <si>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</si>
  <si>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</si>
  <si>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</si>
  <si>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</si>
  <si>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</si>
  <si>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</si>
  <si>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</si>
  <si>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</si>
  <si>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</si>
  <si>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</si>
  <si>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</si>
  <si>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</si>
  <si>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</si>
  <si>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</si>
  <si>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</si>
  <si>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</si>
  <si>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</si>
  <si>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</si>
  <si>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</si>
  <si>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</si>
  <si>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</si>
  <si>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</si>
  <si>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</si>
  <si>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</si>
  <si>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</si>
  <si>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</si>
  <si>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</si>
  <si>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</si>
  <si>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</si>
  <si>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</si>
  <si>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</si>
  <si>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</si>
  <si>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</si>
  <si>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</si>
  <si>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</si>
  <si>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</si>
  <si>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</si>
  <si>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</si>
  <si>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</si>
  <si>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</si>
  <si>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</si>
  <si>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</si>
  <si>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</si>
  <si>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</si>
  <si>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</si>
  <si>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</si>
  <si>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</si>
  <si>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</si>
  <si>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</si>
  <si>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</si>
  <si>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</si>
  <si>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</si>
  <si>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</si>
  <si>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</si>
  <si>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</si>
  <si>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</si>
  <si>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</si>
  <si>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</si>
  <si>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</si>
  <si>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</si>
  <si>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</si>
  <si>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</si>
  <si>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</si>
  <si>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</si>
  <si>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</si>
  <si>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</si>
  <si>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</si>
  <si>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</si>
  <si>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</si>
  <si>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</si>
  <si>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</si>
  <si>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</si>
  <si>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</si>
  <si>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</si>
  <si>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</si>
  <si>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</si>
  <si>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</si>
  <si>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</si>
  <si>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</si>
  <si>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</si>
  <si>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</si>
  <si>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</si>
  <si>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</si>
  <si>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</si>
  <si>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</si>
  <si>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</si>
  <si>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</si>
  <si>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</si>
  <si>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</si>
  <si>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</si>
  <si>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</si>
  <si>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</si>
  <si>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</si>
  <si>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</si>
  <si>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</si>
  <si>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</si>
  <si>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</si>
  <si>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</si>
  <si>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</si>
  <si>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</si>
  <si>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</si>
  <si>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</si>
  <si>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</si>
  <si>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</si>
  <si>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</si>
  <si>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</si>
  <si>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</si>
  <si>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</si>
  <si>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</si>
  <si>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</si>
  <si>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</si>
  <si>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</si>
  <si>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</si>
  <si>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</si>
  <si>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</si>
  <si>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</si>
  <si>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</si>
  <si>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</si>
  <si>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</si>
  <si>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</si>
  <si>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</si>
  <si>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</si>
  <si>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</si>
  <si>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</si>
  <si>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</si>
  <si>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</si>
  <si>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</si>
  <si>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</si>
  <si>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</si>
  <si>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</si>
  <si>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</si>
  <si>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</si>
  <si>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</si>
  <si>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</si>
  <si>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</si>
  <si>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</si>
  <si>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</si>
  <si>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</si>
  <si>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</si>
  <si>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</si>
  <si>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</si>
  <si>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</si>
  <si>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</si>
  <si>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</si>
  <si>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</si>
  <si>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</si>
  <si>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</si>
  <si>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</si>
  <si>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</si>
  <si>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</si>
  <si>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</si>
  <si>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</si>
  <si>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</si>
  <si>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</si>
  <si>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</si>
  <si>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</si>
  <si>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</si>
  <si>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</si>
  <si>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</si>
  <si>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</si>
  <si>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</si>
  <si>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</si>
  <si>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</si>
  <si>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</si>
  <si>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</si>
  <si>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</si>
  <si>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</si>
  <si>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</si>
  <si>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</si>
  <si>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</si>
  <si>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</si>
  <si>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</si>
  <si>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</si>
  <si>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</si>
  <si>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</si>
  <si>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</si>
  <si>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</si>
  <si>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</si>
  <si>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</si>
  <si>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</si>
  <si>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</si>
  <si>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</si>
  <si>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</si>
  <si>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</si>
  <si>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</si>
  <si>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</si>
  <si>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</si>
  <si>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</si>
  <si>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</si>
  <si>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</si>
  <si>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</si>
  <si>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</si>
  <si>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</si>
  <si>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</si>
  <si>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</si>
  <si>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</si>
  <si>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</si>
  <si>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</si>
  <si>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</si>
  <si>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</si>
  <si>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</si>
  <si>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</si>
  <si>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</si>
  <si>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</si>
  <si>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</si>
  <si>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</si>
  <si>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</si>
  <si>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</si>
  <si>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</si>
  <si>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</si>
  <si>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</si>
  <si>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</si>
  <si>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</si>
  <si>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</si>
  <si>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</si>
  <si>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</si>
  <si>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</si>
  <si>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</si>
  <si>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</si>
  <si>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</si>
  <si>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</si>
  <si>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</si>
  <si>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</si>
  <si>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</si>
  <si>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</si>
  <si>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</si>
  <si>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</si>
  <si>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</si>
  <si>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</si>
  <si>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</si>
  <si>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</si>
  <si>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</si>
  <si>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</si>
  <si>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</si>
  <si>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</si>
  <si>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</si>
  <si>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</si>
  <si>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</si>
  <si>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</si>
  <si>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</si>
  <si>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</si>
  <si>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</si>
  <si>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</si>
  <si>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</si>
  <si>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</si>
  <si>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</si>
  <si>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</si>
  <si>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</si>
  <si>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</si>
  <si>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</si>
  <si>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</si>
  <si>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</si>
  <si>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</si>
  <si>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</si>
  <si>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</si>
  <si>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</si>
  <si>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</si>
  <si>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</si>
  <si>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</si>
  <si>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</si>
  <si>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</si>
  <si>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</si>
  <si>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</si>
  <si>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</si>
  <si>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</si>
  <si>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</si>
  <si>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</si>
  <si>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</si>
  <si>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</si>
  <si>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</si>
  <si>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</si>
  <si>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</si>
  <si>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</si>
  <si>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</si>
  <si>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</si>
  <si>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</si>
  <si>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</si>
  <si>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</si>
  <si>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</si>
  <si>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</si>
  <si>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</si>
  <si>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</si>
  <si>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</si>
  <si>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</si>
  <si>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</si>
  <si>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</si>
  <si>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</si>
  <si>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</si>
  <si>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</si>
  <si>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</si>
  <si>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</si>
  <si>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</si>
  <si>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</si>
  <si>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</si>
  <si>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</si>
  <si>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</si>
  <si>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</si>
  <si>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t>
    <phoneticPr fontId="134" type="noConversion"/>
  </si>
  <si>
    <t>已售</t>
    <phoneticPr fontId="134" type="noConversion"/>
  </si>
  <si>
    <t>未售范围</t>
    <phoneticPr fontId="134" type="noConversion"/>
  </si>
  <si>
    <t>建筑面积</t>
    <phoneticPr fontId="134" type="noConversion"/>
  </si>
  <si>
    <t>套数</t>
    <phoneticPr fontId="134" type="noConversion"/>
  </si>
  <si>
    <t>地下仓储</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</si>
  <si>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</si>
  <si>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</si>
  <si>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</si>
  <si>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</si>
  <si>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</si>
  <si>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</si>
  <si>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</si>
  <si>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</si>
  <si>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</si>
  <si>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</si>
  <si>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</si>
  <si>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</si>
  <si>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</si>
  <si>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</si>
  <si>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</si>
  <si>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</si>
  <si>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</si>
  <si>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</si>
  <si>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</si>
  <si>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</si>
  <si>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</si>
  <si>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</si>
  <si>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</si>
  <si>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</si>
  <si>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</si>
  <si>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</si>
  <si>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</si>
  <si>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</si>
  <si>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</si>
  <si>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</si>
  <si>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</si>
  <si>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</si>
  <si>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</si>
  <si>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</si>
  <si>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</si>
  <si>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</si>
  <si>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</si>
  <si>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</si>
  <si>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</si>
  <si>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</si>
  <si>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</si>
  <si>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</si>
  <si>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</si>
  <si>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</si>
  <si>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</si>
  <si>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</si>
  <si>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</si>
  <si>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</si>
  <si>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</si>
  <si>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</si>
  <si>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</si>
  <si>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</si>
  <si>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</si>
  <si>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</si>
  <si>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</si>
  <si>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</si>
  <si>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</si>
  <si>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</si>
  <si>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</si>
  <si>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</si>
  <si>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</si>
  <si>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</si>
  <si>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</si>
  <si>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</si>
  <si>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</si>
  <si>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</si>
  <si>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</si>
  <si>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</si>
  <si>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</si>
  <si>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</si>
  <si>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</si>
  <si>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</si>
  <si>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</si>
  <si>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</si>
  <si>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</si>
  <si>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</si>
  <si>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</si>
  <si>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</si>
  <si>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</si>
  <si>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</si>
  <si>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</si>
  <si>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</si>
  <si>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</si>
  <si>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</si>
  <si>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</si>
  <si>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</si>
  <si>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</si>
  <si>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</si>
  <si>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</si>
  <si>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</si>
  <si>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</si>
  <si>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</si>
  <si>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</si>
  <si>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</si>
  <si>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</si>
  <si>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</si>
  <si>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</si>
  <si>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</si>
  <si>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</si>
  <si>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</si>
  <si>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</si>
  <si>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</si>
  <si>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</si>
  <si>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</si>
  <si>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</si>
  <si>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</si>
  <si>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</si>
  <si>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</si>
  <si>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</si>
  <si>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</si>
  <si>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</si>
  <si>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</si>
  <si>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</si>
  <si>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</si>
  <si>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</si>
  <si>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</si>
  <si>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</si>
  <si>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</si>
  <si>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</si>
  <si>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</si>
  <si>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</si>
  <si>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</si>
  <si>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</si>
  <si>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</si>
  <si>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</si>
  <si>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</si>
  <si>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</si>
  <si>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</si>
  <si>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</si>
  <si>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</si>
  <si>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</si>
  <si>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</si>
  <si>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</si>
  <si>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</si>
  <si>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</si>
  <si>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</si>
  <si>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</si>
  <si>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</si>
  <si>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</si>
  <si>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</si>
  <si>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</si>
  <si>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</si>
  <si>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</si>
  <si>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</si>
  <si>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</si>
  <si>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</si>
  <si>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</si>
  <si>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</si>
  <si>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</si>
  <si>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</si>
  <si>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</si>
  <si>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</si>
  <si>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</si>
  <si>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</si>
  <si>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</si>
  <si>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</si>
  <si>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</si>
  <si>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</si>
  <si>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</si>
  <si>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</si>
  <si>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</si>
  <si>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</si>
  <si>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</si>
  <si>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</si>
  <si>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</si>
  <si>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</si>
  <si>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</si>
  <si>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</si>
  <si>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</si>
  <si>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</si>
  <si>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</si>
  <si>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</si>
  <si>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</si>
  <si>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</si>
  <si>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</si>
  <si>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</si>
  <si>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</si>
  <si>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</si>
  <si>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</si>
  <si>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</si>
  <si>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</si>
  <si>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</si>
  <si>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</si>
  <si>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</si>
  <si>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</si>
  <si>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</si>
  <si>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</si>
  <si>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</si>
  <si>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</si>
  <si>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</si>
  <si>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</si>
  <si>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</si>
  <si>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</si>
  <si>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</si>
  <si>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</si>
  <si>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</si>
  <si>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</si>
  <si>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</si>
  <si>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</si>
  <si>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</si>
  <si>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</si>
  <si>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</si>
  <si>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</si>
  <si>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</si>
  <si>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</si>
  <si>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</si>
  <si>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</si>
  <si>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</si>
  <si>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</si>
  <si>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</si>
  <si>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</si>
  <si>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</si>
  <si>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</si>
  <si>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</si>
  <si>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</si>
  <si>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</si>
  <si>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</si>
  <si>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</si>
  <si>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</si>
  <si>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</si>
  <si>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</si>
  <si>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</si>
  <si>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</si>
  <si>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</si>
  <si>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</si>
  <si>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</si>
  <si>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</si>
  <si>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</si>
  <si>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</si>
  <si>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</si>
  <si>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</si>
  <si>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</si>
  <si>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</si>
  <si>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</si>
  <si>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</si>
  <si>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</si>
  <si>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</si>
  <si>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</si>
  <si>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</si>
  <si>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</si>
  <si>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</si>
  <si>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</si>
  <si>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</si>
  <si>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</si>
  <si>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</si>
  <si>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</si>
  <si>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</si>
  <si>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</si>
  <si>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</si>
  <si>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</si>
  <si>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</si>
  <si>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</si>
  <si>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</si>
  <si>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</si>
  <si>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</si>
  <si>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</si>
  <si>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</si>
  <si>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</si>
  <si>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</si>
  <si>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</si>
  <si>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</si>
  <si>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</si>
  <si>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</si>
  <si>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</si>
  <si>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</si>
  <si>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</si>
  <si>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</si>
  <si>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</si>
  <si>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</si>
  <si>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</si>
  <si>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</si>
  <si>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</si>
  <si>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</si>
  <si>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</si>
  <si>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</si>
  <si>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</si>
  <si>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</si>
  <si>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</si>
  <si>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</si>
  <si>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</si>
  <si>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</si>
  <si>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</si>
  <si>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</si>
  <si>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</si>
  <si>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</si>
  <si>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</si>
  <si>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</si>
  <si>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</si>
  <si>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</si>
  <si>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</si>
  <si>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</si>
  <si>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</si>
  <si>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</si>
  <si>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</si>
  <si>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</si>
  <si>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</si>
  <si>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</si>
  <si>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</si>
  <si>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</si>
  <si>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</si>
  <si>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</si>
  <si>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</si>
  <si>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</si>
  <si>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</si>
  <si>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</si>
  <si>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</si>
  <si>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</si>
  <si>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</si>
  <si>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</si>
  <si>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</si>
  <si>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</si>
  <si>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</si>
  <si>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</si>
  <si>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</si>
  <si>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</si>
  <si>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</si>
  <si>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</si>
  <si>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</si>
  <si>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</si>
  <si>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</si>
  <si>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</si>
  <si>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</si>
  <si>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</si>
  <si>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</si>
  <si>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</si>
  <si>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</si>
  <si>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</si>
  <si>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</si>
  <si>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</si>
  <si>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</si>
  <si>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</si>
  <si>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</si>
  <si>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</si>
  <si>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</si>
  <si>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</si>
  <si>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</si>
  <si>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</si>
  <si>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</si>
  <si>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</si>
  <si>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</si>
  <si>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</si>
  <si>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</si>
  <si>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</si>
  <si>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</si>
  <si>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</si>
  <si>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</si>
  <si>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</si>
  <si>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</si>
  <si>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</si>
  <si>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</si>
  <si>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</si>
  <si>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</si>
  <si>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</si>
  <si>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</si>
  <si>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</si>
  <si>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</si>
  <si>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</si>
  <si>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</si>
  <si>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</si>
  <si>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</si>
  <si>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</si>
  <si>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</si>
  <si>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</si>
  <si>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</si>
  <si>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</si>
  <si>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</si>
  <si>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</si>
  <si>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</si>
  <si>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</si>
  <si>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</si>
  <si>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</si>
  <si>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</si>
  <si>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</si>
  <si>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</si>
  <si>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</si>
  <si>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</si>
  <si>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</si>
  <si>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</si>
  <si>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</si>
  <si>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</si>
  <si>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</si>
  <si>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</si>
  <si>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</si>
  <si>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</si>
  <si>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</si>
  <si>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</si>
  <si>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</si>
  <si>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</si>
  <si>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</si>
  <si>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</si>
  <si>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</si>
  <si>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</si>
  <si>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</si>
  <si>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</si>
  <si>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</si>
  <si>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</si>
  <si>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</si>
  <si>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</si>
  <si>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</si>
  <si>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</si>
  <si>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</si>
  <si>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</si>
  <si>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</si>
  <si>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</si>
  <si>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</si>
  <si>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</si>
  <si>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</si>
  <si>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</si>
  <si>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</si>
  <si>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</si>
  <si>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</si>
  <si>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</si>
  <si>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</si>
  <si>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</si>
  <si>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</si>
  <si>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</si>
  <si>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</si>
  <si>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</si>
  <si>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</si>
  <si>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</si>
  <si>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</si>
  <si>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</si>
  <si>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</si>
  <si>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</si>
  <si>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</si>
  <si>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</si>
  <si>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</si>
  <si>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</si>
  <si>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</si>
  <si>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</si>
  <si>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</si>
  <si>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</si>
  <si>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</si>
  <si>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</si>
  <si>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</si>
  <si>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</si>
  <si>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</si>
  <si>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</si>
  <si>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</si>
  <si>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</si>
  <si>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</si>
  <si>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</si>
  <si>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</si>
  <si>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</si>
  <si>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</si>
  <si>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</si>
  <si>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</si>
  <si>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</si>
  <si>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</si>
  <si>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</si>
  <si>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</si>
  <si>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</si>
  <si>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</si>
  <si>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</si>
  <si>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</si>
  <si>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</si>
  <si>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</si>
  <si>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</si>
  <si>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</si>
  <si>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</si>
  <si>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</si>
  <si>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</si>
  <si>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</si>
  <si>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</si>
  <si>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</si>
  <si>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</si>
  <si>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</si>
  <si>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</si>
  <si>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</si>
  <si>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</si>
  <si>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</si>
  <si>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</si>
  <si>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</si>
  <si>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</si>
  <si>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</si>
  <si>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</si>
  <si>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</si>
  <si>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</si>
  <si>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</si>
  <si>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</si>
  <si>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</si>
  <si>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</si>
  <si>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</si>
  <si>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</si>
  <si>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</si>
  <si>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</si>
  <si>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</si>
  <si>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</si>
  <si>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</si>
  <si>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</si>
  <si>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</si>
  <si>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</si>
  <si>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</si>
  <si>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</si>
  <si>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</si>
  <si>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</si>
  <si>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</si>
  <si>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</si>
  <si>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</si>
  <si>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</si>
  <si>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</si>
  <si>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</si>
  <si>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</si>
  <si>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</si>
  <si>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</si>
  <si>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</si>
  <si>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</si>
  <si>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</si>
  <si>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</si>
  <si>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</si>
  <si>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</si>
  <si>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</si>
  <si>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</si>
  <si>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</si>
  <si>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</si>
  <si>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</si>
  <si>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</si>
  <si>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</si>
  <si>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</si>
  <si>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</si>
  <si>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</si>
  <si>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</si>
  <si>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</si>
  <si>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</si>
  <si>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</si>
  <si>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</si>
  <si>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</si>
  <si>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</si>
  <si>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</si>
  <si>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</si>
  <si>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</si>
  <si>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</si>
  <si>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</si>
  <si>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</si>
  <si>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</si>
  <si>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</si>
  <si>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</si>
  <si>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</si>
  <si>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</si>
  <si>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</si>
  <si>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</si>
  <si>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</si>
  <si>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</si>
  <si>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</si>
  <si>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</si>
  <si>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</si>
  <si>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</si>
  <si>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</si>
  <si>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</si>
  <si>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</si>
  <si>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</si>
  <si>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</si>
  <si>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</si>
  <si>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</si>
  <si>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</si>
  <si>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</si>
  <si>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</si>
  <si>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</si>
  <si>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</si>
  <si>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</si>
  <si>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</si>
  <si>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</si>
  <si>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</si>
  <si>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</si>
  <si>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</si>
  <si>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</si>
  <si>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</si>
  <si>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</si>
  <si>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</si>
  <si>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</si>
  <si>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</si>
  <si>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</si>
  <si>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</si>
  <si>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</si>
  <si>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</si>
  <si>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</si>
  <si>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</si>
  <si>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</si>
  <si>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</si>
  <si>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</si>
  <si>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</si>
  <si>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</si>
  <si>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</si>
  <si>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</si>
  <si>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</si>
  <si>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</si>
  <si>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</si>
  <si>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</si>
  <si>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</si>
  <si>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</si>
  <si>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</si>
  <si>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</si>
  <si>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</si>
  <si>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</si>
  <si>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</si>
  <si>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</si>
  <si>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</si>
  <si>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</si>
  <si>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</si>
  <si>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</si>
  <si>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</si>
  <si>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</si>
  <si>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</si>
  <si>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</si>
  <si>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</si>
  <si>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</si>
  <si>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</si>
  <si>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</si>
  <si>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</si>
  <si>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</si>
  <si>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</si>
  <si>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</si>
  <si>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</si>
  <si>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</si>
  <si>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</si>
  <si>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</si>
  <si>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</si>
  <si>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</si>
  <si>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</si>
  <si>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</si>
  <si>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</si>
  <si>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</si>
  <si>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</si>
  <si>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</si>
  <si>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</si>
  <si>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</si>
  <si>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</si>
  <si>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</si>
  <si>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</si>
  <si>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</si>
  <si>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</si>
  <si>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</si>
  <si>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</si>
  <si>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</si>
  <si>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</si>
  <si>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</si>
  <si>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</si>
  <si>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</si>
  <si>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</si>
  <si>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</si>
  <si>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</si>
  <si>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</si>
  <si>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</si>
  <si>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</si>
  <si>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</si>
  <si>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</si>
  <si>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</si>
  <si>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</si>
  <si>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</si>
  <si>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</si>
  <si>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</si>
  <si>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</si>
  <si>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</si>
  <si>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</si>
  <si>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</si>
  <si>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</si>
  <si>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</si>
  <si>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</si>
  <si>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</si>
  <si>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</si>
  <si>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</si>
  <si>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</si>
  <si>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</si>
  <si>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</si>
  <si>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</si>
  <si>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</si>
  <si>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</si>
  <si>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</si>
  <si>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</si>
  <si>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</si>
  <si>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</si>
  <si>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</si>
  <si>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</si>
  <si>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</si>
  <si>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</si>
  <si>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</si>
  <si>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</si>
  <si>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</si>
  <si>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</si>
  <si>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</si>
  <si>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</si>
  <si>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</si>
  <si>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</si>
  <si>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</si>
  <si>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</si>
  <si>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</si>
  <si>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</si>
  <si>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</si>
  <si>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</si>
  <si>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</si>
  <si>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</si>
  <si>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</si>
  <si>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</si>
  <si>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</si>
  <si>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</si>
  <si>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</si>
  <si>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</si>
  <si>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</si>
  <si>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</si>
  <si>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</si>
  <si>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</si>
  <si>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</si>
  <si>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</si>
  <si>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</si>
  <si>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</si>
  <si>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</si>
  <si>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</si>
  <si>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</si>
  <si>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</si>
  <si>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</si>
  <si>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</si>
  <si>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</si>
  <si>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</si>
  <si>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</si>
  <si>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</si>
  <si>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</si>
  <si>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</si>
  <si>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</si>
  <si>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</si>
  <si>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</si>
  <si>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</si>
  <si>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</si>
  <si>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</si>
  <si>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</si>
  <si>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</si>
  <si>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</si>
  <si>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</si>
  <si>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</si>
  <si>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</si>
  <si>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</si>
  <si>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</si>
  <si>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</si>
  <si>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</si>
  <si>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</si>
  <si>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</si>
  <si>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</si>
  <si>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</si>
  <si>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</si>
  <si>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</si>
  <si>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</si>
  <si>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</si>
  <si>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</si>
  <si>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</si>
  <si>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</si>
  <si>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</si>
  <si>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</si>
  <si>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</si>
  <si>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</si>
  <si>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</si>
  <si>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</si>
  <si>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</si>
  <si>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</si>
  <si>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</si>
  <si>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</si>
  <si>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</si>
  <si>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</si>
  <si>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</si>
  <si>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</si>
  <si>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</si>
  <si>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</si>
  <si>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</si>
  <si>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</si>
  <si>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</si>
  <si>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</si>
  <si>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</si>
  <si>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</si>
  <si>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</si>
  <si>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</si>
  <si>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</si>
  <si>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</si>
  <si>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</si>
  <si>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</si>
  <si>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</si>
  <si>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</si>
  <si>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</si>
  <si>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</si>
  <si>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</si>
  <si>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</si>
  <si>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</si>
  <si>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</si>
  <si>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</si>
  <si>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</si>
  <si>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</si>
  <si>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</si>
  <si>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</si>
  <si>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</si>
  <si>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</si>
  <si>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</si>
  <si>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</si>
  <si>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</si>
  <si>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</si>
  <si>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</si>
  <si>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</si>
  <si>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</si>
  <si>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</si>
  <si>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</si>
  <si>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</si>
  <si>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</si>
  <si>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</si>
  <si>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</si>
  <si>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</si>
  <si>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</si>
  <si>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</si>
  <si>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</si>
  <si>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</si>
  <si>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</si>
  <si>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</si>
  <si>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</si>
  <si>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</si>
  <si>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</si>
  <si>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</si>
  <si>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</si>
  <si>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</si>
  <si>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</si>
  <si>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</si>
  <si>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</si>
  <si>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</si>
  <si>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</si>
  <si>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</si>
  <si>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</si>
  <si>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</si>
  <si>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</si>
  <si>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</si>
  <si>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</si>
  <si>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</si>
  <si>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</si>
  <si>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</si>
  <si>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</si>
  <si>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</si>
  <si>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</si>
  <si>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</si>
  <si>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</si>
  <si>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</si>
  <si>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</si>
  <si>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</si>
  <si>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</si>
  <si>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</si>
  <si>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</si>
  <si>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</si>
  <si>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</si>
  <si>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</si>
  <si>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</si>
  <si>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</si>
  <si>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</si>
  <si>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</si>
  <si>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</si>
  <si>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</si>
  <si>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</si>
  <si>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</si>
  <si>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</si>
  <si>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</si>
  <si>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</si>
  <si>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</si>
  <si>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</si>
  <si>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</si>
  <si>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</si>
  <si>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</si>
  <si>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</si>
  <si>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</si>
  <si>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</si>
  <si>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</si>
  <si>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</si>
  <si>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</si>
  <si>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</si>
  <si>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</si>
  <si>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</si>
  <si>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</si>
  <si>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</si>
  <si>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</si>
  <si>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</si>
  <si>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</si>
  <si>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</si>
  <si>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</si>
  <si>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</si>
  <si>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</si>
  <si>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</si>
  <si>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</si>
  <si>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</si>
  <si>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</si>
  <si>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</si>
  <si>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</si>
  <si>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</si>
  <si>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</si>
  <si>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</si>
  <si>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</si>
  <si>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</si>
  <si>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</si>
  <si>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</si>
  <si>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</si>
  <si>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</si>
  <si>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</si>
  <si>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</si>
  <si>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</si>
  <si>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</si>
  <si>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</si>
  <si>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</si>
  <si>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</si>
  <si>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</si>
  <si>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</si>
  <si>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</si>
  <si>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</si>
  <si>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</si>
  <si>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</si>
  <si>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</si>
  <si>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</si>
  <si>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</si>
  <si>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</si>
  <si>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</si>
  <si>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</si>
  <si>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</si>
  <si>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</si>
  <si>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</si>
  <si>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</si>
  <si>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</si>
  <si>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</si>
  <si>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</si>
  <si>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</si>
  <si>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</si>
  <si>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</si>
  <si>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</si>
  <si>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</si>
  <si>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</si>
  <si>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</si>
  <si>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</si>
  <si>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</si>
  <si>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</si>
  <si>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</si>
  <si>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</si>
  <si>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</si>
  <si>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</si>
  <si>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</si>
  <si>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</si>
  <si>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</si>
  <si>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</si>
  <si>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</si>
  <si>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</si>
  <si>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</si>
  <si>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</si>
  <si>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</si>
  <si>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</si>
  <si>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</si>
  <si>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</si>
  <si>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</si>
  <si>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</si>
  <si>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</si>
  <si>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</si>
  <si>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</si>
  <si>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</si>
  <si>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</si>
  <si>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</si>
  <si>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</si>
  <si>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</si>
  <si>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</si>
  <si>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</si>
  <si>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</si>
  <si>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</si>
  <si>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</si>
  <si>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</si>
  <si>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</si>
  <si>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</si>
  <si>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</si>
  <si>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</si>
  <si>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</si>
  <si>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</si>
  <si>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</si>
  <si>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</si>
  <si>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</si>
  <si>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</si>
  <si>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</si>
  <si>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</si>
  <si>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</si>
  <si>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</si>
  <si>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</si>
  <si>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</si>
  <si>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</si>
  <si>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</si>
  <si>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</si>
  <si>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</si>
  <si>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</si>
  <si>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</si>
  <si>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</si>
  <si>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</si>
  <si>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</si>
  <si>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</si>
  <si>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</si>
  <si>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</si>
  <si>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</si>
  <si>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</si>
  <si>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</si>
  <si>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</si>
  <si>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</si>
  <si>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</si>
  <si>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</si>
  <si>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</si>
  <si>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</si>
  <si>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</si>
  <si>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</si>
  <si>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</si>
  <si>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</si>
  <si>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</si>
  <si>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</si>
  <si>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</si>
  <si>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</si>
  <si>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</si>
  <si>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</si>
  <si>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</si>
  <si>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</si>
  <si>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</si>
  <si>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</si>
  <si>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</si>
  <si>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</si>
  <si>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</si>
  <si>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</si>
  <si>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</si>
  <si>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</si>
  <si>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</si>
  <si>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</si>
  <si>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</si>
  <si>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</si>
  <si>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</si>
  <si>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</si>
  <si>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</si>
  <si>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</si>
  <si>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</si>
  <si>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</si>
  <si>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</si>
  <si>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</si>
  <si>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</si>
  <si>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</si>
  <si>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</si>
  <si>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</si>
  <si>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</si>
  <si>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</si>
  <si>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</si>
  <si>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</si>
  <si>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</si>
  <si>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</si>
  <si>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</si>
  <si>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</si>
  <si>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</si>
  <si>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</si>
  <si>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</si>
  <si>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</si>
  <si>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</si>
  <si>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</si>
  <si>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</si>
  <si>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</si>
  <si>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</si>
  <si>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</si>
  <si>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</si>
  <si>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</si>
  <si>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</si>
  <si>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</si>
  <si>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</si>
  <si>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</si>
  <si>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</si>
  <si>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</si>
  <si>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</si>
  <si>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</si>
  <si>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</si>
  <si>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</si>
  <si>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</si>
  <si>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</si>
  <si>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</si>
  <si>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</si>
  <si>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</si>
  <si>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</si>
  <si>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</si>
  <si>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</si>
  <si>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</si>
  <si>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</si>
  <si>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</si>
  <si>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</si>
  <si>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</si>
  <si>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</si>
  <si>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</si>
  <si>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</si>
  <si>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</si>
  <si>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</si>
  <si>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</si>
  <si>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</si>
  <si>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</si>
  <si>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</si>
  <si>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</si>
  <si>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</si>
  <si>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</si>
  <si>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</si>
  <si>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</si>
  <si>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</si>
  <si>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</si>
  <si>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</si>
  <si>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</si>
  <si>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</si>
  <si>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</si>
  <si>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</si>
  <si>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</si>
  <si>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</si>
  <si>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</si>
  <si>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</si>
  <si>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</si>
  <si>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</si>
  <si>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</si>
  <si>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</si>
  <si>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</si>
  <si>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</si>
  <si>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</si>
  <si>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</si>
  <si>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</si>
  <si>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</si>
  <si>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</si>
  <si>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</si>
  <si>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</si>
  <si>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</si>
  <si>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</si>
  <si>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</si>
  <si>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</si>
  <si>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</si>
  <si>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</si>
  <si>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</si>
  <si>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</si>
  <si>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</si>
  <si>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</si>
  <si>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</si>
  <si>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</si>
  <si>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</si>
  <si>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</si>
  <si>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</si>
  <si>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</si>
  <si>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</si>
  <si>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</si>
  <si>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</si>
  <si>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</si>
  <si>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</si>
  <si>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</si>
  <si>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</si>
  <si>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</si>
  <si>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</si>
  <si>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</si>
  <si>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</si>
  <si>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</si>
  <si>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</si>
  <si>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</si>
  <si>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</si>
  <si>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</si>
  <si>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</si>
  <si>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</si>
  <si>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</si>
  <si>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</si>
  <si>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</si>
  <si>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</si>
  <si>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</si>
  <si>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</si>
  <si>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</si>
  <si>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</si>
  <si>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</si>
  <si>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</si>
  <si>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</si>
  <si>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</si>
  <si>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</si>
  <si>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</si>
  <si>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</si>
  <si>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</si>
  <si>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</si>
  <si>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</si>
  <si>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</si>
  <si>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</si>
  <si>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</si>
  <si>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</si>
  <si>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</si>
  <si>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</si>
  <si>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</si>
  <si>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</si>
  <si>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</si>
  <si>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</si>
  <si>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</si>
  <si>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</si>
  <si>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</si>
  <si>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</si>
  <si>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</si>
  <si>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</si>
  <si>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</si>
  <si>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</si>
  <si>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</si>
  <si>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</si>
  <si>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</si>
  <si>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</si>
  <si>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</si>
  <si>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</si>
  <si>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</si>
  <si>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</si>
  <si>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</si>
  <si>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</si>
  <si>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</si>
  <si>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</si>
  <si>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</si>
  <si>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</si>
  <si>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</si>
  <si>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</si>
  <si>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</si>
  <si>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</si>
  <si>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</si>
  <si>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</si>
  <si>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</si>
  <si>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</si>
  <si>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</si>
  <si>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</si>
  <si>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</si>
  <si>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</si>
  <si>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</si>
  <si>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</si>
  <si>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</si>
  <si>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</si>
  <si>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</si>
  <si>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</si>
  <si>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</si>
  <si>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</si>
  <si>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</si>
  <si>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</si>
  <si>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</si>
  <si>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</si>
  <si>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</si>
  <si>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</si>
  <si>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</si>
  <si>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</si>
  <si>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</si>
  <si>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</si>
  <si>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</si>
  <si>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</si>
  <si>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</si>
  <si>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</si>
  <si>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</si>
  <si>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</si>
  <si>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</si>
  <si>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</si>
  <si>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</si>
  <si>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</si>
  <si>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</si>
  <si>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</si>
  <si>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</si>
  <si>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</si>
  <si>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</si>
  <si>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</si>
  <si>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</si>
  <si>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</si>
  <si>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</si>
  <si>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</si>
  <si>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</si>
  <si>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</si>
  <si>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</si>
  <si>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</si>
  <si>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</si>
  <si>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</si>
  <si>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</si>
  <si>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</si>
  <si>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</si>
  <si>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</si>
  <si>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</si>
  <si>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</si>
  <si>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</si>
  <si>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</si>
  <si>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</si>
  <si>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</si>
  <si>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</si>
  <si>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</si>
  <si>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</si>
  <si>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</si>
  <si>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</si>
  <si>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</si>
  <si>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</si>
  <si>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</si>
  <si>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</si>
  <si>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</si>
  <si>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</si>
  <si>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</si>
  <si>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</si>
  <si>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</si>
  <si>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</si>
  <si>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</si>
  <si>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</si>
  <si>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</si>
  <si>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</si>
  <si>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</si>
  <si>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</si>
  <si>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</si>
  <si>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</si>
  <si>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</si>
  <si>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</si>
  <si>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</si>
  <si>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</si>
  <si>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</si>
  <si>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</si>
  <si>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</si>
  <si>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</si>
  <si>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</si>
  <si>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</si>
  <si>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</si>
  <si>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</si>
  <si>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</si>
  <si>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</si>
  <si>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</si>
  <si>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</si>
  <si>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</si>
  <si>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</si>
  <si>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</si>
  <si>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</si>
  <si>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</si>
  <si>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</si>
  <si>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</si>
  <si>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</si>
  <si>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</si>
  <si>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</si>
  <si>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</si>
  <si>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</si>
  <si>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</si>
  <si>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</si>
  <si>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</si>
  <si>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</si>
  <si>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</si>
  <si>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</si>
  <si>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</si>
  <si>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</si>
  <si>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</si>
  <si>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</si>
  <si>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</si>
  <si>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</si>
  <si>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</si>
  <si>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</si>
  <si>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</si>
  <si>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</si>
  <si>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</si>
  <si>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</si>
  <si>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</si>
  <si>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</si>
  <si>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</si>
  <si>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</si>
  <si>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</si>
  <si>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</si>
  <si>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</si>
  <si>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</si>
  <si>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</si>
  <si>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</si>
  <si>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</si>
  <si>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</si>
  <si>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</si>
  <si>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</si>
  <si>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</si>
  <si>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</si>
  <si>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</si>
  <si>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</si>
  <si>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</si>
  <si>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</si>
  <si>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</si>
  <si>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</si>
  <si>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</si>
  <si>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</si>
  <si>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</si>
  <si>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</si>
  <si>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</si>
  <si>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</si>
  <si>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</si>
  <si>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</si>
  <si>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</si>
  <si>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</si>
  <si>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</si>
  <si>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</si>
  <si>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</si>
  <si>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</si>
  <si>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</si>
  <si>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</si>
  <si>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</si>
  <si>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</si>
  <si>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</si>
  <si>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</si>
  <si>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</si>
  <si>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</si>
  <si>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</si>
  <si>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</si>
  <si>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</si>
  <si>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</si>
  <si>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</si>
  <si>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</si>
  <si>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</si>
  <si>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</si>
  <si>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</si>
  <si>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</si>
  <si>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</si>
  <si>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</si>
  <si>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</si>
  <si>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</si>
  <si>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</si>
  <si>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</si>
  <si>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</si>
  <si>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</si>
  <si>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</si>
  <si>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</si>
  <si>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</si>
  <si>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</si>
  <si>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</si>
  <si>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</si>
  <si>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</si>
  <si>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</si>
  <si>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</si>
  <si>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</si>
  <si>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</si>
  <si>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</si>
  <si>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</si>
  <si>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</si>
  <si>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</si>
  <si>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</si>
  <si>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</si>
  <si>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</si>
  <si>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</si>
  <si>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</si>
  <si>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</si>
  <si>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</si>
  <si>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</si>
  <si>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</si>
  <si>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</si>
  <si>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</si>
  <si>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</si>
  <si>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</si>
  <si>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</si>
  <si>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</si>
  <si>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</si>
  <si>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</si>
  <si>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</si>
  <si>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</si>
  <si>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</si>
  <si>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</si>
  <si>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</si>
  <si>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</si>
  <si>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</si>
  <si>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</si>
  <si>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</si>
  <si>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</si>
  <si>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</si>
  <si>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</si>
  <si>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</si>
  <si>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</si>
  <si>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</si>
  <si>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</si>
  <si>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</si>
  <si>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</si>
  <si>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</si>
  <si>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</si>
  <si>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</si>
  <si>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</si>
  <si>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</si>
  <si>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</si>
  <si>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</si>
  <si>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</si>
  <si>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</si>
  <si>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</si>
  <si>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</si>
  <si>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</si>
  <si>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</si>
  <si>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</si>
  <si>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</si>
  <si>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</si>
  <si>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</si>
  <si>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</si>
  <si>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</si>
  <si>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</si>
  <si>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</si>
  <si>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</si>
  <si>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</si>
  <si>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</si>
  <si>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</si>
  <si>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</si>
  <si>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</si>
  <si>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</si>
  <si>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</si>
  <si>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</si>
  <si>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</si>
  <si>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</si>
  <si>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</si>
  <si>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</si>
  <si>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</si>
  <si>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</si>
  <si>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</si>
  <si>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</si>
  <si>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</si>
  <si>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</si>
  <si>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</si>
  <si>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</si>
  <si>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</si>
  <si>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</si>
  <si>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</si>
  <si>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</si>
  <si>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</si>
  <si>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</si>
  <si>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</si>
  <si>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</si>
  <si>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</si>
  <si>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</si>
  <si>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</si>
  <si>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</si>
  <si>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</si>
  <si>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</si>
  <si>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</si>
  <si>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</si>
  <si>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</si>
  <si>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</si>
  <si>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</si>
  <si>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</si>
  <si>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</si>
  <si>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</si>
  <si>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</si>
  <si>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</si>
  <si>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</si>
  <si>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</si>
  <si>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</si>
  <si>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</si>
  <si>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</si>
  <si>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</si>
  <si>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</si>
  <si>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</si>
  <si>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</si>
  <si>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</si>
  <si>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</si>
  <si>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</si>
  <si>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</si>
  <si>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</si>
  <si>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</si>
  <si>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</si>
  <si>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</si>
  <si>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</si>
  <si>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</si>
  <si>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</si>
  <si>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</si>
  <si>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</si>
  <si>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</si>
  <si>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</si>
  <si>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</si>
  <si>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</si>
  <si>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</si>
  <si>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</si>
  <si>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</si>
  <si>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</si>
  <si>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</si>
  <si>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</si>
  <si>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</si>
  <si>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</si>
  <si>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</si>
  <si>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</si>
  <si>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</si>
  <si>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</si>
  <si>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</si>
  <si>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</si>
  <si>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</si>
  <si>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</si>
  <si>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</si>
  <si>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</si>
  <si>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</si>
  <si>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</si>
  <si>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</si>
  <si>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</si>
  <si>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</si>
  <si>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</si>
  <si>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</si>
  <si>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</si>
  <si>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</si>
  <si>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</si>
  <si>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</si>
  <si>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</si>
  <si>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</si>
  <si>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</si>
  <si>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</si>
  <si>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</si>
  <si>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</si>
  <si>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</si>
  <si>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</si>
  <si>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</si>
  <si>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</si>
  <si>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</si>
  <si>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</si>
  <si>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</si>
  <si>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</si>
  <si>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</si>
  <si>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</si>
  <si>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</si>
  <si>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</si>
  <si>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</si>
  <si>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</si>
  <si>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</si>
  <si>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</si>
  <si>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</si>
  <si>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</si>
  <si>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</si>
  <si>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</si>
  <si>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</si>
  <si>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</si>
  <si>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</si>
  <si>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</si>
  <si>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</si>
  <si>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</si>
  <si>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</si>
  <si>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</si>
  <si>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</si>
  <si>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</si>
  <si>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</si>
  <si>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</si>
  <si>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</si>
  <si>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</si>
  <si>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</si>
  <si>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</si>
  <si>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</si>
  <si>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</si>
  <si>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</si>
  <si>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</si>
  <si>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</si>
  <si>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</si>
  <si>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</si>
  <si>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</si>
  <si>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</si>
  <si>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</si>
  <si>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</si>
  <si>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</si>
  <si>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</si>
  <si>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</si>
  <si>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</si>
  <si>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</si>
  <si>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</si>
  <si>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</si>
  <si>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</si>
  <si>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</si>
  <si>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</si>
  <si>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</si>
  <si>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</si>
  <si>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</si>
  <si>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</si>
  <si>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</si>
  <si>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</si>
  <si>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</si>
  <si>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</si>
  <si>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</si>
  <si>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</si>
  <si>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</si>
  <si>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</si>
  <si>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</si>
  <si>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</si>
  <si>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</si>
  <si>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</si>
  <si>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</si>
  <si>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</si>
  <si>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</si>
  <si>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</si>
  <si>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</si>
  <si>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</si>
  <si>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</si>
  <si>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</si>
  <si>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</si>
  <si>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</si>
  <si>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</si>
  <si>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</si>
  <si>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</si>
  <si>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</si>
  <si>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</si>
  <si>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</si>
  <si>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</si>
  <si>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</si>
  <si>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</si>
  <si>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</si>
  <si>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</si>
  <si>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</si>
  <si>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</si>
  <si>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</si>
  <si>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</si>
  <si>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</si>
  <si>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</si>
  <si>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</si>
  <si>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</si>
  <si>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</si>
  <si>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</si>
  <si>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</si>
  <si>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</si>
  <si>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</si>
  <si>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</si>
  <si>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</si>
  <si>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</si>
  <si>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</si>
  <si>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</si>
  <si>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</si>
  <si>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</si>
  <si>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</si>
  <si>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</si>
  <si>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</si>
  <si>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</si>
  <si>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</si>
  <si>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</si>
  <si>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</si>
  <si>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</si>
  <si>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</si>
  <si>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</si>
  <si>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</si>
  <si>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</si>
  <si>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</si>
  <si>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</si>
  <si>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</si>
  <si>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</si>
  <si>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</si>
  <si>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</si>
  <si>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</si>
  <si>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</si>
  <si>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</si>
  <si>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</si>
  <si>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</si>
  <si>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</si>
  <si>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</si>
  <si>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</si>
  <si>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</si>
  <si>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</si>
  <si>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</si>
  <si>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</si>
  <si>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</si>
  <si>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</si>
  <si>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</si>
  <si>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</si>
  <si>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</si>
  <si>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</si>
  <si>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</si>
  <si>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</si>
  <si>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</si>
  <si>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</si>
  <si>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</si>
  <si>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</si>
  <si>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</si>
  <si>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</si>
  <si>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</si>
  <si>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</si>
  <si>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</si>
  <si>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</si>
  <si>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</si>
  <si>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</si>
  <si>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</si>
  <si>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</si>
  <si>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</si>
  <si>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</si>
  <si>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</si>
  <si>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</si>
  <si>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</si>
  <si>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</si>
  <si>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</si>
  <si>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</si>
  <si>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</si>
  <si>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</si>
  <si>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</si>
  <si>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</si>
  <si>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</si>
  <si>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</si>
  <si>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</si>
  <si>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</si>
  <si>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</si>
  <si>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</si>
  <si>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</si>
  <si>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</si>
  <si>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</si>
  <si>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</si>
  <si>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</si>
  <si>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</si>
  <si>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</si>
  <si>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</si>
  <si>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</si>
  <si>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</si>
  <si>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</si>
  <si>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</si>
  <si>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</si>
  <si>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</si>
  <si>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</si>
  <si>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</si>
  <si>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</si>
  <si>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</si>
  <si>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</si>
  <si>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</si>
  <si>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</si>
  <si>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</si>
  <si>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</si>
  <si>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</si>
  <si>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</si>
  <si>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</si>
  <si>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</si>
  <si>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</si>
  <si>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</si>
  <si>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</si>
  <si>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</si>
  <si>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</si>
  <si>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</si>
  <si>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</si>
  <si>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</si>
  <si>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</si>
  <si>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</si>
  <si>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</si>
  <si>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</si>
  <si>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</si>
  <si>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</si>
  <si>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</si>
  <si>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</si>
  <si>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</si>
  <si>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</si>
  <si>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</si>
  <si>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</si>
  <si>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</si>
  <si>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</si>
  <si>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</si>
  <si>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</si>
  <si>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</si>
  <si>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</si>
  <si>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</si>
  <si>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</si>
  <si>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</si>
  <si>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</si>
  <si>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</si>
  <si>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</si>
  <si>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</si>
  <si>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</si>
  <si>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</si>
  <si>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</si>
  <si>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</si>
  <si>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</si>
  <si>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</si>
  <si>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</si>
  <si>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</si>
  <si>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</si>
  <si>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</si>
  <si>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</si>
  <si>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</si>
  <si>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</si>
  <si>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</si>
  <si>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</si>
  <si>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</si>
  <si>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</si>
  <si>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</si>
  <si>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</si>
  <si>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</si>
  <si>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</si>
  <si>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</si>
  <si>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</si>
  <si>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</si>
  <si>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</si>
  <si>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</si>
  <si>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</si>
  <si>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</si>
  <si>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</si>
  <si>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</si>
  <si>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</si>
  <si>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</si>
  <si>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</si>
  <si>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</si>
  <si>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</si>
  <si>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</si>
  <si>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</si>
  <si>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</si>
  <si>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</si>
  <si>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</si>
  <si>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</si>
  <si>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</si>
  <si>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</si>
  <si>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</si>
  <si>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</si>
  <si>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</si>
  <si>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</si>
  <si>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</si>
  <si>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</si>
  <si>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</si>
  <si>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</si>
  <si>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</si>
  <si>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</si>
  <si>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</si>
  <si>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</si>
  <si>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</si>
  <si>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</si>
  <si>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</si>
  <si>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</si>
  <si>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</si>
  <si>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</si>
  <si>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</si>
  <si>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</si>
  <si>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</si>
  <si>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</si>
  <si>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</si>
  <si>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</si>
  <si>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</si>
  <si>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</si>
  <si>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</si>
  <si>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</si>
  <si>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</si>
  <si>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</si>
  <si>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</si>
  <si>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</si>
  <si>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</si>
  <si>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</si>
  <si>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</si>
  <si>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</si>
  <si>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</si>
  <si>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</si>
  <si>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</si>
  <si>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</si>
  <si>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</si>
  <si>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</si>
  <si>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</si>
  <si>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</si>
  <si>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</si>
  <si>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</si>
  <si>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</si>
  <si>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</si>
  <si>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</si>
  <si>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</si>
  <si>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</si>
  <si>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</si>
  <si>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</si>
  <si>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</si>
  <si>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</si>
  <si>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</si>
  <si>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</si>
  <si>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</si>
  <si>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</si>
  <si>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</si>
  <si>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</si>
  <si>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</si>
  <si>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</si>
  <si>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</si>
  <si>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</si>
  <si>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</si>
  <si>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</si>
  <si>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</si>
  <si>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</si>
  <si>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</si>
  <si>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</si>
  <si>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</si>
  <si>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</si>
  <si>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</si>
  <si>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</si>
  <si>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</si>
  <si>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</si>
  <si>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</si>
  <si>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</si>
  <si>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</si>
  <si>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</si>
  <si>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</si>
  <si>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</si>
  <si>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</si>
  <si>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</si>
  <si>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</si>
  <si>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</si>
  <si>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</si>
  <si>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</si>
  <si>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</si>
  <si>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</si>
  <si>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</si>
  <si>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</si>
  <si>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</si>
  <si>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</si>
  <si>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</si>
  <si>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</si>
  <si>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</si>
  <si>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</si>
  <si>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</si>
  <si>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</si>
  <si>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</si>
  <si>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</si>
  <si>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</si>
  <si>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</si>
  <si>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</si>
  <si>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</si>
  <si>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</si>
  <si>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</si>
  <si>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</si>
  <si>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</si>
  <si>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</si>
  <si>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</si>
  <si>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</si>
  <si>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</si>
  <si>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</si>
  <si>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</si>
  <si>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</si>
  <si>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</si>
  <si>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</si>
  <si>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</si>
  <si>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</si>
  <si>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</si>
  <si>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</si>
  <si>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</si>
  <si>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</si>
  <si>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</si>
  <si>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</si>
  <si>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</si>
  <si>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</si>
  <si>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</si>
  <si>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</si>
  <si>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</si>
  <si>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</si>
  <si>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</si>
  <si>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</si>
  <si>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</si>
  <si>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</si>
  <si>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</si>
  <si>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</si>
  <si>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</si>
  <si>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</si>
  <si>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</si>
  <si>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</si>
  <si>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</si>
  <si>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</si>
  <si>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</si>
  <si>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</si>
  <si>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</si>
  <si>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</si>
  <si>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</si>
  <si>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</si>
  <si>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</si>
  <si>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</si>
  <si>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</si>
  <si>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</si>
  <si>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</si>
  <si>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</si>
  <si>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</si>
  <si>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</si>
  <si>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</si>
  <si>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</si>
  <si>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</si>
  <si>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</si>
  <si>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</si>
  <si>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</si>
  <si>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</si>
  <si>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</si>
  <si>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</si>
  <si>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</si>
  <si>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</si>
  <si>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</si>
  <si>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</si>
  <si>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</si>
  <si>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</si>
  <si>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</si>
  <si>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</si>
  <si>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</si>
  <si>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</si>
  <si>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</si>
  <si>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</si>
  <si>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</si>
  <si>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</si>
  <si>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</si>
  <si>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</si>
  <si>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</si>
  <si>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</si>
  <si>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</si>
  <si>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</si>
  <si>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</si>
  <si>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</si>
  <si>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</si>
  <si>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</si>
  <si>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</si>
  <si>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</si>
  <si>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</si>
  <si>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</si>
  <si>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</si>
  <si>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</si>
  <si>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</si>
  <si>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</si>
  <si>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</si>
  <si>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</si>
  <si>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</si>
  <si>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</si>
  <si>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</si>
  <si>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</si>
  <si>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</si>
  <si>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</si>
  <si>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</si>
  <si>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</si>
  <si>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</si>
  <si>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</si>
  <si>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</si>
  <si>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</si>
  <si>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</si>
  <si>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</si>
  <si>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</si>
  <si>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</si>
  <si>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</si>
  <si>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</si>
  <si>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</si>
  <si>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</si>
  <si>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</si>
  <si>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</si>
  <si>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</si>
  <si>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</si>
  <si>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</si>
  <si>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</si>
  <si>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</si>
  <si>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</si>
  <si>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</si>
  <si>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</si>
  <si>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</si>
  <si>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</si>
  <si>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</si>
  <si>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</si>
  <si>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</si>
  <si>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</si>
  <si>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</si>
  <si>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</si>
  <si>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</si>
  <si>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</si>
  <si>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</si>
  <si>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</si>
  <si>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</si>
  <si>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</si>
  <si>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</si>
  <si>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</si>
  <si>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</si>
  <si>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</si>
  <si>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</si>
  <si>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</si>
  <si>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</si>
  <si>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</si>
  <si>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</si>
  <si>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</si>
  <si>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</si>
  <si>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</si>
  <si>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</si>
  <si>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</si>
  <si>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</si>
  <si>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</si>
  <si>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</si>
  <si>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</si>
  <si>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</si>
  <si>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</si>
  <si>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</si>
  <si>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</si>
  <si>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</si>
  <si>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</si>
  <si>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</si>
  <si>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</si>
  <si>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</si>
  <si>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</si>
  <si>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</si>
  <si>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</si>
  <si>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</si>
  <si>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</si>
  <si>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</si>
  <si>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</si>
  <si>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</si>
  <si>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</si>
  <si>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</si>
  <si>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</si>
  <si>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</si>
  <si>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</si>
  <si>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</si>
  <si>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</si>
  <si>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</si>
  <si>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</si>
  <si>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</si>
  <si>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</si>
  <si>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</si>
  <si>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</si>
  <si>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</si>
  <si>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</si>
  <si>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</si>
  <si>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</si>
  <si>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</si>
  <si>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</si>
  <si>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</si>
  <si>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</si>
  <si>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</si>
  <si>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</si>
  <si>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</si>
  <si>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</si>
  <si>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</si>
  <si>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</si>
  <si>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</si>
  <si>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</si>
  <si>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</si>
  <si>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</si>
  <si>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</si>
  <si>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</si>
  <si>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</si>
  <si>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</si>
  <si>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</si>
  <si>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</si>
  <si>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</si>
  <si>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</si>
  <si>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</si>
  <si>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</si>
  <si>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</si>
  <si>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</si>
  <si>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</si>
  <si>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</si>
  <si>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</si>
  <si>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</si>
  <si>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</si>
  <si>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</si>
  <si>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</si>
  <si>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</si>
  <si>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</si>
  <si>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</si>
  <si>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</si>
  <si>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</si>
  <si>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</si>
  <si>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</si>
  <si>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</si>
  <si>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</si>
  <si>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</si>
  <si>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</si>
  <si>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</si>
  <si>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</si>
  <si>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</si>
  <si>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</si>
  <si>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</si>
  <si>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</si>
  <si>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</si>
  <si>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</si>
  <si>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</si>
  <si>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</si>
  <si>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</si>
  <si>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</si>
  <si>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</si>
  <si>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</si>
  <si>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</si>
  <si>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</si>
  <si>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</si>
  <si>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</si>
  <si>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</si>
  <si>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</si>
  <si>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</si>
  <si>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</si>
  <si>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</si>
  <si>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</si>
  <si>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</si>
  <si>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</si>
  <si>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</si>
  <si>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</si>
  <si>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</si>
  <si>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</si>
  <si>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</si>
  <si>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</si>
  <si>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</si>
  <si>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</si>
  <si>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</si>
  <si>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</si>
  <si>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</si>
  <si>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</si>
  <si>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</si>
  <si>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</si>
  <si>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</si>
  <si>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</si>
  <si>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</si>
  <si>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</si>
  <si>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</si>
  <si>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</si>
  <si>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</si>
  <si>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</si>
  <si>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</si>
  <si>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</si>
  <si>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</si>
  <si>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</si>
  <si>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</si>
  <si>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</si>
  <si>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</si>
  <si>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</si>
  <si>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</si>
  <si>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</si>
  <si>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</si>
  <si>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</si>
  <si>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</si>
  <si>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</si>
  <si>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8#配电室</t>
  </si>
  <si>
    <t>否</t>
  </si>
  <si>
    <t>18#居住公共配套</t>
  </si>
  <si>
    <t>23#配电室</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</si>
  <si>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</si>
  <si>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</si>
  <si>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</si>
  <si>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</si>
  <si>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</si>
  <si>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</si>
  <si>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</si>
  <si>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</si>
  <si>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</si>
  <si>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</si>
  <si>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</si>
  <si>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</si>
  <si>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</si>
  <si>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</si>
  <si>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</si>
  <si>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</si>
  <si>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</si>
  <si>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</si>
  <si>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</si>
  <si>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</si>
  <si>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</si>
  <si>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</si>
  <si>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</si>
  <si>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</si>
  <si>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</si>
  <si>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</si>
  <si>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</si>
  <si>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</si>
  <si>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</si>
  <si>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</si>
  <si>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</si>
  <si>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</si>
  <si>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</si>
  <si>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</si>
  <si>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</si>
  <si>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</si>
  <si>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</si>
  <si>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</si>
  <si>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</si>
  <si>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</si>
  <si>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</si>
  <si>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</si>
  <si>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</si>
  <si>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</si>
  <si>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</si>
  <si>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</si>
  <si>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</si>
  <si>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</si>
  <si>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</si>
  <si>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</si>
  <si>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</si>
  <si>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</si>
  <si>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</si>
  <si>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</si>
  <si>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</si>
  <si>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</si>
  <si>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</si>
  <si>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</si>
  <si>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</si>
  <si>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</si>
  <si>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</si>
  <si>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</si>
  <si>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</si>
  <si>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</si>
  <si>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</si>
  <si>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</si>
  <si>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</si>
  <si>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</si>
  <si>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</si>
  <si>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</si>
  <si>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</si>
  <si>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</si>
  <si>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</si>
  <si>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</si>
  <si>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</si>
  <si>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</si>
  <si>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</si>
  <si>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</si>
  <si>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</si>
  <si>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</si>
  <si>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</si>
  <si>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</si>
  <si>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</si>
  <si>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</si>
  <si>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</si>
  <si>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</si>
  <si>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</si>
  <si>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</si>
  <si>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</si>
  <si>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</si>
  <si>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</si>
  <si>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</si>
  <si>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</si>
  <si>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</si>
  <si>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</si>
  <si>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</si>
  <si>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</si>
  <si>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</si>
  <si>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</si>
  <si>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</si>
  <si>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</si>
  <si>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</si>
  <si>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</si>
  <si>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</si>
  <si>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</si>
  <si>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</si>
  <si>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</si>
  <si>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</si>
  <si>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</si>
  <si>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</si>
  <si>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成本比率</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</si>
  <si>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</si>
  <si>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</si>
  <si>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</si>
  <si>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</si>
  <si>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</si>
  <si>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</si>
  <si>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</si>
  <si>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</si>
  <si>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</si>
  <si>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</si>
  <si>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</si>
  <si>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</si>
  <si>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</si>
  <si>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</si>
  <si>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</si>
  <si>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</si>
  <si>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</si>
  <si>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</si>
  <si>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</si>
  <si>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普通装修</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</si>
  <si>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</si>
  <si>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</si>
  <si>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</si>
  <si>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</si>
  <si>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</si>
  <si>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</si>
  <si>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</si>
  <si>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</si>
  <si>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</si>
  <si>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</si>
  <si>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</si>
  <si>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</si>
  <si>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关帝庙</t>
    <phoneticPr fontId="3"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</si>
  <si>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</si>
  <si>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</si>
  <si>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</si>
  <si>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</si>
  <si>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</si>
  <si>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</si>
  <si>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</si>
  <si>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</si>
  <si>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</si>
  <si>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</si>
  <si>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</si>
  <si>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</si>
  <si>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</si>
  <si>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中档</t>
  </si>
  <si>
    <t>中档</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</si>
</sst>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0" borderId="0" xfId="19" applyFont="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cellXfs>
  <cellStyles count="21">
    <cellStyle name="百分比" xfId="17" builtinId="5"/>
    <cellStyle name="百分比 2" xfId="14"/>
    <cellStyle name="常规" xfId="0" builtinId="0"/>
    <cellStyle name="常规 10" xfId="20"/>
    <cellStyle name="常规 11" xfId="18"/>
    <cellStyle name="常规 12" xfId="19"/>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48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xmlns=""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xmlns=""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xmlns=""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xmlns=""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xmlns=""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xmlns=""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xmlns=""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xmlns=""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xmlns=""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xmlns=""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xmlns=""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xmlns=""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xmlns=""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xmlns=""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xmlns=""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xmlns=""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xmlns=""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xmlns=""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xmlns=""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xmlns=""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xmlns=""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xmlns=""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xmlns=""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xmlns=""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xmlns=""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xmlns=""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xmlns=""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xmlns=""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xmlns=""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xmlns=""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xmlns=""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xmlns=""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xmlns=""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xmlns=""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xmlns=""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xmlns=""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北京市出让国有建设用地使用权及在建建筑物房地产抵押价值预评估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受贵公司委托，我公司对北京市出让国有建设用地使用权及在建建筑物房地产抵押价值进行了预评估。</v>
      </c>
    </row>
    <row r="7" spans="1:2">
      <c r="A7" s="1117" t="s">
        <v>566</v>
      </c>
      <c r="B7" s="1118" t="str">
        <f>'预评函-1'!A7</f>
        <v>估价对象为北京市出让国有建设用地使用权及在建建筑物房地产，为所有。根据《国有土地使用证》[]，估价对象（分摊）出让国有建设用地使用权面积为37485.77平方米，建筑面积为74277.4199999999平方米。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2025年5月26日（评估专业人员实地查勘之日）</v>
      </c>
    </row>
    <row r="13" spans="1:2">
      <c r="A13" s="1117" t="s">
        <v>529</v>
      </c>
      <c r="B13" s="1118"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525316</v>
      </c>
    </row>
    <row r="21" spans="1:2">
      <c r="A21" s="1117" t="s">
        <v>537</v>
      </c>
      <c r="B21" s="1118">
        <f ca="1">'预评函-2'!D7</f>
        <v>70724</v>
      </c>
    </row>
    <row r="22" spans="1:2">
      <c r="A22" s="1117" t="s">
        <v>538</v>
      </c>
      <c r="B22" s="1118" t="str">
        <f ca="1">'预评函-2'!D6</f>
        <v>伍拾贰亿伍仟叁佰壹拾陆万元整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525316</v>
      </c>
    </row>
    <row r="31" spans="1:2">
      <c r="A31" s="1117" t="s">
        <v>576</v>
      </c>
      <c r="B31" s="1118">
        <f ca="1">'预评函-2'!D15</f>
        <v>70724</v>
      </c>
    </row>
    <row r="32" spans="1:2">
      <c r="A32" s="1117" t="s">
        <v>543</v>
      </c>
      <c r="B32" s="1118" t="str">
        <f ca="1">'预评函-2'!D14</f>
        <v>伍拾贰亿伍仟叁佰壹拾陆万元整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北京市出让国有建设用地使用权及在建建筑物房地产</v>
      </c>
    </row>
    <row r="42" spans="1:2">
      <c r="A42" s="1117" t="s">
        <v>590</v>
      </c>
      <c r="B42" s="1118" t="str">
        <f>'预评函-3'!B2</f>
        <v>建筑面积</v>
      </c>
    </row>
    <row r="43" spans="1:2">
      <c r="A43" s="1117" t="s">
        <v>591</v>
      </c>
      <c r="B43" s="1118">
        <f>'预评函-3'!B4</f>
        <v>74277.419999999867</v>
      </c>
    </row>
    <row r="44" spans="1:2">
      <c r="A44" s="1117" t="s">
        <v>575</v>
      </c>
      <c r="B44" s="1118" t="str">
        <f>'预评函-3'!C2</f>
        <v>(分摊)土地面积</v>
      </c>
    </row>
    <row r="45" spans="1:2">
      <c r="A45" s="1117" t="s">
        <v>547</v>
      </c>
      <c r="B45" s="1118">
        <f>'预评函-3'!C4</f>
        <v>37485.769999999997</v>
      </c>
    </row>
    <row r="46" spans="1:2">
      <c r="A46" s="1117" t="s">
        <v>573</v>
      </c>
      <c r="B46" s="1118" t="str">
        <f>'预评函-3'!D2</f>
        <v>出让国有建设用地使用权价值</v>
      </c>
    </row>
    <row r="47" spans="1:2">
      <c r="A47" s="1117" t="s">
        <v>548</v>
      </c>
      <c r="B47" s="1118">
        <f ca="1">'预评函-3'!D4</f>
        <v>470683</v>
      </c>
    </row>
    <row r="48" spans="1:2">
      <c r="A48" s="1117" t="s">
        <v>549</v>
      </c>
      <c r="B48" s="1118">
        <f ca="1">'预评函-3'!E4</f>
        <v>63369</v>
      </c>
    </row>
    <row r="49" spans="1:2">
      <c r="A49" s="1117" t="s">
        <v>550</v>
      </c>
      <c r="B49" s="1118" t="str">
        <f ca="1">'预评函-3'!D5</f>
        <v>肆拾柒亿零陆佰捌拾叁万元整</v>
      </c>
    </row>
    <row r="50" spans="1:2">
      <c r="A50" s="1117" t="s">
        <v>574</v>
      </c>
      <c r="B50" s="1118" t="str">
        <f>'预评函-3'!F2</f>
        <v>在建建筑物价值</v>
      </c>
    </row>
    <row r="51" spans="1:2">
      <c r="A51" s="1117" t="s">
        <v>551</v>
      </c>
      <c r="B51" s="1118">
        <f ca="1">'预评函-3'!F4</f>
        <v>54633</v>
      </c>
    </row>
    <row r="52" spans="1:2">
      <c r="A52" s="1117" t="s">
        <v>552</v>
      </c>
      <c r="B52" s="1118">
        <f ca="1">'预评函-3'!G4</f>
        <v>7355</v>
      </c>
    </row>
    <row r="53" spans="1:2">
      <c r="A53" s="1117" t="s">
        <v>580</v>
      </c>
      <c r="B53" s="1118" t="str">
        <f ca="1">'预评函-3'!F5</f>
        <v>伍亿肆仟陆佰叁拾叁万元整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3328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3329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3332</v>
      </c>
    </row>
    <row r="8" spans="1:23">
      <c r="A8" s="1439" t="s">
        <v>1026</v>
      </c>
      <c r="B8" s="1439" t="s">
        <v>1027</v>
      </c>
      <c r="C8" s="1440" t="s">
        <v>319</v>
      </c>
      <c r="F8" s="1441" t="s">
        <v>1028</v>
      </c>
      <c r="H8" s="1441" t="s">
        <v>2567</v>
      </c>
      <c r="I8" s="1441" t="s">
        <v>3333</v>
      </c>
    </row>
    <row r="9" spans="1:23">
      <c r="A9" s="1439" t="s">
        <v>1029</v>
      </c>
      <c r="B9" s="1439" t="s">
        <v>1030</v>
      </c>
      <c r="C9" s="1440" t="s">
        <v>320</v>
      </c>
      <c r="F9" s="1441" t="s">
        <v>1031</v>
      </c>
      <c r="H9" s="1441"/>
      <c r="I9" s="1443" t="s">
        <v>3334</v>
      </c>
    </row>
    <row r="10" spans="1:23">
      <c r="A10" s="1439" t="s">
        <v>1032</v>
      </c>
      <c r="B10" s="1439" t="s">
        <v>1033</v>
      </c>
      <c r="C10" s="1440" t="s">
        <v>321</v>
      </c>
      <c r="F10" s="1441" t="s">
        <v>2568</v>
      </c>
      <c r="I10" s="1443" t="s">
        <v>3335</v>
      </c>
    </row>
    <row r="11" spans="1:23">
      <c r="A11" s="1439" t="s">
        <v>1034</v>
      </c>
      <c r="B11" s="1439" t="s">
        <v>1035</v>
      </c>
      <c r="C11" s="1440" t="s">
        <v>322</v>
      </c>
      <c r="F11" s="1441" t="s">
        <v>13</v>
      </c>
      <c r="I11" s="1443" t="s">
        <v>3336</v>
      </c>
    </row>
    <row r="12" spans="1:23">
      <c r="A12" s="1439" t="s">
        <v>1036</v>
      </c>
      <c r="B12" s="1439" t="s">
        <v>1037</v>
      </c>
      <c r="C12" s="1440" t="s">
        <v>323</v>
      </c>
      <c r="I12" s="1443" t="s">
        <v>3337</v>
      </c>
    </row>
    <row r="13" spans="1:23">
      <c r="A13" s="1439" t="s">
        <v>1038</v>
      </c>
      <c r="B13" s="1439" t="s">
        <v>1039</v>
      </c>
      <c r="C13" s="1440" t="s">
        <v>324</v>
      </c>
      <c r="I13" s="1443" t="s">
        <v>3338</v>
      </c>
    </row>
    <row r="14" spans="1:23">
      <c r="A14" s="1439" t="s">
        <v>1040</v>
      </c>
      <c r="B14" s="1439" t="s">
        <v>1041</v>
      </c>
      <c r="C14" s="1441" t="s">
        <v>13</v>
      </c>
      <c r="I14" s="1443" t="s">
        <v>3339</v>
      </c>
    </row>
    <row r="15" spans="1:23">
      <c r="A15" s="1439" t="s">
        <v>1042</v>
      </c>
      <c r="B15" s="1439" t="s">
        <v>1043</v>
      </c>
      <c r="C15" s="1440"/>
      <c r="I15" s="1443" t="s">
        <v>3340</v>
      </c>
    </row>
    <row r="16" spans="1:23">
      <c r="A16" s="1439" t="s">
        <v>1044</v>
      </c>
      <c r="B16" s="1439" t="s">
        <v>312</v>
      </c>
      <c r="C16" s="1440"/>
    </row>
    <row r="17" spans="1:3">
      <c r="A17" s="1439" t="s">
        <v>1045</v>
      </c>
      <c r="B17" s="1439" t="s">
        <v>2283</v>
      </c>
      <c r="C17" s="1440"/>
    </row>
    <row r="18" spans="1:3">
      <c r="A18" s="1439" t="s">
        <v>1046</v>
      </c>
      <c r="B18" s="1439" t="s">
        <v>2423</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3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5" t="s">
        <v>385</v>
      </c>
      <c r="C54" s="1443" t="s">
        <v>583</v>
      </c>
    </row>
    <row r="55" spans="1:4">
      <c r="A55" s="3231"/>
      <c r="B55" s="1445" t="s">
        <v>386</v>
      </c>
      <c r="C55" s="1443" t="s">
        <v>584</v>
      </c>
    </row>
    <row r="56" spans="1:4">
      <c r="A56" s="3231"/>
      <c r="B56" s="1445" t="s">
        <v>387</v>
      </c>
      <c r="C56" s="1443" t="s">
        <v>588</v>
      </c>
    </row>
    <row r="57" spans="1:4">
      <c r="A57" s="323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2490</v>
      </c>
      <c r="B1" s="2753"/>
      <c r="C1" s="2753"/>
      <c r="D1" s="2753"/>
      <c r="E1" s="2753"/>
      <c r="F1" s="2754"/>
      <c r="I1" s="3131" t="s">
        <v>2583</v>
      </c>
      <c r="J1" s="2779"/>
      <c r="K1" s="2779"/>
      <c r="L1" s="2779"/>
      <c r="M1" s="2779"/>
      <c r="N1" s="2964"/>
      <c r="O1" s="2964"/>
      <c r="P1" s="2964"/>
      <c r="Q1" s="2964"/>
      <c r="R1" s="2964"/>
    </row>
    <row r="2" spans="1:18">
      <c r="A2" s="2756"/>
      <c r="B2" s="2757"/>
      <c r="C2" s="2757"/>
      <c r="D2" s="2757"/>
      <c r="E2" s="2757"/>
      <c r="F2" s="2758"/>
      <c r="I2" s="3232" t="s">
        <v>2570</v>
      </c>
      <c r="J2" s="3232"/>
      <c r="K2" s="3232"/>
      <c r="L2" s="3232"/>
      <c r="M2" s="3232"/>
      <c r="N2" s="3232"/>
      <c r="O2" s="3232"/>
      <c r="P2" s="3232"/>
      <c r="Q2" s="3232"/>
      <c r="R2" s="3232"/>
    </row>
    <row r="3" spans="1:18">
      <c r="A3" s="2759" t="s">
        <v>2491</v>
      </c>
      <c r="B3" s="2760">
        <f>项目基本情况!D3</f>
        <v>45803</v>
      </c>
      <c r="C3" s="2762"/>
      <c r="D3" s="2762"/>
      <c r="E3" s="2762"/>
      <c r="F3" s="2758"/>
      <c r="I3" s="2774"/>
      <c r="J3" s="2774" t="s">
        <v>2574</v>
      </c>
      <c r="K3" s="2774" t="s">
        <v>2575</v>
      </c>
      <c r="L3" s="2774" t="s">
        <v>2576</v>
      </c>
      <c r="M3" s="2774" t="s">
        <v>2577</v>
      </c>
      <c r="N3" s="3132" t="s">
        <v>2578</v>
      </c>
      <c r="O3" s="3132" t="s">
        <v>2579</v>
      </c>
      <c r="P3" s="3132" t="s">
        <v>2580</v>
      </c>
      <c r="Q3" s="3132" t="s">
        <v>2581</v>
      </c>
      <c r="R3" s="3132" t="s">
        <v>2582</v>
      </c>
    </row>
    <row r="4" spans="1:18">
      <c r="A4" s="2759" t="s">
        <v>2492</v>
      </c>
      <c r="B4" s="2762" t="s">
        <v>2493</v>
      </c>
      <c r="C4" s="2762" t="s">
        <v>2494</v>
      </c>
      <c r="D4" s="2762" t="s">
        <v>2495</v>
      </c>
      <c r="E4" s="2762" t="s">
        <v>2496</v>
      </c>
      <c r="F4" s="2758"/>
      <c r="I4" s="2774" t="s">
        <v>2571</v>
      </c>
      <c r="J4" s="2774">
        <v>80</v>
      </c>
      <c r="K4" s="2774">
        <v>70</v>
      </c>
      <c r="L4" s="2774">
        <v>20</v>
      </c>
      <c r="M4" s="2774">
        <v>30</v>
      </c>
      <c r="N4" s="2762">
        <v>45</v>
      </c>
      <c r="O4" s="2762">
        <v>60</v>
      </c>
      <c r="P4" s="2762">
        <v>50</v>
      </c>
      <c r="Q4" s="2762">
        <v>20</v>
      </c>
      <c r="R4" s="2762">
        <v>375</v>
      </c>
    </row>
    <row r="5" spans="1:18">
      <c r="A5" s="2763">
        <v>40</v>
      </c>
      <c r="B5" s="2760">
        <v>46375</v>
      </c>
      <c r="C5" s="2762">
        <f>ROUNDDOWN(MIN((B5-B3)/365,A5),2)</f>
        <v>1.56</v>
      </c>
      <c r="D5" s="2764">
        <f>IF(ISERROR(ROUND(POWER(1+E5,A5-C5)*(POWER(1+E5,C5)-1)/(POWER(1+E5,A5)-1),3)),0,ROUND(POWER(1+E5,A5-C5)*(POWER(1+E5,C5)-1)/(POWER(1+E5,A5)-1),4))</f>
        <v>7.4999999999999997E-2</v>
      </c>
      <c r="E5" s="2765">
        <v>0.04</v>
      </c>
      <c r="F5" s="2758"/>
      <c r="I5" s="2774" t="s">
        <v>2572</v>
      </c>
      <c r="J5" s="2774">
        <v>70</v>
      </c>
      <c r="K5" s="2774">
        <v>60</v>
      </c>
      <c r="L5" s="2774">
        <v>15</v>
      </c>
      <c r="M5" s="2774">
        <v>25</v>
      </c>
      <c r="N5" s="2762">
        <v>40</v>
      </c>
      <c r="O5" s="2762">
        <v>50</v>
      </c>
      <c r="P5" s="2762">
        <v>40</v>
      </c>
      <c r="Q5" s="2762">
        <v>15</v>
      </c>
      <c r="R5" s="2762">
        <v>315</v>
      </c>
    </row>
    <row r="6" spans="1:18">
      <c r="A6" s="2763">
        <v>50</v>
      </c>
      <c r="B6" s="2760">
        <v>50028</v>
      </c>
      <c r="C6" s="2762">
        <f>ROUNDDOWN(MIN((B6-B3)/365,A6),2)</f>
        <v>11.57</v>
      </c>
      <c r="D6" s="2764">
        <f>IF(ISERROR(ROUND(POWER(1+E6,A6-C6)*(POWER(1+E6,C6)-1)/(POWER(1+E6,A6)-1),3)),0,ROUND(POWER(1+E6,A6-C6)*(POWER(1+E6,C6)-1)/(POWER(1+E6,A6)-1),4))</f>
        <v>0.42449999999999999</v>
      </c>
      <c r="E6" s="2765">
        <v>0.04</v>
      </c>
      <c r="F6" s="2758"/>
      <c r="I6" s="2774" t="s">
        <v>2573</v>
      </c>
      <c r="J6" s="2774">
        <v>60</v>
      </c>
      <c r="K6" s="2774">
        <v>50</v>
      </c>
      <c r="L6" s="2774">
        <v>10</v>
      </c>
      <c r="M6" s="2774">
        <v>20</v>
      </c>
      <c r="N6" s="2762">
        <v>35</v>
      </c>
      <c r="O6" s="2762">
        <v>40</v>
      </c>
      <c r="P6" s="2762">
        <v>30</v>
      </c>
      <c r="Q6" s="2762">
        <v>10</v>
      </c>
      <c r="R6" s="2762">
        <v>255</v>
      </c>
    </row>
    <row r="7" spans="1:18">
      <c r="A7" s="2763">
        <v>70</v>
      </c>
      <c r="B7" s="2760">
        <v>57333</v>
      </c>
      <c r="C7" s="2762">
        <f>ROUNDDOWN(MIN((B7-B3)/365,A7),2)</f>
        <v>31.58</v>
      </c>
      <c r="D7" s="2764">
        <f>IF(ISERROR(ROUND(POWER(1+E7,A7-C7)*(POWER(1+E7,C7)-1)/(POWER(1+E7,A7)-1),3)),0,ROUND(POWER(1+E7,A7-C7)*(POWER(1+E7,C7)-1)/(POWER(1+E7,A7)-1),4))</f>
        <v>0.75890000000000002</v>
      </c>
      <c r="E7" s="2765">
        <v>0.04</v>
      </c>
      <c r="F7" s="2758"/>
    </row>
    <row r="8" spans="1:18">
      <c r="A8" s="2756"/>
      <c r="B8" s="2757"/>
      <c r="C8" s="2757"/>
      <c r="D8" s="2757"/>
      <c r="E8" s="2757"/>
      <c r="F8" s="2758"/>
    </row>
    <row r="9" spans="1:18">
      <c r="A9" s="2759" t="s">
        <v>2497</v>
      </c>
      <c r="B9" s="2762"/>
      <c r="C9" s="2762"/>
      <c r="D9" s="2762"/>
      <c r="E9" s="2762"/>
      <c r="F9" s="2766"/>
    </row>
    <row r="10" spans="1:18">
      <c r="A10" s="2759" t="s">
        <v>2498</v>
      </c>
      <c r="B10" s="2762"/>
      <c r="C10" s="2762"/>
      <c r="D10" s="2762" t="s">
        <v>2496</v>
      </c>
      <c r="E10" s="2762"/>
      <c r="F10" s="2766" t="s">
        <v>2495</v>
      </c>
    </row>
    <row r="11" spans="1:18">
      <c r="A11" s="2759" t="s">
        <v>2499</v>
      </c>
      <c r="B11" s="2767">
        <v>70</v>
      </c>
      <c r="C11" s="2762" t="s">
        <v>2500</v>
      </c>
      <c r="D11" s="2767">
        <v>4.4999999999999998E-2</v>
      </c>
      <c r="E11" s="2762" t="s">
        <v>2501</v>
      </c>
      <c r="F11" s="2768">
        <f>ROUND(1-(1/(POWER(1+D11,B11))),4)</f>
        <v>0.95409999999999995</v>
      </c>
    </row>
    <row r="12" spans="1:18">
      <c r="A12" s="2759" t="s">
        <v>2502</v>
      </c>
      <c r="B12" s="2767">
        <v>40</v>
      </c>
      <c r="C12" s="2762" t="s">
        <v>2503</v>
      </c>
      <c r="D12" s="2767">
        <v>4.4999999999999998E-2</v>
      </c>
      <c r="E12" s="2762" t="s">
        <v>2504</v>
      </c>
      <c r="F12" s="2768">
        <f>ROUND(1-(1/(POWER(1+D12,B12))),4)</f>
        <v>0.82809999999999995</v>
      </c>
    </row>
    <row r="13" spans="1:18">
      <c r="A13" s="2759" t="s">
        <v>2505</v>
      </c>
      <c r="B13" s="2762"/>
      <c r="C13" s="2762"/>
      <c r="D13" s="2757"/>
      <c r="E13" s="2757"/>
      <c r="F13" s="2758"/>
    </row>
    <row r="14" spans="1:18">
      <c r="A14" s="2759" t="s">
        <v>2506</v>
      </c>
      <c r="B14" s="2767">
        <v>5000</v>
      </c>
      <c r="C14" s="2761"/>
      <c r="D14" s="2757"/>
      <c r="E14" s="2757"/>
      <c r="F14" s="2758"/>
    </row>
    <row r="15" spans="1:18">
      <c r="A15" s="2759" t="s">
        <v>2507</v>
      </c>
      <c r="B15" s="2762">
        <f>ROUND(B14*F12/F11,2)</f>
        <v>4339.6899999999996</v>
      </c>
      <c r="C15" s="2762">
        <f>ROUND(F12/F11,4)</f>
        <v>0.8679</v>
      </c>
      <c r="D15" s="2757"/>
      <c r="E15" s="2757"/>
      <c r="F15" s="2758"/>
    </row>
    <row r="16" spans="1:18">
      <c r="A16" s="2759" t="s">
        <v>2508</v>
      </c>
      <c r="B16" s="2762"/>
      <c r="C16" s="2762"/>
      <c r="D16" s="2757"/>
      <c r="E16" s="2757"/>
      <c r="F16" s="2758"/>
    </row>
    <row r="17" spans="1:14">
      <c r="A17" s="2759" t="s">
        <v>2507</v>
      </c>
      <c r="B17" s="2767">
        <v>4810</v>
      </c>
      <c r="C17" s="2761"/>
      <c r="D17" s="2757"/>
      <c r="E17" s="2757"/>
      <c r="F17" s="2758"/>
    </row>
    <row r="18" spans="1:14" ht="14.25" thickBot="1">
      <c r="A18" s="2769" t="s">
        <v>2506</v>
      </c>
      <c r="B18" s="2770">
        <f>ROUND(B17*F11/F12,2)</f>
        <v>5541.87</v>
      </c>
      <c r="C18" s="2770">
        <f>ROUND(F11/F12,4)</f>
        <v>1.1521999999999999</v>
      </c>
      <c r="D18" s="2771"/>
      <c r="E18" s="2771"/>
      <c r="F18" s="2772"/>
    </row>
    <row r="19" spans="1:14" ht="14.25" thickBot="1"/>
    <row r="20" spans="1:14" s="2805" customFormat="1" ht="14.25" thickTop="1">
      <c r="A20" s="2802" t="s">
        <v>2509</v>
      </c>
      <c r="B20" s="2803"/>
      <c r="C20" s="2803"/>
      <c r="D20" s="2803"/>
      <c r="E20" s="2803"/>
      <c r="F20" s="2803"/>
      <c r="G20" s="2804"/>
      <c r="I20" s="2806" t="s">
        <v>2554</v>
      </c>
      <c r="J20" s="2806" t="s">
        <v>2559</v>
      </c>
      <c r="K20" s="2806"/>
      <c r="L20" s="2806"/>
      <c r="M20" s="2806"/>
    </row>
    <row r="21" spans="1:14">
      <c r="A21" s="2773"/>
      <c r="B21" s="2774" t="s">
        <v>2510</v>
      </c>
      <c r="C21" s="2774" t="s">
        <v>2511</v>
      </c>
      <c r="D21" s="2774" t="s">
        <v>2512</v>
      </c>
      <c r="E21" s="2774" t="s">
        <v>2513</v>
      </c>
      <c r="F21" s="2774" t="s">
        <v>2514</v>
      </c>
      <c r="G21" s="2775" t="s">
        <v>2515</v>
      </c>
      <c r="I21" s="2796">
        <v>5</v>
      </c>
      <c r="J21" s="2796">
        <v>54.2</v>
      </c>
    </row>
    <row r="22" spans="1:14">
      <c r="A22" s="2773" t="s">
        <v>2516</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2517</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2557</v>
      </c>
      <c r="N23" s="3149" t="s">
        <v>2558</v>
      </c>
    </row>
    <row r="24" spans="1:14">
      <c r="A24" s="2773" t="s">
        <v>2518</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2556</v>
      </c>
      <c r="N24" s="3149">
        <v>10</v>
      </c>
    </row>
    <row r="25" spans="1:14">
      <c r="A25" s="2773" t="s">
        <v>2519</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2560</v>
      </c>
      <c r="N25" s="3149">
        <v>8</v>
      </c>
    </row>
    <row r="26" spans="1:14">
      <c r="A26" s="2778"/>
      <c r="B26" s="2779"/>
      <c r="C26" s="2779"/>
      <c r="D26" s="2779"/>
      <c r="E26" s="2779"/>
      <c r="F26" s="2779"/>
      <c r="G26" s="2780"/>
      <c r="I26" s="2796">
        <v>30</v>
      </c>
      <c r="J26" s="2796">
        <v>90.5</v>
      </c>
      <c r="K26" s="2796">
        <f t="shared" si="2"/>
        <v>4.2000000000000028</v>
      </c>
      <c r="L26" s="2796" t="s">
        <v>2561</v>
      </c>
      <c r="N26" s="3149">
        <v>5</v>
      </c>
    </row>
    <row r="27" spans="1:14">
      <c r="A27" s="2778" t="s">
        <v>2520</v>
      </c>
      <c r="B27" s="2779"/>
      <c r="C27" s="2779"/>
      <c r="D27" s="2779"/>
      <c r="E27" s="2779"/>
      <c r="F27" s="2779"/>
      <c r="G27" s="2780"/>
      <c r="I27" s="2796">
        <v>35</v>
      </c>
      <c r="J27" s="2796">
        <v>93.8</v>
      </c>
      <c r="K27" s="2796">
        <f t="shared" si="2"/>
        <v>3.2999999999999972</v>
      </c>
      <c r="L27" s="2796" t="s">
        <v>2562</v>
      </c>
      <c r="N27" s="3149">
        <v>3</v>
      </c>
    </row>
    <row r="28" spans="1:14">
      <c r="A28" s="2778" t="s">
        <v>2521</v>
      </c>
      <c r="B28" s="2779"/>
      <c r="C28" s="2779"/>
      <c r="D28" s="2779"/>
      <c r="E28" s="2779"/>
      <c r="F28" s="2779"/>
      <c r="G28" s="2780"/>
      <c r="I28" s="2796">
        <v>40</v>
      </c>
      <c r="J28" s="2796">
        <v>96.4</v>
      </c>
      <c r="K28" s="2796">
        <f t="shared" si="2"/>
        <v>2.6000000000000085</v>
      </c>
      <c r="L28" s="2796" t="s">
        <v>2563</v>
      </c>
      <c r="N28" s="3149">
        <v>2</v>
      </c>
    </row>
    <row r="29" spans="1:14">
      <c r="A29" s="2778" t="s">
        <v>2522</v>
      </c>
      <c r="B29" s="2779"/>
      <c r="C29" s="2779"/>
      <c r="D29" s="2779"/>
      <c r="E29" s="2779"/>
      <c r="F29" s="2779"/>
      <c r="G29" s="2780"/>
      <c r="I29" s="2796">
        <v>45</v>
      </c>
      <c r="J29" s="2796">
        <v>98.4</v>
      </c>
      <c r="K29" s="2796">
        <f t="shared" si="2"/>
        <v>2</v>
      </c>
    </row>
    <row r="30" spans="1:14">
      <c r="A30" s="2778" t="s">
        <v>2523</v>
      </c>
      <c r="B30" s="2779"/>
      <c r="C30" s="2779"/>
      <c r="D30" s="2779"/>
      <c r="E30" s="2779"/>
      <c r="F30" s="2779"/>
      <c r="G30" s="2780"/>
      <c r="I30" s="2796">
        <v>50</v>
      </c>
      <c r="J30" s="2796">
        <v>100</v>
      </c>
      <c r="K30" s="2796">
        <f t="shared" si="2"/>
        <v>1.5999999999999943</v>
      </c>
    </row>
    <row r="31" spans="1:14">
      <c r="A31" s="2778" t="s">
        <v>2524</v>
      </c>
      <c r="B31" s="2779"/>
      <c r="C31" s="2779"/>
      <c r="D31" s="2779"/>
      <c r="E31" s="2779"/>
      <c r="F31" s="2779"/>
      <c r="G31" s="2780"/>
      <c r="I31" s="2796" t="s">
        <v>2555</v>
      </c>
    </row>
    <row r="32" spans="1:14">
      <c r="A32" s="2778" t="s">
        <v>2525</v>
      </c>
      <c r="B32" s="2779"/>
      <c r="C32" s="2779"/>
      <c r="D32" s="2779"/>
      <c r="E32" s="2779"/>
      <c r="F32" s="2779"/>
      <c r="G32" s="2780"/>
    </row>
    <row r="33" spans="1:14">
      <c r="A33" s="2778" t="s">
        <v>2526</v>
      </c>
      <c r="B33" s="2779"/>
      <c r="C33" s="2779"/>
      <c r="D33" s="2779"/>
      <c r="E33" s="2779"/>
      <c r="F33" s="2779"/>
      <c r="G33" s="2780"/>
      <c r="I33" s="2796" t="s">
        <v>2554</v>
      </c>
      <c r="J33" s="2796" t="s">
        <v>2564</v>
      </c>
    </row>
    <row r="34" spans="1:14">
      <c r="A34" s="2778" t="s">
        <v>2527</v>
      </c>
      <c r="B34" s="2779"/>
      <c r="C34" s="2779"/>
      <c r="D34" s="2779"/>
      <c r="E34" s="2779"/>
      <c r="F34" s="2779"/>
      <c r="G34" s="2780"/>
      <c r="I34" s="2796">
        <v>5</v>
      </c>
      <c r="J34" s="2796">
        <v>55.1</v>
      </c>
    </row>
    <row r="35" spans="1:14">
      <c r="A35" s="2778" t="s">
        <v>2528</v>
      </c>
      <c r="B35" s="2779"/>
      <c r="C35" s="2779"/>
      <c r="D35" s="2779"/>
      <c r="E35" s="2779"/>
      <c r="F35" s="2779"/>
      <c r="G35" s="2780"/>
      <c r="I35" s="2796">
        <v>10</v>
      </c>
      <c r="J35" s="2796">
        <v>67</v>
      </c>
      <c r="K35" s="2796">
        <f>J35-J34</f>
        <v>11.899999999999999</v>
      </c>
    </row>
    <row r="36" spans="1:14">
      <c r="A36" s="2778" t="s">
        <v>2529</v>
      </c>
      <c r="B36" s="2779"/>
      <c r="C36" s="2779"/>
      <c r="D36" s="2779"/>
      <c r="E36" s="2779"/>
      <c r="F36" s="2779"/>
      <c r="G36" s="2780"/>
      <c r="I36" s="2796">
        <v>15</v>
      </c>
      <c r="J36" s="2796">
        <v>76.3</v>
      </c>
      <c r="K36" s="2796">
        <f t="shared" ref="K36:K41" si="3">J36-J35</f>
        <v>9.2999999999999972</v>
      </c>
      <c r="L36" s="2796" t="s">
        <v>2557</v>
      </c>
      <c r="N36" s="3149" t="s">
        <v>2558</v>
      </c>
    </row>
    <row r="37" spans="1:14">
      <c r="A37" s="2778" t="s">
        <v>2530</v>
      </c>
      <c r="B37" s="2779"/>
      <c r="C37" s="2779"/>
      <c r="D37" s="2779"/>
      <c r="E37" s="2779"/>
      <c r="F37" s="2779"/>
      <c r="G37" s="2780"/>
      <c r="I37" s="2796">
        <v>20</v>
      </c>
      <c r="J37" s="2796">
        <v>83.6</v>
      </c>
      <c r="K37" s="2796">
        <f t="shared" si="3"/>
        <v>7.2999999999999972</v>
      </c>
      <c r="L37" s="2796" t="s">
        <v>2556</v>
      </c>
      <c r="N37" s="3149">
        <v>10</v>
      </c>
    </row>
    <row r="38" spans="1:14">
      <c r="A38" s="2778" t="s">
        <v>2531</v>
      </c>
      <c r="B38" s="2779"/>
      <c r="C38" s="2779"/>
      <c r="D38" s="2779"/>
      <c r="E38" s="2779"/>
      <c r="F38" s="2779"/>
      <c r="G38" s="2780"/>
      <c r="I38" s="2796">
        <v>25</v>
      </c>
      <c r="J38" s="2796">
        <v>89.3</v>
      </c>
      <c r="K38" s="2796">
        <f t="shared" si="3"/>
        <v>5.7000000000000028</v>
      </c>
      <c r="L38" s="2796" t="s">
        <v>2560</v>
      </c>
      <c r="N38" s="3149">
        <v>8</v>
      </c>
    </row>
    <row r="39" spans="1:14">
      <c r="A39" s="2778"/>
      <c r="B39" s="2779"/>
      <c r="C39" s="2779"/>
      <c r="D39" s="2779"/>
      <c r="E39" s="2779"/>
      <c r="F39" s="2779"/>
      <c r="G39" s="2780"/>
      <c r="I39" s="2796">
        <v>30</v>
      </c>
      <c r="J39" s="2796">
        <v>93.8</v>
      </c>
      <c r="K39" s="2796">
        <f t="shared" si="3"/>
        <v>4.5</v>
      </c>
      <c r="L39" s="2796" t="s">
        <v>2561</v>
      </c>
      <c r="N39" s="3149">
        <v>6</v>
      </c>
    </row>
    <row r="40" spans="1:14">
      <c r="A40" s="2781" t="s">
        <v>2532</v>
      </c>
      <c r="B40" s="2782"/>
      <c r="C40" s="2782"/>
      <c r="D40" s="2782"/>
      <c r="E40" s="2782"/>
      <c r="F40" s="2782"/>
      <c r="G40" s="2783"/>
      <c r="I40" s="2796">
        <v>35</v>
      </c>
      <c r="J40" s="2796">
        <v>97.2</v>
      </c>
      <c r="K40" s="2796">
        <f t="shared" si="3"/>
        <v>3.4000000000000057</v>
      </c>
      <c r="L40" s="2796" t="s">
        <v>2562</v>
      </c>
      <c r="N40" s="3149">
        <v>3</v>
      </c>
    </row>
    <row r="41" spans="1:14">
      <c r="A41" s="2784" t="s">
        <v>2533</v>
      </c>
      <c r="B41" s="2785" t="s">
        <v>2534</v>
      </c>
      <c r="C41" s="2786" t="s">
        <v>2535</v>
      </c>
      <c r="D41" s="2786" t="s">
        <v>2536</v>
      </c>
      <c r="E41" s="2787"/>
      <c r="F41" s="2788"/>
      <c r="G41" s="2789"/>
      <c r="I41" s="2796">
        <v>40</v>
      </c>
      <c r="J41" s="2796">
        <v>100</v>
      </c>
      <c r="K41" s="2796">
        <f t="shared" si="3"/>
        <v>2.7999999999999972</v>
      </c>
    </row>
    <row r="42" spans="1:14">
      <c r="A42" s="2784" t="s">
        <v>2537</v>
      </c>
      <c r="B42" s="2785" t="s">
        <v>2538</v>
      </c>
      <c r="C42" s="2786" t="s">
        <v>2539</v>
      </c>
      <c r="D42" s="2790" t="s">
        <v>2540</v>
      </c>
      <c r="E42" s="2782" t="s">
        <v>2541</v>
      </c>
      <c r="F42" s="2782"/>
      <c r="G42" s="2783"/>
    </row>
    <row r="43" spans="1:14">
      <c r="A43" s="2784" t="s">
        <v>2542</v>
      </c>
      <c r="B43" s="2785" t="s">
        <v>2543</v>
      </c>
      <c r="C43" s="2786" t="s">
        <v>2544</v>
      </c>
      <c r="D43" s="2786" t="s">
        <v>2545</v>
      </c>
      <c r="E43" s="2787" t="s">
        <v>2546</v>
      </c>
      <c r="F43" s="2788"/>
      <c r="G43" s="2789"/>
      <c r="I43" s="2796" t="s">
        <v>2554</v>
      </c>
      <c r="J43" s="2796" t="s">
        <v>2565</v>
      </c>
    </row>
    <row r="44" spans="1:14">
      <c r="A44" s="2784" t="s">
        <v>2547</v>
      </c>
      <c r="B44" s="2785" t="s">
        <v>2548</v>
      </c>
      <c r="C44" s="2786" t="s">
        <v>2549</v>
      </c>
      <c r="D44" s="2790">
        <v>0.5</v>
      </c>
      <c r="E44" s="2787" t="s">
        <v>2550</v>
      </c>
      <c r="F44" s="2788"/>
      <c r="G44" s="2789"/>
      <c r="I44" s="2796">
        <v>30</v>
      </c>
      <c r="J44" s="2796">
        <v>81.7</v>
      </c>
    </row>
    <row r="45" spans="1:14" ht="14.25" thickBot="1">
      <c r="A45" s="2791" t="s">
        <v>2551</v>
      </c>
      <c r="B45" s="2792" t="s">
        <v>2538</v>
      </c>
      <c r="C45" s="2793" t="s">
        <v>2538</v>
      </c>
      <c r="D45" s="2793" t="s">
        <v>2552</v>
      </c>
      <c r="E45" s="2794" t="s">
        <v>2553</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32" sqref="H32"/>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9" customWidth="1"/>
    <col min="12" max="13" width="10" style="2410"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7" t="s">
        <v>2167</v>
      </c>
      <c r="B1" s="324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41"/>
      <c r="D1" s="3241"/>
      <c r="E1" s="3241"/>
      <c r="F1" s="3241"/>
      <c r="G1" s="3241"/>
      <c r="H1" s="3241"/>
      <c r="I1" s="3242"/>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6"/>
      <c r="U1" s="1616"/>
      <c r="V1" s="1616"/>
      <c r="W1" s="1616"/>
      <c r="X1" s="1616"/>
      <c r="Y1" s="1616"/>
      <c r="Z1" s="1616"/>
      <c r="AA1" s="1616"/>
      <c r="AB1" s="1616"/>
    </row>
    <row r="2" spans="1:30">
      <c r="A2" s="2178" t="s">
        <v>2168</v>
      </c>
      <c r="B2" s="122"/>
      <c r="D2" s="2444"/>
      <c r="E2" s="2437"/>
      <c r="F2" s="2437"/>
      <c r="G2" s="2438"/>
      <c r="H2" s="2438"/>
      <c r="I2" s="2438"/>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北京市出让国有建设用地使用权及在建建筑物房地产</v>
      </c>
      <c r="T2" s="1616"/>
      <c r="U2" s="1616"/>
      <c r="V2" s="1616"/>
      <c r="W2" s="1616"/>
      <c r="X2" s="1616"/>
      <c r="Y2" s="1616"/>
      <c r="Z2" s="1616"/>
      <c r="AA2" s="1616"/>
      <c r="AB2" s="1616"/>
    </row>
    <row r="3" spans="1:30">
      <c r="A3" s="294" t="s">
        <v>2169</v>
      </c>
      <c r="B3" s="2181">
        <v>45803</v>
      </c>
      <c r="C3" s="2182" t="s">
        <v>2170</v>
      </c>
      <c r="D3" s="2181">
        <v>45803</v>
      </c>
      <c r="E3" s="2438"/>
      <c r="F3" s="2438"/>
      <c r="G3" s="2438"/>
      <c r="H3" s="2438"/>
      <c r="I3" s="2438"/>
      <c r="J3" s="2241"/>
      <c r="K3" s="2179"/>
      <c r="L3" s="2180"/>
      <c r="M3" s="2180"/>
      <c r="N3" s="2178"/>
      <c r="O3" s="1464"/>
      <c r="P3" s="2178"/>
      <c r="Q3" s="2178"/>
      <c r="R3" s="2178"/>
      <c r="S3" s="1559"/>
      <c r="T3" s="1616"/>
      <c r="U3" s="1616"/>
      <c r="V3" s="1616"/>
      <c r="W3" s="1616"/>
      <c r="X3" s="1616"/>
      <c r="Y3" s="1616"/>
      <c r="Z3" s="1616"/>
      <c r="AA3" s="1616"/>
      <c r="AB3" s="1616"/>
    </row>
    <row r="4" spans="1:30" ht="13.5" thickBot="1">
      <c r="A4" s="1025" t="s">
        <v>2171</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4"/>
      <c r="P4" s="2178"/>
      <c r="Q4" s="2178"/>
      <c r="R4" s="2178"/>
      <c r="S4" s="1559"/>
      <c r="T4" s="1616"/>
      <c r="U4" s="1616"/>
      <c r="V4" s="1616"/>
      <c r="W4" s="1616"/>
      <c r="X4" s="1616"/>
      <c r="Y4" s="1616"/>
      <c r="Z4" s="1616"/>
      <c r="AA4" s="1616"/>
      <c r="AB4" s="1616"/>
    </row>
    <row r="5" spans="1:30" ht="13.5" thickTop="1">
      <c r="A5" s="2186" t="s">
        <v>2172</v>
      </c>
      <c r="B5" s="2187"/>
      <c r="C5" s="2188"/>
      <c r="D5" s="2189"/>
      <c r="E5" s="2438"/>
      <c r="F5" s="2438"/>
      <c r="G5" s="2438"/>
      <c r="H5" s="2438"/>
      <c r="I5" s="2438"/>
      <c r="J5" s="2241"/>
      <c r="K5" s="2185" t="str">
        <f>IF(F4="——","",IF(H4="——",F4&amp;"（注册号："&amp;G4&amp;")",CONCATENATE(F4,"（注册号：",G4,")、",H4,"（注册号：",I4,")")))</f>
        <v>（注册号：0)、（注册号：0)</v>
      </c>
      <c r="L5" s="2180"/>
      <c r="M5" s="2180"/>
      <c r="N5" s="2178"/>
      <c r="O5" s="1464"/>
      <c r="P5" s="2178"/>
      <c r="Q5" s="2178"/>
      <c r="R5" s="2178"/>
      <c r="S5" s="1616"/>
      <c r="T5" s="1616"/>
      <c r="U5" s="1616"/>
      <c r="V5" s="1616"/>
      <c r="W5" s="1616"/>
      <c r="X5" s="1616"/>
      <c r="Y5" s="1616"/>
      <c r="Z5" s="1616"/>
      <c r="AA5" s="1616"/>
      <c r="AB5" s="1616"/>
    </row>
    <row r="6" spans="1:30">
      <c r="A6" s="2190" t="s">
        <v>2173</v>
      </c>
      <c r="B6" s="2191"/>
      <c r="C6" s="2192"/>
      <c r="D6" s="2193"/>
      <c r="E6" s="2437"/>
      <c r="F6" s="2438"/>
      <c r="G6" s="2438"/>
      <c r="H6" s="2438"/>
      <c r="I6" s="2438"/>
      <c r="J6" s="2241"/>
      <c r="K6" s="2397" t="str">
        <f>IF(COUNTIF(B6,"*上海银行*"),"上海银行","")</f>
        <v/>
      </c>
      <c r="L6" s="2395"/>
      <c r="M6" s="2395"/>
      <c r="N6" s="2241"/>
      <c r="O6" s="1668"/>
      <c r="P6" s="2241"/>
      <c r="Q6" s="2241"/>
      <c r="R6" s="2241"/>
    </row>
    <row r="7" spans="1:30">
      <c r="A7" s="2190" t="s">
        <v>2174</v>
      </c>
      <c r="B7" s="2194"/>
      <c r="C7" s="2192"/>
      <c r="D7" s="2193"/>
      <c r="E7" s="2437"/>
      <c r="F7" s="2438"/>
      <c r="G7" s="2438"/>
      <c r="H7" s="2438"/>
      <c r="I7" s="2438"/>
      <c r="J7" s="2241"/>
      <c r="K7" s="2398"/>
      <c r="L7" s="2395"/>
      <c r="M7" s="2395"/>
      <c r="N7" s="2241"/>
      <c r="O7" s="1668"/>
      <c r="P7" s="2241"/>
      <c r="Q7" s="2241"/>
      <c r="R7" s="2241"/>
    </row>
    <row r="8" spans="1:30">
      <c r="A8" s="2195" t="s">
        <v>2175</v>
      </c>
      <c r="B8" s="2196" t="s">
        <v>5692</v>
      </c>
      <c r="C8" s="2197"/>
      <c r="D8" s="3243" t="s">
        <v>2176</v>
      </c>
      <c r="E8" s="2198" t="s">
        <v>5693</v>
      </c>
      <c r="F8" s="2199"/>
      <c r="G8" s="2438"/>
      <c r="H8" s="2438"/>
      <c r="I8" s="2438"/>
      <c r="J8" s="2241"/>
      <c r="K8" s="2396"/>
      <c r="L8" s="2395"/>
      <c r="M8" s="2395"/>
      <c r="N8" s="2241"/>
      <c r="O8" s="1668"/>
      <c r="P8" s="2241"/>
      <c r="Q8" s="2241"/>
      <c r="R8" s="2241"/>
    </row>
    <row r="9" spans="1:30" ht="13.5" thickBot="1">
      <c r="A9" s="2200" t="s">
        <v>2177</v>
      </c>
      <c r="B9" s="2201" t="s">
        <v>5693</v>
      </c>
      <c r="C9" s="2202"/>
      <c r="D9" s="3244"/>
      <c r="E9" s="2201" t="s">
        <v>43</v>
      </c>
      <c r="F9" s="2203"/>
      <c r="G9" s="2439"/>
      <c r="H9" s="2439"/>
      <c r="I9" s="2439"/>
      <c r="J9" s="2241"/>
      <c r="K9" s="2398"/>
      <c r="L9" s="2395"/>
      <c r="M9" s="2395"/>
      <c r="N9" s="2241"/>
      <c r="O9" s="1668"/>
      <c r="P9" s="2241"/>
      <c r="Q9" s="2241"/>
      <c r="R9" s="2241"/>
    </row>
    <row r="10" spans="1:30" ht="13.5" thickTop="1">
      <c r="A10" s="2204" t="s">
        <v>2178</v>
      </c>
      <c r="B10" s="2205" t="s">
        <v>5694</v>
      </c>
      <c r="C10" s="2206"/>
      <c r="D10" s="2189"/>
      <c r="E10" s="2207" t="s">
        <v>2179</v>
      </c>
      <c r="F10" s="2440"/>
      <c r="G10" s="2441"/>
      <c r="H10" s="2442"/>
      <c r="I10" s="2443"/>
      <c r="J10" s="2241"/>
      <c r="K10" s="2398"/>
      <c r="L10" s="2395"/>
      <c r="M10" s="2395"/>
      <c r="N10" s="2241"/>
      <c r="O10" s="1668"/>
      <c r="P10" s="2241"/>
      <c r="Q10" s="2241"/>
      <c r="R10" s="2241"/>
    </row>
    <row r="11" spans="1:30">
      <c r="A11" s="2208" t="s">
        <v>2180</v>
      </c>
      <c r="B11" s="2209" t="s">
        <v>5695</v>
      </c>
      <c r="C11" s="2210"/>
      <c r="D11" s="2211"/>
      <c r="E11" s="2178"/>
      <c r="F11" s="2178"/>
      <c r="G11" s="2178"/>
      <c r="H11" s="2178"/>
      <c r="I11" s="2178"/>
      <c r="J11" s="2798"/>
      <c r="K11" s="2395"/>
      <c r="L11" s="2395"/>
      <c r="M11" s="2395"/>
      <c r="N11" s="2241"/>
      <c r="O11" s="1668"/>
      <c r="P11" s="2241"/>
      <c r="Q11" s="2241"/>
      <c r="R11" s="2241"/>
    </row>
    <row r="12" spans="1:30">
      <c r="A12" s="2212" t="s">
        <v>2181</v>
      </c>
      <c r="B12" s="315" t="s">
        <v>2182</v>
      </c>
      <c r="C12" s="2213" t="s">
        <v>2183</v>
      </c>
      <c r="D12" s="2213" t="s">
        <v>2184</v>
      </c>
      <c r="E12" s="2213" t="s">
        <v>2185</v>
      </c>
      <c r="F12" s="2213" t="s">
        <v>2186</v>
      </c>
      <c r="G12" s="2213" t="s">
        <v>2187</v>
      </c>
      <c r="H12" s="2213" t="s">
        <v>2188</v>
      </c>
      <c r="I12" s="2797" t="s">
        <v>2566</v>
      </c>
      <c r="J12" s="2799"/>
      <c r="K12" s="2395"/>
      <c r="L12" s="2395"/>
      <c r="M12" s="2241"/>
      <c r="N12" s="1668"/>
      <c r="O12" s="2241"/>
      <c r="P12" s="2241"/>
      <c r="Q12" s="2241"/>
      <c r="AD12" s="1616"/>
    </row>
    <row r="13" spans="1:30">
      <c r="A13" s="3118" t="s">
        <v>3322</v>
      </c>
      <c r="B13" s="2214" t="s">
        <v>2189</v>
      </c>
      <c r="C13" s="801">
        <v>70658</v>
      </c>
      <c r="D13" s="801">
        <v>59700</v>
      </c>
      <c r="E13" s="801">
        <v>63353</v>
      </c>
      <c r="F13" s="801">
        <v>63353</v>
      </c>
      <c r="G13" s="801">
        <v>63353</v>
      </c>
      <c r="H13" s="801"/>
      <c r="I13" s="801">
        <v>63353</v>
      </c>
      <c r="J13" s="2799"/>
      <c r="K13" s="2395"/>
      <c r="L13" s="2395"/>
      <c r="M13" s="2241"/>
      <c r="N13" s="1668"/>
      <c r="O13" s="2241"/>
      <c r="P13" s="2241"/>
      <c r="Q13" s="2241"/>
      <c r="AD13" s="1616"/>
    </row>
    <row r="14" spans="1:30">
      <c r="A14" s="1016"/>
      <c r="B14" s="2214" t="s">
        <v>2190</v>
      </c>
      <c r="C14" s="2215">
        <v>70</v>
      </c>
      <c r="D14" s="2215">
        <v>40</v>
      </c>
      <c r="E14" s="2215">
        <v>50</v>
      </c>
      <c r="F14" s="2215">
        <v>50</v>
      </c>
      <c r="G14" s="2215">
        <v>50</v>
      </c>
      <c r="H14" s="2215"/>
      <c r="I14" s="2215">
        <v>50</v>
      </c>
      <c r="J14" s="2800"/>
      <c r="K14" s="2395"/>
      <c r="L14" s="2395"/>
      <c r="M14" s="2241"/>
      <c r="N14" s="1668"/>
      <c r="O14" s="2241"/>
      <c r="P14" s="2241"/>
      <c r="Q14" s="2241"/>
      <c r="AD14" s="1616"/>
    </row>
    <row r="15" spans="1:30">
      <c r="A15" s="312"/>
      <c r="B15" s="2216" t="s">
        <v>2191</v>
      </c>
      <c r="C15" s="2217">
        <f>IF(A13="出让",IF(C13="","",ROUNDDOWN(MIN((C13-$D$3)/365,C14),2)),C14)</f>
        <v>68.09</v>
      </c>
      <c r="D15" s="2217">
        <f>IF(A13="出让",IF(D13="","",ROUNDDOWN(MIN((D13-$D$3)/365,D14),2)),D14)</f>
        <v>38.07</v>
      </c>
      <c r="E15" s="2217">
        <f>IF(A13="出让",IF(E13="","",ROUNDDOWN(MIN((E13-$D$3)/365,E14),2)),E14)</f>
        <v>48.08</v>
      </c>
      <c r="F15" s="2217">
        <f>IF(A13="出让",IF(F13="","",ROUNDDOWN(MIN((F13-$D$3)/365,F14),2)),F14)</f>
        <v>48.08</v>
      </c>
      <c r="G15" s="2217">
        <f>IF(A13="出让",IF(G13="","",ROUNDDOWN(MIN((G13-$D$3)/365,G14),2)),G14)</f>
        <v>48.08</v>
      </c>
      <c r="H15" s="2217" t="str">
        <f>IF(A13="出让",IF(H13="","",ROUNDDOWN(MIN((H13-$D$3)/365,H14),2)),H14)</f>
        <v/>
      </c>
      <c r="I15" s="2217">
        <f>IF(A13="出让",IF(I13="","",ROUNDDOWN(MIN((I13-$D$3)/365,I14),2)),I14)</f>
        <v>48.08</v>
      </c>
      <c r="J15" s="2801"/>
      <c r="K15" s="1668"/>
      <c r="L15" s="1668"/>
      <c r="M15" s="2241"/>
      <c r="N15" s="1668"/>
      <c r="O15" s="2241"/>
      <c r="P15" s="2241"/>
      <c r="Q15" s="2241"/>
      <c r="AD15" s="1616"/>
    </row>
    <row r="16" spans="1:30">
      <c r="A16" s="2207" t="s">
        <v>2192</v>
      </c>
      <c r="B16" s="3250"/>
      <c r="C16" s="3251"/>
      <c r="D16" s="3252"/>
      <c r="E16" s="2218" t="s">
        <v>2193</v>
      </c>
      <c r="F16" s="3253"/>
      <c r="G16" s="3254"/>
      <c r="H16" s="3254"/>
      <c r="I16" s="3255"/>
      <c r="J16" s="2241"/>
      <c r="K16" s="2399"/>
      <c r="L16" s="1668"/>
      <c r="M16" s="1668"/>
      <c r="N16" s="2241"/>
      <c r="O16" s="1668"/>
      <c r="P16" s="2241"/>
      <c r="Q16" s="2241"/>
      <c r="R16" s="2241"/>
    </row>
    <row r="17" spans="1:28">
      <c r="A17" s="305" t="s">
        <v>2194</v>
      </c>
      <c r="B17" s="294" t="s">
        <v>2195</v>
      </c>
      <c r="C17" s="8">
        <f>'数据-汇总表'!E3</f>
        <v>74277.419999999867</v>
      </c>
      <c r="D17" s="1254" t="s">
        <v>2196</v>
      </c>
      <c r="E17" s="3256" t="s">
        <v>2197</v>
      </c>
      <c r="F17" s="3257"/>
      <c r="G17" s="3257"/>
      <c r="H17" s="3257"/>
      <c r="I17" s="3258"/>
      <c r="J17" s="2241"/>
      <c r="K17" s="2400"/>
      <c r="L17" s="1668"/>
      <c r="M17" s="1668"/>
      <c r="N17" s="2241"/>
      <c r="O17" s="1668"/>
      <c r="P17" s="2241"/>
      <c r="Q17" s="2241"/>
      <c r="R17" s="2241"/>
      <c r="S17" s="2241"/>
      <c r="T17" s="2241"/>
      <c r="U17" s="2241"/>
      <c r="V17" s="2241"/>
    </row>
    <row r="18" spans="1:28" ht="24.75" thickBot="1">
      <c r="A18" s="2219" t="s">
        <v>2198</v>
      </c>
      <c r="B18" s="1025" t="s">
        <v>2199</v>
      </c>
      <c r="C18" s="2220">
        <f>'数据-汇总表'!D3</f>
        <v>37485.769999999997</v>
      </c>
      <c r="D18" s="1027" t="s">
        <v>2200</v>
      </c>
      <c r="E18" s="3259" t="s">
        <v>2201</v>
      </c>
      <c r="F18" s="3260"/>
      <c r="G18" s="3260"/>
      <c r="H18" s="3260"/>
      <c r="I18" s="3261"/>
      <c r="J18" s="2241"/>
      <c r="K18" s="2400"/>
      <c r="L18" s="1668"/>
      <c r="M18" s="1668"/>
      <c r="N18" s="2241"/>
      <c r="O18" s="1668"/>
      <c r="P18" s="2241"/>
      <c r="Q18" s="2241"/>
      <c r="R18" s="2241"/>
      <c r="S18" s="2241"/>
      <c r="T18" s="2241"/>
      <c r="U18" s="2241"/>
      <c r="V18" s="2241"/>
    </row>
    <row r="19" spans="1:28" ht="37.5" thickTop="1" thickBot="1">
      <c r="A19" s="319" t="s">
        <v>1055</v>
      </c>
      <c r="B19" s="299" t="s">
        <v>2202</v>
      </c>
      <c r="C19" s="1453"/>
      <c r="D19" s="1454" t="s">
        <v>2203</v>
      </c>
      <c r="E19" s="1455"/>
      <c r="F19" s="1456" t="str">
        <f>IF(AND(C19="是",E19="否"),"是否提供他项权证或相关说明","")</f>
        <v/>
      </c>
      <c r="G19" s="1457"/>
      <c r="H19" s="2438"/>
      <c r="I19" s="2438"/>
      <c r="J19" s="2241"/>
      <c r="K19" s="2398"/>
      <c r="L19" s="2395"/>
      <c r="M19" s="2395"/>
      <c r="N19" s="2241"/>
      <c r="O19" s="1668"/>
      <c r="P19" s="2241"/>
      <c r="Q19" s="2241"/>
      <c r="R19" s="2241"/>
      <c r="S19" s="2241"/>
      <c r="T19" s="2241"/>
      <c r="U19" s="2241"/>
      <c r="V19" s="2241"/>
    </row>
    <row r="20" spans="1:28">
      <c r="A20" s="2413" t="s">
        <v>2204</v>
      </c>
      <c r="B20" s="3246" t="s">
        <v>2205</v>
      </c>
      <c r="C20" s="3247"/>
      <c r="D20" s="3248" t="s">
        <v>2206</v>
      </c>
      <c r="E20" s="3249"/>
      <c r="F20" s="2426" t="s">
        <v>1056</v>
      </c>
      <c r="G20" s="2438"/>
      <c r="H20" s="2438"/>
      <c r="I20" s="2438"/>
      <c r="J20" s="2241"/>
      <c r="K20" s="3245"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6"/>
      <c r="X20" s="1616"/>
      <c r="Y20" s="1616"/>
      <c r="Z20" s="1616"/>
      <c r="AA20" s="1616"/>
      <c r="AB20" s="1616"/>
    </row>
    <row r="21" spans="1:28" ht="24.75" thickBot="1">
      <c r="A21" s="2413"/>
      <c r="B21" s="2414" t="s">
        <v>2208</v>
      </c>
      <c r="C21" s="2292" t="s">
        <v>1057</v>
      </c>
      <c r="D21" s="1458" t="s">
        <v>2209</v>
      </c>
      <c r="E21" s="2415" t="s">
        <v>1057</v>
      </c>
      <c r="F21" s="2427"/>
      <c r="G21" s="2438"/>
      <c r="H21" s="2438"/>
      <c r="I21" s="2438"/>
      <c r="J21" s="2241"/>
      <c r="K21" s="324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6"/>
      <c r="X21" s="1616"/>
      <c r="Y21" s="1616"/>
      <c r="Z21" s="1616"/>
      <c r="AA21" s="1616"/>
      <c r="AB21" s="1616"/>
    </row>
    <row r="22" spans="1:28" ht="24.75" thickBot="1">
      <c r="A22" s="2413"/>
      <c r="B22" s="2416" t="s">
        <v>2210</v>
      </c>
      <c r="C22" s="2292" t="s">
        <v>1058</v>
      </c>
      <c r="D22" s="2438"/>
      <c r="E22" s="2438"/>
      <c r="F22" s="2438"/>
      <c r="G22" s="2438"/>
      <c r="H22" s="2438"/>
      <c r="I22" s="2438"/>
      <c r="J22" s="2241"/>
      <c r="K22" s="324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6"/>
      <c r="X22" s="1616"/>
      <c r="Y22" s="1616"/>
      <c r="Z22" s="1616"/>
      <c r="AA22" s="1616"/>
      <c r="AB22" s="1616"/>
    </row>
    <row r="23" spans="1:28">
      <c r="A23" s="2417" t="s">
        <v>2211</v>
      </c>
      <c r="B23" s="2289" t="s">
        <v>2212</v>
      </c>
      <c r="C23" s="2418"/>
      <c r="D23" s="2419" t="s">
        <v>2212</v>
      </c>
      <c r="E23" s="2420"/>
      <c r="F23" s="2438"/>
      <c r="G23" s="2438"/>
      <c r="H23" s="2438"/>
      <c r="I23" s="2438"/>
      <c r="J23" s="2241"/>
      <c r="K23" s="2397"/>
      <c r="L23" s="121"/>
      <c r="M23" s="2395"/>
      <c r="N23" s="2241"/>
      <c r="O23" s="1668"/>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8"/>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8"/>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8"/>
      <c r="P26" s="2241"/>
      <c r="Q26" s="2241"/>
      <c r="R26" s="2241"/>
      <c r="S26" s="2241"/>
      <c r="T26" s="2241"/>
      <c r="U26" s="2241"/>
      <c r="V26" s="2241"/>
    </row>
    <row r="27" spans="1:28" ht="13.5" thickTop="1">
      <c r="A27" s="3234" t="s">
        <v>2213</v>
      </c>
      <c r="B27" s="312" t="s">
        <v>2214</v>
      </c>
      <c r="C27" s="2221"/>
      <c r="D27" s="2222"/>
      <c r="E27" s="2438"/>
      <c r="F27" s="2438"/>
      <c r="G27" s="2438"/>
      <c r="H27" s="2438"/>
      <c r="I27" s="2438"/>
      <c r="J27" s="2241"/>
      <c r="K27" s="2399"/>
      <c r="L27" s="1668"/>
      <c r="M27" s="1668"/>
      <c r="N27" s="2241"/>
      <c r="O27" s="1668"/>
      <c r="P27" s="2241"/>
      <c r="Q27" s="2241"/>
      <c r="R27" s="2241"/>
      <c r="S27" s="2241"/>
      <c r="T27" s="2241"/>
      <c r="U27" s="2241"/>
      <c r="V27" s="2241"/>
    </row>
    <row r="28" spans="1:28">
      <c r="A28" s="3234"/>
      <c r="B28" s="294" t="s">
        <v>2215</v>
      </c>
      <c r="C28" s="2223"/>
      <c r="D28" s="2224"/>
      <c r="E28" s="2438"/>
      <c r="F28" s="2438"/>
      <c r="G28" s="2438"/>
      <c r="H28" s="2438"/>
      <c r="I28" s="2438"/>
      <c r="J28" s="2241"/>
      <c r="K28" s="2398"/>
      <c r="L28" s="2395"/>
      <c r="M28" s="2395"/>
      <c r="N28" s="2241"/>
      <c r="O28" s="1668"/>
      <c r="P28" s="2241"/>
      <c r="Q28" s="2241"/>
      <c r="R28" s="2241"/>
      <c r="S28" s="2241"/>
      <c r="T28" s="2241"/>
      <c r="U28" s="2241"/>
      <c r="V28" s="2241"/>
    </row>
    <row r="29" spans="1:28">
      <c r="A29" s="3234"/>
      <c r="B29" s="294" t="s">
        <v>2216</v>
      </c>
      <c r="C29" s="2225"/>
      <c r="D29" s="2226"/>
      <c r="E29" s="2438"/>
      <c r="F29" s="2438"/>
      <c r="G29" s="2438"/>
      <c r="H29" s="2438"/>
      <c r="I29" s="2438"/>
      <c r="J29" s="2241"/>
      <c r="K29" s="2398"/>
      <c r="L29" s="2395"/>
      <c r="M29" s="2395"/>
      <c r="N29" s="2241"/>
      <c r="O29" s="1668"/>
      <c r="P29" s="2241"/>
      <c r="Q29" s="2241"/>
      <c r="R29" s="2241"/>
      <c r="S29" s="2241"/>
      <c r="T29" s="2241"/>
      <c r="U29" s="2241"/>
      <c r="V29" s="2241"/>
    </row>
    <row r="30" spans="1:28">
      <c r="A30" s="3235"/>
      <c r="B30" s="294" t="s">
        <v>2217</v>
      </c>
      <c r="C30" s="3236"/>
      <c r="D30" s="3237"/>
      <c r="E30" s="2438"/>
      <c r="F30" s="2438"/>
      <c r="G30" s="2438"/>
      <c r="H30" s="2438"/>
      <c r="I30" s="2438"/>
      <c r="J30" s="2241"/>
      <c r="K30" s="2398"/>
      <c r="L30" s="2395"/>
      <c r="M30" s="2395"/>
      <c r="N30" s="2241"/>
      <c r="O30" s="1668"/>
      <c r="P30" s="2241"/>
      <c r="Q30" s="2241"/>
      <c r="R30" s="2241"/>
      <c r="S30" s="2241"/>
      <c r="T30" s="2241"/>
      <c r="U30" s="2241"/>
      <c r="V30" s="2241"/>
    </row>
    <row r="31" spans="1:28">
      <c r="A31" s="3238" t="s">
        <v>2218</v>
      </c>
      <c r="B31" s="2227"/>
      <c r="C31" s="12" t="str">
        <f>IF(B31="现房","成新及维护状况正常否",IF(B31="在建","工程状态是否正常",IF(B31="土地","是否闲置","-")))</f>
        <v>-</v>
      </c>
      <c r="D31" s="1279"/>
      <c r="E31" s="2228"/>
      <c r="F31" s="2438"/>
      <c r="G31" s="2438"/>
      <c r="H31" s="2438"/>
      <c r="I31" s="2438"/>
      <c r="J31" s="2241"/>
      <c r="K31" s="2397"/>
      <c r="L31" s="2395"/>
      <c r="M31" s="2395"/>
      <c r="N31" s="2241"/>
      <c r="O31" s="1668"/>
      <c r="P31" s="2241"/>
      <c r="Q31" s="2241"/>
      <c r="R31" s="2241"/>
      <c r="S31" s="2241"/>
      <c r="T31" s="2241"/>
      <c r="U31" s="2241"/>
      <c r="V31" s="2241"/>
    </row>
    <row r="32" spans="1:28">
      <c r="A32" s="3239"/>
      <c r="B32" s="2227"/>
      <c r="C32" s="12" t="str">
        <f>IF(B32="现房","成新及维护状况是否正常",IF(B32="在建","工程状态是否正常",IF(B32="土地","是否闲置","-")))</f>
        <v>-</v>
      </c>
      <c r="D32" s="1279"/>
      <c r="E32" s="2228"/>
      <c r="F32" s="2438"/>
      <c r="G32" s="2438"/>
      <c r="H32" s="2438"/>
      <c r="I32" s="2438"/>
      <c r="J32" s="2241"/>
      <c r="K32" s="2398"/>
      <c r="L32" s="2395"/>
      <c r="M32" s="2395"/>
      <c r="N32" s="2241"/>
      <c r="O32" s="1668"/>
      <c r="P32" s="2241"/>
      <c r="Q32" s="2241"/>
      <c r="R32" s="2241"/>
      <c r="S32" s="2241"/>
      <c r="T32" s="2241"/>
      <c r="U32" s="2241"/>
      <c r="V32" s="2241"/>
    </row>
    <row r="33" spans="1:30">
      <c r="A33" s="3239"/>
      <c r="B33" s="2230"/>
      <c r="C33" s="1476" t="str">
        <f>IF(B33="现房","成新及维护状况是否正常",IF(B33="在建","工程状态是否正常",IF(B33="土地","是否闲置","-")))</f>
        <v>-</v>
      </c>
      <c r="D33" s="1272"/>
      <c r="E33" s="2231"/>
      <c r="F33" s="2438"/>
      <c r="G33" s="2438"/>
      <c r="H33" s="2438"/>
      <c r="I33" s="2438"/>
      <c r="J33" s="2241"/>
      <c r="K33" s="2398"/>
      <c r="L33" s="2395"/>
      <c r="M33" s="2395"/>
      <c r="N33" s="2241"/>
      <c r="O33" s="1668"/>
      <c r="P33" s="2241"/>
      <c r="Q33" s="2241"/>
      <c r="R33" s="2241"/>
      <c r="S33" s="2241"/>
      <c r="T33" s="2241"/>
      <c r="U33" s="2241"/>
      <c r="V33" s="2241"/>
    </row>
    <row r="34" spans="1:30">
      <c r="A34" s="294" t="s">
        <v>2219</v>
      </c>
      <c r="B34" s="1866"/>
      <c r="C34" s="1866"/>
      <c r="D34" s="1866"/>
      <c r="E34" s="1866"/>
      <c r="F34" s="1866"/>
      <c r="G34" s="1866"/>
      <c r="H34" s="1866"/>
      <c r="I34" s="2438"/>
      <c r="J34" s="2241"/>
      <c r="K34" s="8">
        <f>COUNTIF(B34:H34,"——")</f>
        <v>0</v>
      </c>
      <c r="L34" s="315" t="s">
        <v>2220</v>
      </c>
      <c r="M34" s="315" t="s">
        <v>2221</v>
      </c>
      <c r="N34" s="315" t="s">
        <v>2222</v>
      </c>
      <c r="O34" s="315" t="s">
        <v>2223</v>
      </c>
      <c r="P34" s="315" t="s">
        <v>2224</v>
      </c>
      <c r="Q34" s="315" t="s">
        <v>2225</v>
      </c>
      <c r="R34" s="315" t="s">
        <v>2226</v>
      </c>
      <c r="S34" s="3233" t="s">
        <v>2227</v>
      </c>
      <c r="T34" s="315" t="str">
        <f>NUMBERSTRING(7-K34,1)&amp;"通"</f>
        <v>七通</v>
      </c>
      <c r="U34" s="2241"/>
      <c r="V34" s="2241"/>
    </row>
    <row r="35" spans="1:30">
      <c r="A35" s="2232"/>
      <c r="B35" s="3233" t="s">
        <v>2228</v>
      </c>
      <c r="C35" s="3233"/>
      <c r="D35" s="3233"/>
      <c r="E35" s="3233"/>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1"/>
      <c r="V35" s="2241"/>
    </row>
    <row r="36" spans="1:30">
      <c r="A36" s="2179"/>
      <c r="B36" s="8" t="s">
        <v>2184</v>
      </c>
      <c r="C36" s="8" t="s">
        <v>2185</v>
      </c>
      <c r="D36" s="8" t="s">
        <v>2183</v>
      </c>
      <c r="E36" s="8" t="s">
        <v>2188</v>
      </c>
      <c r="F36" s="2797" t="s">
        <v>2569</v>
      </c>
      <c r="G36" s="2438"/>
      <c r="H36" s="2438"/>
      <c r="I36" s="2438"/>
      <c r="J36" s="2241"/>
      <c r="K36" s="2398"/>
      <c r="L36" s="2395"/>
      <c r="M36" s="2395"/>
      <c r="N36" s="2241"/>
      <c r="O36" s="1668"/>
      <c r="P36" s="2241"/>
      <c r="Q36" s="2241"/>
      <c r="R36" s="2241"/>
      <c r="S36" s="2241"/>
      <c r="T36" s="2241"/>
      <c r="U36" s="2241"/>
      <c r="V36" s="2241"/>
    </row>
    <row r="37" spans="1:30">
      <c r="A37" s="2411" t="s">
        <v>2229</v>
      </c>
      <c r="B37" s="2233" t="s">
        <v>29</v>
      </c>
      <c r="C37" s="2233" t="s">
        <v>29</v>
      </c>
      <c r="D37" s="2233" t="s">
        <v>29</v>
      </c>
      <c r="E37" s="2233" t="s">
        <v>29</v>
      </c>
      <c r="F37" s="2233" t="s">
        <v>29</v>
      </c>
      <c r="G37" s="2438"/>
      <c r="H37" s="2438"/>
      <c r="I37" s="2438"/>
      <c r="J37" s="2241"/>
      <c r="K37" s="2398"/>
      <c r="L37" s="2395"/>
      <c r="M37" s="2395"/>
      <c r="N37" s="2241"/>
      <c r="O37" s="1668"/>
      <c r="P37" s="2241"/>
      <c r="Q37" s="2241"/>
      <c r="R37" s="2241"/>
      <c r="S37" s="2241"/>
      <c r="T37" s="2241"/>
      <c r="U37" s="2241"/>
      <c r="V37" s="2241"/>
    </row>
    <row r="38" spans="1:30" ht="13.5" thickBot="1">
      <c r="A38" s="2412" t="s">
        <v>2230</v>
      </c>
      <c r="B38" s="2234" t="s">
        <v>166</v>
      </c>
      <c r="C38" s="2234" t="s">
        <v>166</v>
      </c>
      <c r="D38" s="2234" t="s">
        <v>166</v>
      </c>
      <c r="E38" s="2234" t="s">
        <v>166</v>
      </c>
      <c r="F38" s="2234" t="s">
        <v>166</v>
      </c>
      <c r="G38" s="2439"/>
      <c r="H38" s="2439"/>
      <c r="I38" s="2439"/>
      <c r="J38" s="2241"/>
      <c r="K38" s="2398"/>
      <c r="L38" s="2395"/>
      <c r="M38" s="2395"/>
      <c r="N38" s="2241"/>
      <c r="O38" s="1668"/>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4"/>
      <c r="J40" s="2241"/>
      <c r="K40" s="2397"/>
      <c r="L40" s="1668"/>
      <c r="M40" s="1668"/>
      <c r="N40" s="2241"/>
      <c r="O40" s="1668"/>
      <c r="P40" s="2241"/>
      <c r="Q40" s="2241"/>
      <c r="R40" s="2241"/>
      <c r="S40" s="2241"/>
      <c r="T40" s="2241"/>
      <c r="U40" s="2241"/>
      <c r="V40" s="2241"/>
    </row>
    <row r="41" spans="1:30">
      <c r="A41" s="2238" t="s">
        <v>2232</v>
      </c>
      <c r="B41" s="1625"/>
      <c r="C41" s="1279"/>
      <c r="D41" s="2178"/>
      <c r="E41" s="2178"/>
      <c r="F41" s="2178"/>
      <c r="G41" s="2178"/>
      <c r="H41" s="2178"/>
      <c r="I41" s="1464"/>
      <c r="J41" s="2241"/>
      <c r="K41" s="2398"/>
      <c r="L41" s="2395"/>
      <c r="M41" s="2395"/>
      <c r="N41" s="2241"/>
      <c r="O41" s="1668"/>
      <c r="P41" s="2241"/>
      <c r="Q41" s="2241"/>
      <c r="R41" s="2241"/>
      <c r="S41" s="2241"/>
      <c r="T41" s="2241"/>
      <c r="U41" s="2241"/>
      <c r="V41" s="2241"/>
    </row>
    <row r="42" spans="1:30" ht="25.5">
      <c r="A42" s="315" t="s">
        <v>2233</v>
      </c>
      <c r="B42" s="8" t="s">
        <v>2234</v>
      </c>
      <c r="C42" s="8" t="s">
        <v>2235</v>
      </c>
      <c r="D42" s="8" t="s">
        <v>2236</v>
      </c>
      <c r="E42" s="8" t="s">
        <v>2237</v>
      </c>
      <c r="F42" s="8" t="s">
        <v>2238</v>
      </c>
      <c r="G42" s="8" t="s">
        <v>2239</v>
      </c>
      <c r="H42" s="8" t="s">
        <v>2240</v>
      </c>
      <c r="I42" s="8" t="s">
        <v>2241</v>
      </c>
      <c r="J42" s="2407" t="s">
        <v>2242</v>
      </c>
      <c r="K42" s="2408" t="s">
        <v>2243</v>
      </c>
      <c r="L42" s="2408" t="s">
        <v>2244</v>
      </c>
      <c r="M42" s="2408" t="s">
        <v>2245</v>
      </c>
      <c r="N42" s="2401" t="s">
        <v>2246</v>
      </c>
      <c r="O42" s="2401" t="s">
        <v>2247</v>
      </c>
      <c r="P42" s="2401" t="s">
        <v>2248</v>
      </c>
      <c r="Q42" s="2402" t="s">
        <v>2249</v>
      </c>
      <c r="R42" s="2402" t="s">
        <v>2250</v>
      </c>
      <c r="S42" s="2241"/>
      <c r="T42" s="2241"/>
      <c r="U42" s="2241"/>
      <c r="V42" s="2241"/>
    </row>
    <row r="43" spans="1:30" s="1614" customFormat="1">
      <c r="A43" s="1460"/>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4" customFormat="1">
      <c r="A44" s="1460"/>
      <c r="B44" s="1460"/>
      <c r="C44" s="626"/>
      <c r="D44" s="626"/>
      <c r="E44" s="626"/>
      <c r="F44" s="626"/>
      <c r="G44" s="626"/>
      <c r="H44" s="626"/>
      <c r="I44" s="626"/>
      <c r="J44" s="2239"/>
      <c r="K44" s="2240"/>
      <c r="L44" s="2240"/>
      <c r="M44" s="626"/>
      <c r="N44" s="626"/>
      <c r="O44" s="626"/>
      <c r="P44" s="626"/>
      <c r="Q44" s="626"/>
      <c r="R44" s="626"/>
      <c r="S44" s="2241"/>
      <c r="T44" s="2241"/>
      <c r="U44" s="2241"/>
      <c r="V44" s="2241"/>
    </row>
    <row r="45" spans="1:30" s="1614" customFormat="1">
      <c r="A45" s="1460"/>
      <c r="B45" s="1460"/>
      <c r="C45" s="626"/>
      <c r="D45" s="626"/>
      <c r="E45" s="626"/>
      <c r="F45" s="626"/>
      <c r="G45" s="626"/>
      <c r="H45" s="626"/>
      <c r="I45" s="626"/>
      <c r="J45" s="2239"/>
      <c r="K45" s="2240"/>
      <c r="L45" s="2240"/>
      <c r="M45" s="626"/>
      <c r="N45" s="626"/>
      <c r="O45" s="626"/>
      <c r="P45" s="626"/>
      <c r="Q45" s="626"/>
      <c r="R45" s="626"/>
      <c r="S45" s="2241"/>
      <c r="T45" s="2241"/>
      <c r="U45" s="2241"/>
      <c r="V45" s="2241"/>
    </row>
    <row r="46" spans="1:30" s="1614" customFormat="1">
      <c r="A46" s="1460"/>
      <c r="B46" s="1460"/>
      <c r="C46" s="626"/>
      <c r="D46" s="626"/>
      <c r="E46" s="626"/>
      <c r="F46" s="626"/>
      <c r="G46" s="626"/>
      <c r="H46" s="626"/>
      <c r="I46" s="626"/>
      <c r="J46" s="2239"/>
      <c r="K46" s="2240"/>
      <c r="L46" s="2240"/>
      <c r="M46" s="626"/>
      <c r="N46" s="626"/>
      <c r="O46" s="626"/>
      <c r="P46" s="626"/>
      <c r="Q46" s="626"/>
      <c r="R46" s="626"/>
      <c r="S46" s="2241"/>
      <c r="T46" s="2241"/>
      <c r="U46" s="2241"/>
      <c r="V46" s="2241"/>
    </row>
    <row r="47" spans="1:30" s="1614" customFormat="1">
      <c r="A47" s="1460"/>
      <c r="B47" s="1460"/>
      <c r="C47" s="626"/>
      <c r="D47" s="626"/>
      <c r="E47" s="626"/>
      <c r="F47" s="626"/>
      <c r="G47" s="626"/>
      <c r="H47" s="626"/>
      <c r="I47" s="626"/>
      <c r="J47" s="2239"/>
      <c r="K47" s="2240"/>
      <c r="L47" s="2240"/>
      <c r="M47" s="626"/>
      <c r="N47" s="626"/>
      <c r="O47" s="626"/>
      <c r="P47" s="626"/>
      <c r="Q47" s="626"/>
      <c r="R47" s="626"/>
      <c r="S47" s="2241"/>
      <c r="T47" s="2241"/>
      <c r="U47" s="2241"/>
      <c r="V47" s="2241"/>
    </row>
    <row r="48" spans="1:30" s="1614" customFormat="1">
      <c r="A48" s="1460"/>
      <c r="B48" s="1460"/>
      <c r="C48" s="626"/>
      <c r="D48" s="626"/>
      <c r="E48" s="626"/>
      <c r="F48" s="626"/>
      <c r="G48" s="626"/>
      <c r="H48" s="626"/>
      <c r="I48" s="626"/>
      <c r="J48" s="2239"/>
      <c r="K48" s="2240"/>
      <c r="L48" s="2240"/>
      <c r="M48" s="626"/>
      <c r="N48" s="626"/>
      <c r="O48" s="626"/>
      <c r="P48" s="626"/>
      <c r="Q48" s="626"/>
      <c r="R48" s="626"/>
      <c r="S48" s="2241"/>
      <c r="T48" s="2241"/>
      <c r="U48" s="2241"/>
      <c r="V48" s="2241"/>
    </row>
    <row r="49" spans="1:22" s="1614" customFormat="1">
      <c r="A49" s="1460"/>
      <c r="B49" s="1460"/>
      <c r="C49" s="626"/>
      <c r="D49" s="626"/>
      <c r="E49" s="626"/>
      <c r="F49" s="626"/>
      <c r="G49" s="626"/>
      <c r="H49" s="626"/>
      <c r="I49" s="626"/>
      <c r="J49" s="2239"/>
      <c r="K49" s="2240"/>
      <c r="L49" s="2240"/>
      <c r="M49" s="626"/>
      <c r="N49" s="626"/>
      <c r="O49" s="626"/>
      <c r="P49" s="626"/>
      <c r="Q49" s="626"/>
      <c r="R49" s="626"/>
      <c r="S49" s="2241"/>
      <c r="T49" s="2241"/>
      <c r="U49" s="2241"/>
      <c r="V49" s="2241"/>
    </row>
    <row r="50" spans="1:22" s="1614" customFormat="1">
      <c r="A50" s="1460"/>
      <c r="B50" s="1460"/>
      <c r="C50" s="626"/>
      <c r="D50" s="626"/>
      <c r="E50" s="626"/>
      <c r="F50" s="626"/>
      <c r="G50" s="626"/>
      <c r="H50" s="626"/>
      <c r="I50" s="626"/>
      <c r="J50" s="2239"/>
      <c r="K50" s="2240"/>
      <c r="L50" s="2240"/>
      <c r="M50" s="626"/>
      <c r="N50" s="626"/>
      <c r="O50" s="626"/>
      <c r="P50" s="626"/>
      <c r="Q50" s="626"/>
      <c r="R50" s="626"/>
      <c r="S50" s="2241"/>
      <c r="T50" s="2241"/>
      <c r="U50" s="2241"/>
      <c r="V50" s="2241"/>
    </row>
    <row r="51" spans="1:22" s="1614" customFormat="1">
      <c r="A51" s="1460"/>
      <c r="B51" s="1460"/>
      <c r="C51" s="626"/>
      <c r="D51" s="626"/>
      <c r="E51" s="626"/>
      <c r="F51" s="626"/>
      <c r="G51" s="626"/>
      <c r="H51" s="626"/>
      <c r="I51" s="626"/>
      <c r="J51" s="2239"/>
      <c r="K51" s="2240"/>
      <c r="L51" s="2240"/>
      <c r="M51" s="626"/>
      <c r="N51" s="626"/>
      <c r="O51" s="626"/>
      <c r="P51" s="626"/>
      <c r="Q51" s="626"/>
      <c r="R51" s="626"/>
    </row>
    <row r="52" spans="1:22" s="1614" customFormat="1">
      <c r="A52" s="1460"/>
      <c r="B52" s="1460"/>
      <c r="C52" s="1460"/>
      <c r="D52" s="1460"/>
      <c r="E52" s="1460"/>
      <c r="F52" s="626"/>
      <c r="G52" s="1460"/>
      <c r="H52" s="1460"/>
      <c r="I52" s="1460"/>
      <c r="J52" s="2242"/>
      <c r="K52" s="2240"/>
      <c r="L52" s="2240"/>
      <c r="M52" s="2240"/>
      <c r="N52" s="1460"/>
      <c r="O52" s="1460"/>
      <c r="P52" s="1460"/>
      <c r="Q52" s="1460"/>
      <c r="R52" s="1460"/>
    </row>
    <row r="53" spans="1:22" s="1614" customFormat="1">
      <c r="A53" s="1460"/>
      <c r="B53" s="1460"/>
      <c r="C53" s="1460"/>
      <c r="D53" s="1460"/>
      <c r="E53" s="1460"/>
      <c r="F53" s="626"/>
      <c r="G53" s="1460"/>
      <c r="H53" s="1460"/>
      <c r="I53" s="1460"/>
      <c r="J53" s="2242"/>
      <c r="K53" s="2240"/>
      <c r="L53" s="2240"/>
      <c r="M53" s="2240"/>
      <c r="N53" s="1460"/>
      <c r="O53" s="1460"/>
      <c r="P53" s="1460"/>
      <c r="Q53" s="1460"/>
      <c r="R53" s="1460"/>
    </row>
    <row r="54" spans="1:22" s="1614" customFormat="1">
      <c r="A54" s="1460"/>
      <c r="B54" s="1460"/>
      <c r="C54" s="1460"/>
      <c r="D54" s="1460"/>
      <c r="E54" s="1460"/>
      <c r="F54" s="626"/>
      <c r="G54" s="1460"/>
      <c r="H54" s="1460"/>
      <c r="I54" s="1460"/>
      <c r="J54" s="2242"/>
      <c r="K54" s="2240"/>
      <c r="L54" s="2240"/>
      <c r="M54" s="2240"/>
      <c r="N54" s="1460"/>
      <c r="O54" s="1460"/>
      <c r="P54" s="1460"/>
      <c r="Q54" s="1460"/>
      <c r="R54" s="1460"/>
    </row>
    <row r="55" spans="1:22" s="1614" customFormat="1">
      <c r="A55" s="1460"/>
      <c r="B55" s="1460"/>
      <c r="C55" s="1460"/>
      <c r="D55" s="1460"/>
      <c r="E55" s="1460"/>
      <c r="F55" s="626"/>
      <c r="G55" s="1460"/>
      <c r="H55" s="1460"/>
      <c r="I55" s="1460"/>
      <c r="J55" s="2242"/>
      <c r="K55" s="2240"/>
      <c r="L55" s="2240"/>
      <c r="M55" s="2240"/>
      <c r="N55" s="1460"/>
      <c r="O55" s="1460"/>
      <c r="P55" s="1460"/>
      <c r="Q55" s="1460"/>
      <c r="R55" s="1460"/>
    </row>
    <row r="56" spans="1:22" s="1614" customFormat="1">
      <c r="A56" s="1460"/>
      <c r="B56" s="1460"/>
      <c r="C56" s="1460"/>
      <c r="D56" s="1460"/>
      <c r="E56" s="1460"/>
      <c r="F56" s="626"/>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75" defaultRowHeight="14.25"/>
  <cols>
    <col min="1" max="1" width="10.625" style="1461" customWidth="1"/>
    <col min="2" max="2" width="11" style="1461" customWidth="1"/>
    <col min="3" max="3" width="15.625" style="1461" bestFit="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hidden="1" customWidth="1"/>
    <col min="16" max="16" width="9.75" style="1461" hidden="1" customWidth="1"/>
    <col min="17" max="17" width="9.375" style="1461" hidden="1" customWidth="1"/>
    <col min="18" max="18" width="9.25" style="1461" hidden="1" customWidth="1"/>
    <col min="19" max="19" width="10.875" style="1461" hidden="1" customWidth="1"/>
    <col min="20" max="21" width="10.75" style="1461" hidden="1" customWidth="1"/>
    <col min="22" max="22" width="10.875" style="1461" hidden="1" customWidth="1"/>
    <col min="23" max="27" width="10.75" style="1461" hidden="1" customWidth="1"/>
    <col min="28" max="28" width="10.875" style="1461" hidden="1" customWidth="1"/>
    <col min="29" max="29" width="11" style="1461" bestFit="1" customWidth="1"/>
    <col min="30" max="46" width="8.75" style="1461" customWidth="1"/>
    <col min="47" max="47" width="18.125" style="1461" customWidth="1"/>
    <col min="48" max="49" width="9.75" style="1461" customWidth="1"/>
    <col min="50" max="50" width="15.125" style="1461" bestFit="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v>73887.39</v>
      </c>
      <c r="B3" s="11">
        <f>IF(C3="否",G5-AT5,G5)</f>
        <v>146406.6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146406.6</v>
      </c>
      <c r="H5" s="13">
        <f t="shared" ref="H5:AT5" si="0">SUM(H13:H656)</f>
        <v>144042.74000000002</v>
      </c>
      <c r="I5" s="13">
        <f t="shared" si="0"/>
        <v>93719.290000000023</v>
      </c>
      <c r="J5" s="13">
        <f t="shared" si="0"/>
        <v>52837.940000000039</v>
      </c>
      <c r="K5" s="13">
        <f t="shared" si="0"/>
        <v>23741.789999999994</v>
      </c>
      <c r="L5" s="13">
        <f t="shared" si="0"/>
        <v>7195.4799999999959</v>
      </c>
      <c r="M5" s="13">
        <f t="shared" si="0"/>
        <v>26581.66</v>
      </c>
      <c r="N5" s="13">
        <f t="shared" si="0"/>
        <v>9731.900000000107</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2363.86</v>
      </c>
      <c r="AD5" s="13">
        <f t="shared" si="0"/>
        <v>323.27999999999997</v>
      </c>
      <c r="AE5" s="13">
        <f t="shared" si="0"/>
        <v>0</v>
      </c>
      <c r="AF5" s="13">
        <f t="shared" si="0"/>
        <v>1136</v>
      </c>
      <c r="AG5" s="13">
        <f t="shared" si="0"/>
        <v>0</v>
      </c>
      <c r="AH5" s="13">
        <f t="shared" si="0"/>
        <v>100</v>
      </c>
      <c r="AI5" s="13">
        <f t="shared" si="0"/>
        <v>0</v>
      </c>
      <c r="AJ5" s="13">
        <f t="shared" si="0"/>
        <v>185</v>
      </c>
      <c r="AK5" s="13">
        <f t="shared" si="0"/>
        <v>0</v>
      </c>
      <c r="AL5" s="13">
        <f t="shared" si="0"/>
        <v>0</v>
      </c>
      <c r="AM5" s="13">
        <f t="shared" si="0"/>
        <v>0</v>
      </c>
      <c r="AN5" s="13">
        <f t="shared" si="0"/>
        <v>619.58000000000004</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74277.419999999867</v>
      </c>
      <c r="BA5" s="15">
        <f t="shared" si="1"/>
        <v>74277.419999999867</v>
      </c>
      <c r="BB5" s="15">
        <f t="shared" si="1"/>
        <v>40881.349999999984</v>
      </c>
      <c r="BC5" s="15">
        <f t="shared" si="1"/>
        <v>16546.309999999998</v>
      </c>
      <c r="BD5" s="15">
        <f t="shared" si="1"/>
        <v>16849.759999999893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73887.39</v>
      </c>
      <c r="F6" s="13" t="s">
        <v>0</v>
      </c>
      <c r="G6" s="13" t="s">
        <v>1</v>
      </c>
      <c r="H6" s="17">
        <f>SUMIF(I$12:AB$12,"总值",I6:AB6)</f>
        <v>72694.41</v>
      </c>
      <c r="I6" s="13">
        <f t="shared" ref="I6:AB6" si="2">ROUND($A$3*I5/$B$3,2)</f>
        <v>47297.55</v>
      </c>
      <c r="J6" s="13">
        <f t="shared" si="2"/>
        <v>26665.86</v>
      </c>
      <c r="K6" s="13">
        <f t="shared" si="2"/>
        <v>11981.83</v>
      </c>
      <c r="L6" s="13">
        <f t="shared" si="2"/>
        <v>3631.36</v>
      </c>
      <c r="M6" s="13">
        <f t="shared" si="2"/>
        <v>13415.03</v>
      </c>
      <c r="N6" s="13">
        <f t="shared" si="2"/>
        <v>4911.42</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1192.98</v>
      </c>
      <c r="AD6" s="13">
        <f t="shared" ref="AD6:AS6" si="3">ROUND($A$3*AD5/$B$3,2)</f>
        <v>163.15</v>
      </c>
      <c r="AE6" s="13">
        <f t="shared" si="3"/>
        <v>0</v>
      </c>
      <c r="AF6" s="13">
        <f t="shared" si="3"/>
        <v>573.30999999999995</v>
      </c>
      <c r="AG6" s="13">
        <f t="shared" si="3"/>
        <v>0</v>
      </c>
      <c r="AH6" s="13">
        <f t="shared" si="3"/>
        <v>50.47</v>
      </c>
      <c r="AI6" s="13">
        <f t="shared" si="3"/>
        <v>0</v>
      </c>
      <c r="AJ6" s="13">
        <f t="shared" si="3"/>
        <v>93.36</v>
      </c>
      <c r="AK6" s="13">
        <f t="shared" si="3"/>
        <v>0</v>
      </c>
      <c r="AL6" s="13">
        <f t="shared" si="3"/>
        <v>0</v>
      </c>
      <c r="AM6" s="13">
        <f t="shared" si="3"/>
        <v>0</v>
      </c>
      <c r="AN6" s="13">
        <f t="shared" si="3"/>
        <v>312.69</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37485.769999999997</v>
      </c>
      <c r="AZ6" s="13" t="s">
        <v>2</v>
      </c>
      <c r="BA6" s="13">
        <f>ROUND($AY$6*BA5/$AZ$5,2)</f>
        <v>37485.769999999997</v>
      </c>
      <c r="BB6" s="13">
        <f>ROUND($AY$6*BB5/$AZ$5,2)</f>
        <v>20631.689999999999</v>
      </c>
      <c r="BC6" s="13">
        <f t="shared" ref="BC6:BH6" si="4">ROUND($AY$6*BC5/$AZ$5,2)</f>
        <v>8350.4699999999993</v>
      </c>
      <c r="BD6" s="13">
        <f t="shared" si="4"/>
        <v>8503.61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5703</v>
      </c>
      <c r="J9" s="759"/>
      <c r="K9" s="1489" t="s">
        <v>5704</v>
      </c>
      <c r="L9" s="759"/>
      <c r="M9" s="1489" t="s">
        <v>5704</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3395</v>
      </c>
      <c r="J10" s="759"/>
      <c r="K10" s="1495" t="s">
        <v>3324</v>
      </c>
      <c r="L10" s="759"/>
      <c r="M10" s="1495" t="s">
        <v>3323</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t="s">
        <v>3395</v>
      </c>
      <c r="D13" s="1511" t="s">
        <v>5696</v>
      </c>
      <c r="E13" s="13">
        <f>IF($C$3="是",ROUND($A$3*G13/$B$3,2),ROUND($A$3*(G13-AT13)/$B$3,2))</f>
        <v>47297.55</v>
      </c>
      <c r="F13" s="29"/>
      <c r="G13" s="30">
        <f>H13+AC13+AT13</f>
        <v>93719.290000000023</v>
      </c>
      <c r="H13" s="17">
        <f>SUMIF(I$12:AB$12,"总值",I13:AB13)</f>
        <v>93719.290000000023</v>
      </c>
      <c r="I13" s="1512">
        <f>面积!C27</f>
        <v>93719.290000000023</v>
      </c>
      <c r="J13" s="1512">
        <f>面积!C29</f>
        <v>52837.940000000039</v>
      </c>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t="str">
        <f t="shared" si="6"/>
        <v>住宅</v>
      </c>
      <c r="AY13" s="1258">
        <f>ROUND($AY$6*AZ13/$AZ$5,2)</f>
        <v>20631.689999999999</v>
      </c>
      <c r="AZ13" s="13">
        <f>BA13+BL13</f>
        <v>40881.349999999984</v>
      </c>
      <c r="BA13" s="13">
        <f>SUM(BB13:BK13)</f>
        <v>40881.349999999984</v>
      </c>
      <c r="BB13" s="13">
        <f>IF($D13="是",I13-J13,0)</f>
        <v>40881.349999999984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626" t="s">
        <v>5697</v>
      </c>
      <c r="D14" s="1511" t="s">
        <v>5696</v>
      </c>
      <c r="E14" s="13">
        <f>IF($C$3="是",ROUND($A$3*G14/$B$3,2),ROUND($A$3*(G14-AT14)/$B$3,2))</f>
        <v>11981.83</v>
      </c>
      <c r="F14" s="29"/>
      <c r="G14" s="30">
        <f>H14+AC14+AT14</f>
        <v>23741.789999999994</v>
      </c>
      <c r="H14" s="17">
        <f>SUMIF(I$12:AB$12,"总值",I14:AB14)</f>
        <v>23741.789999999994</v>
      </c>
      <c r="I14" s="1512"/>
      <c r="J14" s="1512"/>
      <c r="K14" s="1512">
        <f>面积!D27</f>
        <v>23741.789999999994</v>
      </c>
      <c r="L14" s="1512">
        <f>面积!D29</f>
        <v>7195.4799999999959</v>
      </c>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987"/>
      <c r="AU14" s="1513"/>
      <c r="AV14" s="8">
        <f t="shared" si="6"/>
        <v>0</v>
      </c>
      <c r="AW14" s="8">
        <f t="shared" si="6"/>
        <v>0</v>
      </c>
      <c r="AX14" s="8" t="str">
        <f t="shared" si="6"/>
        <v>地下仓储</v>
      </c>
      <c r="AY14" s="1258">
        <f>ROUND($AY$6*AZ14/$AZ$5,2)</f>
        <v>8350.4699999999993</v>
      </c>
      <c r="AZ14" s="13">
        <f>BA14+BL14</f>
        <v>16546.309999999998</v>
      </c>
      <c r="BA14" s="13">
        <f>SUM(BB14:BK14)</f>
        <v>16546.309999999998</v>
      </c>
      <c r="BB14" s="13">
        <f>IF($D14="是",I14-J14,0)</f>
        <v>0</v>
      </c>
      <c r="BC14" s="13">
        <f>IF($D14="是",K14-L14,0)</f>
        <v>16546.309999999998</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626" t="s">
        <v>5698</v>
      </c>
      <c r="D15" s="1511" t="s">
        <v>5696</v>
      </c>
      <c r="E15" s="13">
        <f>IF($C$3="是",ROUND($A$3*G15/$B$3,2),ROUND($A$3*(G15-AT15)/$B$3,2))</f>
        <v>13415.03</v>
      </c>
      <c r="F15" s="29"/>
      <c r="G15" s="30">
        <f>H15+AC15+AT15</f>
        <v>26581.66</v>
      </c>
      <c r="H15" s="17">
        <f>SUMIF(I$12:AB$12,"总值",I15:AB15)</f>
        <v>26581.66</v>
      </c>
      <c r="I15" s="1512"/>
      <c r="J15" s="1512"/>
      <c r="K15" s="1512"/>
      <c r="L15" s="1512"/>
      <c r="M15" s="1512">
        <f>面积!E27</f>
        <v>26581.66</v>
      </c>
      <c r="N15" s="1512">
        <f>面积!E29</f>
        <v>9731.900000000107</v>
      </c>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987"/>
      <c r="AU15" s="1513"/>
      <c r="AV15" s="8">
        <f t="shared" si="6"/>
        <v>0</v>
      </c>
      <c r="AW15" s="8">
        <f t="shared" si="6"/>
        <v>0</v>
      </c>
      <c r="AX15" s="8" t="str">
        <f t="shared" si="6"/>
        <v>地下车库</v>
      </c>
      <c r="AY15" s="1258">
        <f>ROUND($AY$6*AZ15/$AZ$5,2)</f>
        <v>8503.61</v>
      </c>
      <c r="AZ15" s="13">
        <f>BA15+BL15</f>
        <v>16849.759999999893</v>
      </c>
      <c r="BA15" s="13">
        <f>SUM(BB15:BK15)</f>
        <v>16849.759999999893</v>
      </c>
      <c r="BB15" s="13">
        <f>IF($D15="是",I15-J15,0)</f>
        <v>0</v>
      </c>
      <c r="BC15" s="13">
        <f>IF($D15="是",K15-L15,0)</f>
        <v>0</v>
      </c>
      <c r="BD15" s="13">
        <f>IF($D15="是",M15-N15,0)</f>
        <v>16849.759999999893</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626" t="s">
        <v>5699</v>
      </c>
      <c r="D16" s="1511" t="s">
        <v>5700</v>
      </c>
      <c r="E16" s="13">
        <f>IF($C$3="是",ROUND($A$3*G16/$B$3,2),ROUND($A$3*(G16-AT16)/$B$3,2))</f>
        <v>225.88</v>
      </c>
      <c r="F16" s="29"/>
      <c r="G16" s="30">
        <f>H16+AC16+AT16</f>
        <v>447.58000000000004</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447.58000000000004</v>
      </c>
      <c r="AD16" s="987">
        <f>面积!M2</f>
        <v>180</v>
      </c>
      <c r="AE16" s="987"/>
      <c r="AF16" s="987"/>
      <c r="AG16" s="987"/>
      <c r="AH16" s="987"/>
      <c r="AI16" s="987"/>
      <c r="AJ16" s="987"/>
      <c r="AK16" s="987"/>
      <c r="AL16" s="987"/>
      <c r="AM16" s="987"/>
      <c r="AN16" s="987">
        <f>面积!G26</f>
        <v>267.58000000000004</v>
      </c>
      <c r="AO16" s="987"/>
      <c r="AP16" s="987"/>
      <c r="AQ16" s="987"/>
      <c r="AR16" s="987"/>
      <c r="AS16" s="987"/>
      <c r="AT16" s="987"/>
      <c r="AU16" s="1513"/>
      <c r="AV16" s="8">
        <f t="shared" si="6"/>
        <v>0</v>
      </c>
      <c r="AW16" s="8">
        <f t="shared" si="6"/>
        <v>0</v>
      </c>
      <c r="AX16" s="8" t="str">
        <f t="shared" si="6"/>
        <v>8#配电室</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626" t="s">
        <v>5701</v>
      </c>
      <c r="D17" s="1511" t="s">
        <v>5700</v>
      </c>
      <c r="E17" s="13">
        <f>IF($C$3="是",ROUND($A$3*G17/$B$3,2),ROUND($A$3*(G17-AT17)/$B$3,2))</f>
        <v>50.47</v>
      </c>
      <c r="F17" s="29"/>
      <c r="G17" s="30">
        <f>H17+AC17+AT17</f>
        <v>100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100</v>
      </c>
      <c r="AD17" s="987"/>
      <c r="AE17" s="987"/>
      <c r="AF17" s="987"/>
      <c r="AG17" s="987"/>
      <c r="AH17" s="987">
        <f>面积!L3</f>
        <v>100</v>
      </c>
      <c r="AI17" s="987"/>
      <c r="AJ17" s="987"/>
      <c r="AK17" s="987"/>
      <c r="AL17" s="987"/>
      <c r="AM17" s="987"/>
      <c r="AN17" s="987"/>
      <c r="AO17" s="987"/>
      <c r="AP17" s="987"/>
      <c r="AQ17" s="987"/>
      <c r="AR17" s="987"/>
      <c r="AS17" s="987"/>
      <c r="AT17" s="987"/>
      <c r="AU17" s="1513"/>
      <c r="AV17" s="8">
        <f t="shared" si="6"/>
        <v>0</v>
      </c>
      <c r="AW17" s="8">
        <f t="shared" si="6"/>
        <v>0</v>
      </c>
      <c r="AX17" s="8" t="str">
        <f t="shared" si="6"/>
        <v>18#居住公共配套</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t="s">
        <v>5702</v>
      </c>
      <c r="D18" s="1514" t="s">
        <v>5700</v>
      </c>
      <c r="E18" s="32">
        <f t="shared" ref="E18:E112" si="7">IF($C$3="是",ROUND($A$3*G18/$B$3,2),ROUND($A$3*(G18-AT18)/$B$3,2))</f>
        <v>844.32</v>
      </c>
      <c r="F18" s="33"/>
      <c r="G18" s="34">
        <f t="shared" ref="G18:G109" si="8">H18+AC18+AT18</f>
        <v>1673</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1673</v>
      </c>
      <c r="AD18" s="987"/>
      <c r="AE18" s="987"/>
      <c r="AF18" s="987">
        <f>面积!O4+面积!Q4+面积!R4+面积!S4+面积!T4</f>
        <v>1136</v>
      </c>
      <c r="AG18" s="987"/>
      <c r="AH18" s="987"/>
      <c r="AI18" s="987"/>
      <c r="AJ18" s="987">
        <f>面积!P4</f>
        <v>185</v>
      </c>
      <c r="AK18" s="987"/>
      <c r="AL18" s="987"/>
      <c r="AM18" s="987"/>
      <c r="AN18" s="987">
        <f>面积!U4</f>
        <v>352</v>
      </c>
      <c r="AO18" s="987"/>
      <c r="AP18" s="987"/>
      <c r="AQ18" s="987"/>
      <c r="AR18" s="987"/>
      <c r="AS18" s="987"/>
      <c r="AT18" s="987"/>
      <c r="AU18" s="1515"/>
      <c r="AV18" s="528">
        <f t="shared" ref="AV18:AV112" si="11">A18</f>
        <v>0</v>
      </c>
      <c r="AW18" s="528">
        <f t="shared" ref="AW18:AW112" si="12">B18</f>
        <v>0</v>
      </c>
      <c r="AX18" s="528" t="str">
        <f t="shared" ref="AX18:AX112" si="13">C18</f>
        <v>23#配电室</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t="s">
        <v>5846</v>
      </c>
      <c r="D19" s="1514" t="s">
        <v>5700</v>
      </c>
      <c r="E19" s="32">
        <f t="shared" si="7"/>
        <v>72.31</v>
      </c>
      <c r="F19" s="33"/>
      <c r="G19" s="34">
        <f t="shared" si="8"/>
        <v>143.28</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143.28</v>
      </c>
      <c r="AD19" s="987">
        <f>面积!K5</f>
        <v>143.28</v>
      </c>
      <c r="AE19" s="987"/>
      <c r="AF19" s="987"/>
      <c r="AG19" s="987"/>
      <c r="AH19" s="987"/>
      <c r="AI19" s="987"/>
      <c r="AJ19" s="987"/>
      <c r="AK19" s="987"/>
      <c r="AL19" s="987"/>
      <c r="AM19" s="987"/>
      <c r="AN19" s="987"/>
      <c r="AO19" s="987"/>
      <c r="AP19" s="987"/>
      <c r="AQ19" s="987"/>
      <c r="AR19" s="987"/>
      <c r="AS19" s="987"/>
      <c r="AT19" s="987"/>
      <c r="AU19" s="1515"/>
      <c r="AV19" s="528">
        <f t="shared" si="11"/>
        <v>0</v>
      </c>
      <c r="AW19" s="528">
        <f t="shared" si="12"/>
        <v>0</v>
      </c>
      <c r="AX19" s="528" t="str">
        <f t="shared" si="13"/>
        <v>关帝庙</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7"/>
      <c r="AE20" s="987"/>
      <c r="AF20" s="987"/>
      <c r="AG20" s="987"/>
      <c r="AH20" s="987"/>
      <c r="AI20" s="987"/>
      <c r="AJ20" s="987"/>
      <c r="AK20" s="987"/>
      <c r="AL20" s="987"/>
      <c r="AM20" s="987"/>
      <c r="AN20" s="987"/>
      <c r="AO20" s="987"/>
      <c r="AP20" s="987"/>
      <c r="AQ20" s="987"/>
      <c r="AR20" s="987"/>
      <c r="AS20" s="987"/>
      <c r="AT20" s="987"/>
      <c r="AU20" s="1515"/>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workbookViewId="0">
      <selection activeCell="L2" activeCellId="1" sqref="G26 L2:U4"/>
    </sheetView>
  </sheetViews>
  <sheetFormatPr defaultRowHeight="13.5"/>
  <cols>
    <col min="1" max="1" width="9" style="3159"/>
    <col min="2" max="2" width="10.5" style="3159" bestFit="1" customWidth="1"/>
    <col min="3" max="3" width="10.625" style="3159" customWidth="1"/>
    <col min="4" max="4" width="10.25" style="3159" customWidth="1"/>
    <col min="5" max="5" width="9.5" style="3159" bestFit="1" customWidth="1"/>
    <col min="6" max="16384" width="9" style="3159"/>
  </cols>
  <sheetData>
    <row r="1" spans="1:21">
      <c r="A1" s="3190" t="s">
        <v>3401</v>
      </c>
      <c r="B1" s="3190" t="s">
        <v>3402</v>
      </c>
      <c r="C1" s="3190" t="s">
        <v>2542</v>
      </c>
      <c r="D1" s="3190" t="s">
        <v>3403</v>
      </c>
      <c r="E1" s="3190" t="s">
        <v>3404</v>
      </c>
      <c r="F1" s="3190"/>
      <c r="G1" s="3190" t="s">
        <v>5841</v>
      </c>
      <c r="J1" s="3159" t="s">
        <v>5849</v>
      </c>
      <c r="K1" s="3159" t="s">
        <v>5845</v>
      </c>
      <c r="L1" s="3159" t="s">
        <v>5848</v>
      </c>
      <c r="M1" s="3159" t="s">
        <v>5847</v>
      </c>
      <c r="N1" s="3159" t="s">
        <v>5850</v>
      </c>
      <c r="O1" s="3159" t="s">
        <v>5851</v>
      </c>
      <c r="P1" s="3159" t="s">
        <v>5848</v>
      </c>
      <c r="Q1" s="3159" t="s">
        <v>5852</v>
      </c>
      <c r="R1" s="3159" t="s">
        <v>5853</v>
      </c>
      <c r="S1" s="3159" t="s">
        <v>5854</v>
      </c>
      <c r="T1" s="3159" t="s">
        <v>5855</v>
      </c>
      <c r="U1" s="3159" t="s">
        <v>5840</v>
      </c>
    </row>
    <row r="2" spans="1:21">
      <c r="A2" s="3190" t="s">
        <v>3405</v>
      </c>
      <c r="B2" s="3190">
        <f>C2+D2+E2</f>
        <v>3696.5</v>
      </c>
      <c r="C2" s="3190">
        <v>2937.98</v>
      </c>
      <c r="D2" s="3190">
        <v>758.52</v>
      </c>
      <c r="E2" s="3190"/>
      <c r="F2" s="3190"/>
      <c r="G2" s="3190"/>
      <c r="I2" s="3159" t="s">
        <v>5842</v>
      </c>
      <c r="M2" s="3159">
        <v>180</v>
      </c>
    </row>
    <row r="3" spans="1:21">
      <c r="A3" s="3190" t="s">
        <v>3406</v>
      </c>
      <c r="B3" s="3190">
        <f t="shared" ref="B3:B25" si="0">C3+D3+E3</f>
        <v>5511.78</v>
      </c>
      <c r="C3" s="3190">
        <v>4393.91</v>
      </c>
      <c r="D3" s="3190">
        <v>1117.8699999999999</v>
      </c>
      <c r="E3" s="3190"/>
      <c r="F3" s="3190"/>
      <c r="G3" s="3190"/>
      <c r="I3" s="3159" t="s">
        <v>5843</v>
      </c>
      <c r="L3" s="3159">
        <v>100</v>
      </c>
    </row>
    <row r="4" spans="1:21">
      <c r="A4" s="3190" t="s">
        <v>3407</v>
      </c>
      <c r="B4" s="3190">
        <f t="shared" si="0"/>
        <v>5529.66</v>
      </c>
      <c r="C4" s="3190">
        <v>4413.4399999999996</v>
      </c>
      <c r="D4" s="3190">
        <v>1116.22</v>
      </c>
      <c r="E4" s="3190"/>
      <c r="F4" s="3190"/>
      <c r="G4" s="3190"/>
      <c r="I4" s="3159" t="s">
        <v>5844</v>
      </c>
      <c r="O4" s="3159">
        <v>11</v>
      </c>
      <c r="P4" s="3159">
        <v>185</v>
      </c>
      <c r="Q4" s="3159">
        <v>103</v>
      </c>
      <c r="R4" s="3159">
        <v>102</v>
      </c>
      <c r="S4" s="3159">
        <v>164</v>
      </c>
      <c r="T4" s="3159">
        <v>756</v>
      </c>
      <c r="U4" s="3159">
        <v>352</v>
      </c>
    </row>
    <row r="5" spans="1:21">
      <c r="A5" s="3190" t="s">
        <v>3408</v>
      </c>
      <c r="B5" s="3190">
        <f t="shared" si="0"/>
        <v>3694.99</v>
      </c>
      <c r="C5" s="3190">
        <v>2950.94</v>
      </c>
      <c r="D5" s="3190">
        <v>744.05</v>
      </c>
      <c r="E5" s="3190"/>
      <c r="F5" s="3190"/>
      <c r="G5" s="3190"/>
      <c r="I5" s="3159" t="s">
        <v>5845</v>
      </c>
      <c r="K5" s="3159">
        <v>143.28</v>
      </c>
    </row>
    <row r="6" spans="1:21">
      <c r="A6" s="3190" t="s">
        <v>3409</v>
      </c>
      <c r="B6" s="3190">
        <f t="shared" si="0"/>
        <v>1892.26</v>
      </c>
      <c r="C6" s="3190">
        <v>1462.73</v>
      </c>
      <c r="D6" s="3190">
        <v>429.53</v>
      </c>
      <c r="E6" s="3190"/>
      <c r="F6" s="3190"/>
      <c r="G6" s="3190"/>
    </row>
    <row r="7" spans="1:21">
      <c r="A7" s="3190" t="s">
        <v>3410</v>
      </c>
      <c r="B7" s="3190">
        <f t="shared" si="0"/>
        <v>1921.6299999999999</v>
      </c>
      <c r="C7" s="3190">
        <v>1523.06</v>
      </c>
      <c r="D7" s="3190">
        <v>398.57</v>
      </c>
      <c r="E7" s="3190"/>
      <c r="F7" s="3190"/>
      <c r="G7" s="3190"/>
    </row>
    <row r="8" spans="1:21">
      <c r="A8" s="3190" t="s">
        <v>3411</v>
      </c>
      <c r="B8" s="3190">
        <f t="shared" si="0"/>
        <v>5521.9699999999993</v>
      </c>
      <c r="C8" s="3190">
        <v>4411.7</v>
      </c>
      <c r="D8" s="3190">
        <v>1110.27</v>
      </c>
      <c r="E8" s="3190"/>
      <c r="F8" s="3190"/>
      <c r="G8" s="3190"/>
    </row>
    <row r="9" spans="1:21">
      <c r="A9" s="3190" t="s">
        <v>3412</v>
      </c>
      <c r="B9" s="3190">
        <f t="shared" si="0"/>
        <v>3687.22</v>
      </c>
      <c r="C9" s="3190">
        <v>2940.24</v>
      </c>
      <c r="D9" s="3190">
        <v>746.98</v>
      </c>
      <c r="E9" s="3190"/>
      <c r="F9" s="3190"/>
      <c r="G9" s="3190"/>
    </row>
    <row r="10" spans="1:21">
      <c r="A10" s="3190" t="s">
        <v>3413</v>
      </c>
      <c r="B10" s="3190">
        <f t="shared" si="0"/>
        <v>3686.52</v>
      </c>
      <c r="C10" s="3190">
        <v>2939.91</v>
      </c>
      <c r="D10" s="3190">
        <v>746.61</v>
      </c>
      <c r="E10" s="3190"/>
      <c r="F10" s="3190"/>
      <c r="G10" s="3190"/>
    </row>
    <row r="11" spans="1:21">
      <c r="A11" s="3190" t="s">
        <v>3414</v>
      </c>
      <c r="B11" s="3190">
        <f t="shared" si="0"/>
        <v>5524.17</v>
      </c>
      <c r="C11" s="3190">
        <v>4412.8999999999996</v>
      </c>
      <c r="D11" s="3190">
        <v>1111.27</v>
      </c>
      <c r="E11" s="3190"/>
      <c r="F11" s="3190"/>
      <c r="G11" s="3190"/>
    </row>
    <row r="12" spans="1:21">
      <c r="A12" s="3190" t="s">
        <v>3415</v>
      </c>
      <c r="B12" s="3190">
        <f t="shared" si="0"/>
        <v>6576.5199999999995</v>
      </c>
      <c r="C12" s="3190">
        <v>5299.94</v>
      </c>
      <c r="D12" s="3190">
        <v>1276.58</v>
      </c>
      <c r="E12" s="3190"/>
      <c r="F12" s="3190"/>
      <c r="G12" s="3190"/>
    </row>
    <row r="13" spans="1:21">
      <c r="A13" s="3190" t="s">
        <v>3416</v>
      </c>
      <c r="B13" s="3190">
        <f t="shared" si="0"/>
        <v>5375.51</v>
      </c>
      <c r="C13" s="3190">
        <v>4359.18</v>
      </c>
      <c r="D13" s="3190">
        <v>1016.33</v>
      </c>
      <c r="E13" s="3190"/>
      <c r="F13" s="3190"/>
      <c r="G13" s="3190"/>
    </row>
    <row r="14" spans="1:21">
      <c r="A14" s="3190" t="s">
        <v>3417</v>
      </c>
      <c r="B14" s="3190">
        <f t="shared" si="0"/>
        <v>2324.69</v>
      </c>
      <c r="C14" s="3190">
        <v>1824.32</v>
      </c>
      <c r="D14" s="3190">
        <v>500.37</v>
      </c>
      <c r="E14" s="3190"/>
      <c r="F14" s="3190"/>
      <c r="G14" s="3190"/>
    </row>
    <row r="15" spans="1:21">
      <c r="A15" s="3190" t="s">
        <v>3418</v>
      </c>
      <c r="B15" s="3190">
        <f t="shared" si="0"/>
        <v>2697.7000000000003</v>
      </c>
      <c r="C15" s="3190">
        <v>2182.8000000000002</v>
      </c>
      <c r="D15" s="3190">
        <v>514.9</v>
      </c>
      <c r="E15" s="3190"/>
      <c r="F15" s="3190"/>
      <c r="G15" s="3190"/>
    </row>
    <row r="16" spans="1:21">
      <c r="A16" s="3190" t="s">
        <v>3419</v>
      </c>
      <c r="B16" s="3190">
        <f t="shared" si="0"/>
        <v>5365.45</v>
      </c>
      <c r="C16" s="3190">
        <v>4357.32</v>
      </c>
      <c r="D16" s="3190">
        <v>1008.13</v>
      </c>
      <c r="E16" s="3190"/>
      <c r="F16" s="3190"/>
      <c r="G16" s="3190"/>
    </row>
    <row r="17" spans="1:7">
      <c r="A17" s="3190" t="s">
        <v>3420</v>
      </c>
      <c r="B17" s="3190">
        <f t="shared" si="0"/>
        <v>5651.8600000000006</v>
      </c>
      <c r="C17" s="3190">
        <v>4442.43</v>
      </c>
      <c r="D17" s="3190">
        <v>1209.43</v>
      </c>
      <c r="E17" s="3190"/>
      <c r="F17" s="3190"/>
      <c r="G17" s="3190"/>
    </row>
    <row r="18" spans="1:7">
      <c r="A18" s="3190" t="s">
        <v>3421</v>
      </c>
      <c r="B18" s="3190">
        <f t="shared" si="0"/>
        <v>5376.03</v>
      </c>
      <c r="C18" s="3190">
        <v>4357.8999999999996</v>
      </c>
      <c r="D18" s="3190">
        <v>1018.13</v>
      </c>
      <c r="E18" s="3190"/>
      <c r="F18" s="3190"/>
      <c r="G18" s="3190"/>
    </row>
    <row r="19" spans="1:7">
      <c r="A19" s="3190" t="s">
        <v>3422</v>
      </c>
      <c r="B19" s="3190">
        <f t="shared" si="0"/>
        <v>4443.25</v>
      </c>
      <c r="C19" s="3190">
        <v>3576.76</v>
      </c>
      <c r="D19" s="3190">
        <v>866.49</v>
      </c>
      <c r="E19" s="3190"/>
      <c r="F19" s="3190"/>
      <c r="G19" s="3190"/>
    </row>
    <row r="20" spans="1:7">
      <c r="A20" s="3190" t="s">
        <v>3423</v>
      </c>
      <c r="B20" s="3190">
        <f t="shared" si="0"/>
        <v>6609.5199999999995</v>
      </c>
      <c r="C20" s="3190">
        <v>5330.19</v>
      </c>
      <c r="D20" s="3190">
        <v>1279.33</v>
      </c>
      <c r="E20" s="3190"/>
      <c r="F20" s="3190"/>
      <c r="G20" s="3190"/>
    </row>
    <row r="21" spans="1:7">
      <c r="A21" s="3190" t="s">
        <v>3424</v>
      </c>
      <c r="B21" s="3190">
        <f t="shared" si="0"/>
        <v>5398.36</v>
      </c>
      <c r="C21" s="3190">
        <v>4358.24</v>
      </c>
      <c r="D21" s="3190">
        <v>1040.1199999999999</v>
      </c>
      <c r="E21" s="3190"/>
      <c r="F21" s="3190"/>
      <c r="G21" s="3190"/>
    </row>
    <row r="22" spans="1:7">
      <c r="A22" s="3190" t="s">
        <v>3425</v>
      </c>
      <c r="B22" s="3190">
        <f t="shared" si="0"/>
        <v>6810.4500000000007</v>
      </c>
      <c r="C22" s="3190">
        <v>5330.64</v>
      </c>
      <c r="D22" s="3190">
        <v>1479.81</v>
      </c>
      <c r="E22" s="3190"/>
      <c r="F22" s="3190"/>
      <c r="G22" s="3190"/>
    </row>
    <row r="23" spans="1:7">
      <c r="A23" s="3190" t="s">
        <v>3426</v>
      </c>
      <c r="B23" s="3190">
        <f t="shared" si="0"/>
        <v>6641.55</v>
      </c>
      <c r="C23" s="3190">
        <v>5331.18</v>
      </c>
      <c r="D23" s="3190">
        <v>1310.3699999999999</v>
      </c>
      <c r="E23" s="3190"/>
      <c r="F23" s="3190"/>
      <c r="G23" s="3190"/>
    </row>
    <row r="24" spans="1:7">
      <c r="A24" s="3190" t="s">
        <v>3427</v>
      </c>
      <c r="B24" s="3190">
        <f t="shared" si="0"/>
        <v>6791.5599999999995</v>
      </c>
      <c r="C24" s="3190">
        <v>5290.7</v>
      </c>
      <c r="D24" s="3190">
        <v>1500.86</v>
      </c>
      <c r="E24" s="3190"/>
      <c r="F24" s="3190"/>
      <c r="G24" s="3190"/>
    </row>
    <row r="25" spans="1:7">
      <c r="A25" s="3190" t="s">
        <v>3428</v>
      </c>
      <c r="B25" s="3190">
        <f t="shared" si="0"/>
        <v>6731.93</v>
      </c>
      <c r="C25" s="3190">
        <v>5290.88</v>
      </c>
      <c r="D25" s="3190">
        <v>1441.05</v>
      </c>
      <c r="E25" s="3190"/>
      <c r="F25" s="3190"/>
      <c r="G25" s="3190"/>
    </row>
    <row r="26" spans="1:7">
      <c r="A26" s="3190" t="s">
        <v>3429</v>
      </c>
      <c r="B26" s="3190">
        <f>C26+D26+E26</f>
        <v>26581.66</v>
      </c>
      <c r="C26" s="3190"/>
      <c r="D26" s="3190"/>
      <c r="E26" s="3190">
        <v>26581.66</v>
      </c>
      <c r="F26" s="3190"/>
      <c r="G26" s="3190">
        <f>126.78+140.8</f>
        <v>267.58000000000004</v>
      </c>
    </row>
    <row r="27" spans="1:7">
      <c r="A27" s="3190" t="s">
        <v>3430</v>
      </c>
      <c r="B27" s="3190">
        <f>SUM(B2:B26)</f>
        <v>144042.74</v>
      </c>
      <c r="C27" s="3190">
        <f>SUM(C2:C26)</f>
        <v>93719.290000000023</v>
      </c>
      <c r="D27" s="3190">
        <f>SUM(D2:D26)</f>
        <v>23741.789999999994</v>
      </c>
      <c r="E27" s="3190">
        <f>SUM(E2:E26)</f>
        <v>26581.66</v>
      </c>
      <c r="F27" s="3190">
        <f>C27+D27+E27</f>
        <v>144042.74000000002</v>
      </c>
      <c r="G27" s="3190"/>
    </row>
    <row r="28" spans="1:7">
      <c r="A28" s="3159" t="s">
        <v>3431</v>
      </c>
      <c r="C28" s="3159">
        <f>'未售清单-住宅'!H193</f>
        <v>40881.349999999984</v>
      </c>
      <c r="D28" s="3159">
        <f>'未售清单-仓储'!H470</f>
        <v>16546.309999999998</v>
      </c>
      <c r="E28" s="3159">
        <f>'未售清单-车位'!H452</f>
        <v>16849.759999999893</v>
      </c>
      <c r="F28" s="3159">
        <f t="shared" ref="F28:F29" si="1">C28+D28+E28</f>
        <v>74277.419999999867</v>
      </c>
      <c r="G28" s="3159">
        <f>ROUND(F28/F27,2)</f>
        <v>0.52</v>
      </c>
    </row>
    <row r="29" spans="1:7">
      <c r="A29" s="3159" t="s">
        <v>3432</v>
      </c>
      <c r="C29" s="3159">
        <f>C27-C28</f>
        <v>52837.940000000039</v>
      </c>
      <c r="D29" s="3159">
        <f>D27-D28</f>
        <v>7195.4799999999959</v>
      </c>
      <c r="E29" s="3159">
        <f>E27-E28</f>
        <v>9731.900000000107</v>
      </c>
      <c r="F29" s="3159">
        <f t="shared" si="1"/>
        <v>69765.320000000138</v>
      </c>
    </row>
    <row r="30" spans="1:7">
      <c r="D30" s="3160" t="s">
        <v>3433</v>
      </c>
    </row>
    <row r="31" spans="1:7">
      <c r="C31" s="3161" t="s">
        <v>2533</v>
      </c>
      <c r="D31" s="3161" t="s">
        <v>3434</v>
      </c>
      <c r="E31" s="3161" t="s">
        <v>3435</v>
      </c>
    </row>
    <row r="32" spans="1:7">
      <c r="C32" s="3161" t="s">
        <v>2542</v>
      </c>
      <c r="D32" s="3161">
        <f>C28</f>
        <v>40881.349999999984</v>
      </c>
      <c r="E32" s="3161">
        <f>'未售清单-住宅'!A192</f>
        <v>190</v>
      </c>
    </row>
    <row r="33" spans="3:5">
      <c r="C33" s="3161" t="s">
        <v>3436</v>
      </c>
      <c r="D33" s="3161">
        <f>D28</f>
        <v>16546.309999999998</v>
      </c>
      <c r="E33" s="3161">
        <f>'未售清单-仓储'!A469</f>
        <v>467</v>
      </c>
    </row>
    <row r="34" spans="3:5">
      <c r="C34" s="3161" t="s">
        <v>3429</v>
      </c>
      <c r="D34" s="3161">
        <f>E28</f>
        <v>16849.759999999893</v>
      </c>
      <c r="E34" s="3161">
        <f>'未售清单-车位'!A451</f>
        <v>449</v>
      </c>
    </row>
    <row r="35" spans="3:5">
      <c r="C35" s="3161" t="s">
        <v>2582</v>
      </c>
      <c r="D35" s="3161">
        <f>SUM(D32:D34)</f>
        <v>74277.419999999867</v>
      </c>
      <c r="E35" s="3161">
        <f>SUM(E32:E34)</f>
        <v>1106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zoomScaleNormal="100" zoomScaleSheetLayoutView="100" workbookViewId="0">
      <selection activeCell="H192" sqref="H3:H192"/>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62" t="s">
        <v>3437</v>
      </c>
      <c r="B1" s="3262"/>
      <c r="C1" s="3262"/>
      <c r="D1" s="3262"/>
      <c r="E1" s="3262"/>
      <c r="F1" s="3262"/>
      <c r="G1" s="3262"/>
      <c r="H1" s="3262"/>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3395</v>
      </c>
      <c r="D3" s="3173" t="s">
        <v>3451</v>
      </c>
      <c r="E3" s="3172" t="s">
        <v>3452</v>
      </c>
      <c r="F3" s="3171">
        <v>1</v>
      </c>
      <c r="G3" s="3171">
        <v>101</v>
      </c>
      <c r="H3" s="3174">
        <v>192.35</v>
      </c>
      <c r="I3" s="3175">
        <v>22327843.739999998</v>
      </c>
      <c r="J3" s="3176" t="s">
        <v>3453</v>
      </c>
      <c r="K3" s="3163"/>
      <c r="M3" s="3163"/>
    </row>
    <row r="4" spans="1:13" ht="16.5">
      <c r="A4" s="3170">
        <v>2</v>
      </c>
      <c r="B4" s="3171" t="s">
        <v>3450</v>
      </c>
      <c r="C4" s="3172" t="s">
        <v>3395</v>
      </c>
      <c r="D4" s="3173" t="s">
        <v>3454</v>
      </c>
      <c r="E4" s="3172" t="s">
        <v>3455</v>
      </c>
      <c r="F4" s="3171">
        <v>1</v>
      </c>
      <c r="G4" s="3171">
        <v>102</v>
      </c>
      <c r="H4" s="3174">
        <v>161.68</v>
      </c>
      <c r="I4" s="3175">
        <v>18375536.68</v>
      </c>
      <c r="J4" s="3176" t="s">
        <v>3453</v>
      </c>
      <c r="K4" s="3163"/>
      <c r="M4" s="3163"/>
    </row>
    <row r="5" spans="1:13" ht="16.5">
      <c r="A5" s="3170">
        <v>3</v>
      </c>
      <c r="B5" s="3171" t="s">
        <v>3450</v>
      </c>
      <c r="C5" s="3172" t="s">
        <v>3395</v>
      </c>
      <c r="D5" s="3173" t="s">
        <v>3456</v>
      </c>
      <c r="E5" s="3172" t="s">
        <v>3457</v>
      </c>
      <c r="F5" s="3171">
        <v>1</v>
      </c>
      <c r="G5" s="3171">
        <v>202</v>
      </c>
      <c r="H5" s="3174">
        <v>184.32</v>
      </c>
      <c r="I5" s="3175">
        <v>21501617.359999999</v>
      </c>
      <c r="J5" s="3176" t="s">
        <v>3453</v>
      </c>
      <c r="K5" s="3163"/>
      <c r="M5" s="3163"/>
    </row>
    <row r="6" spans="1:13" ht="16.5">
      <c r="A6" s="3170">
        <v>4</v>
      </c>
      <c r="B6" s="3171" t="s">
        <v>3450</v>
      </c>
      <c r="C6" s="3172" t="s">
        <v>3395</v>
      </c>
      <c r="D6" s="3173" t="s">
        <v>3458</v>
      </c>
      <c r="E6" s="3172" t="s">
        <v>3459</v>
      </c>
      <c r="F6" s="3171">
        <v>1</v>
      </c>
      <c r="G6" s="3171">
        <v>301</v>
      </c>
      <c r="H6" s="3174">
        <v>192.37</v>
      </c>
      <c r="I6" s="3175">
        <v>23869125.32</v>
      </c>
      <c r="J6" s="3176" t="s">
        <v>3453</v>
      </c>
      <c r="K6" s="3163"/>
      <c r="M6" s="3163"/>
    </row>
    <row r="7" spans="1:13" ht="16.5">
      <c r="A7" s="3170">
        <v>5</v>
      </c>
      <c r="B7" s="3171" t="s">
        <v>3450</v>
      </c>
      <c r="C7" s="3172" t="s">
        <v>3395</v>
      </c>
      <c r="D7" s="3173" t="s">
        <v>3460</v>
      </c>
      <c r="E7" s="3172" t="s">
        <v>3461</v>
      </c>
      <c r="F7" s="3171">
        <v>1</v>
      </c>
      <c r="G7" s="3171">
        <v>302</v>
      </c>
      <c r="H7" s="3174">
        <v>184.32</v>
      </c>
      <c r="I7" s="3175">
        <v>22423217.359999999</v>
      </c>
      <c r="J7" s="3176" t="s">
        <v>3453</v>
      </c>
      <c r="K7" s="3163"/>
      <c r="M7" s="3163"/>
    </row>
    <row r="8" spans="1:13" ht="16.5">
      <c r="A8" s="3170">
        <v>6</v>
      </c>
      <c r="B8" s="3171" t="s">
        <v>3450</v>
      </c>
      <c r="C8" s="3172" t="s">
        <v>3395</v>
      </c>
      <c r="D8" s="3173" t="s">
        <v>3462</v>
      </c>
      <c r="E8" s="3172" t="s">
        <v>3463</v>
      </c>
      <c r="F8" s="3171">
        <v>2</v>
      </c>
      <c r="G8" s="3171">
        <v>101</v>
      </c>
      <c r="H8" s="3174">
        <v>161.68</v>
      </c>
      <c r="I8" s="3175">
        <v>18375536.68</v>
      </c>
      <c r="J8" s="3176" t="s">
        <v>3464</v>
      </c>
      <c r="K8" s="3163"/>
      <c r="M8" s="3163"/>
    </row>
    <row r="9" spans="1:13" ht="16.5">
      <c r="A9" s="3170">
        <v>7</v>
      </c>
      <c r="B9" s="3171" t="s">
        <v>3450</v>
      </c>
      <c r="C9" s="3172" t="s">
        <v>3395</v>
      </c>
      <c r="D9" s="3173" t="s">
        <v>3465</v>
      </c>
      <c r="E9" s="3172" t="s">
        <v>3466</v>
      </c>
      <c r="F9" s="3171">
        <v>2</v>
      </c>
      <c r="G9" s="3171">
        <v>102</v>
      </c>
      <c r="H9" s="3174">
        <v>184.78</v>
      </c>
      <c r="I9" s="3175">
        <v>21000938.079999998</v>
      </c>
      <c r="J9" s="3176" t="s">
        <v>3453</v>
      </c>
      <c r="K9" s="3163"/>
      <c r="M9" s="3163"/>
    </row>
    <row r="10" spans="1:13" ht="16.5">
      <c r="A10" s="3170">
        <v>8</v>
      </c>
      <c r="B10" s="3171" t="s">
        <v>3450</v>
      </c>
      <c r="C10" s="3172" t="s">
        <v>3395</v>
      </c>
      <c r="D10" s="3173" t="s">
        <v>3467</v>
      </c>
      <c r="E10" s="3172" t="s">
        <v>3468</v>
      </c>
      <c r="F10" s="3171">
        <v>2</v>
      </c>
      <c r="G10" s="3171">
        <v>201</v>
      </c>
      <c r="H10" s="3174">
        <v>184.32</v>
      </c>
      <c r="I10" s="3175">
        <v>21501617.359999999</v>
      </c>
      <c r="J10" s="3176" t="s">
        <v>3469</v>
      </c>
      <c r="K10" s="3163"/>
      <c r="M10" s="3163"/>
    </row>
    <row r="11" spans="1:13" ht="16.5">
      <c r="A11" s="3170">
        <v>9</v>
      </c>
      <c r="B11" s="3171" t="s">
        <v>3450</v>
      </c>
      <c r="C11" s="3172" t="s">
        <v>3395</v>
      </c>
      <c r="D11" s="3173" t="s">
        <v>3470</v>
      </c>
      <c r="E11" s="3172" t="s">
        <v>3471</v>
      </c>
      <c r="F11" s="3171">
        <v>2</v>
      </c>
      <c r="G11" s="3171">
        <v>301</v>
      </c>
      <c r="H11" s="3174">
        <v>184.32</v>
      </c>
      <c r="I11" s="3175">
        <v>22423217.359999999</v>
      </c>
      <c r="J11" s="3176" t="s">
        <v>3453</v>
      </c>
      <c r="K11" s="3163"/>
      <c r="M11" s="3163"/>
    </row>
    <row r="12" spans="1:13" ht="16.5">
      <c r="A12" s="3170">
        <v>10</v>
      </c>
      <c r="B12" s="3171" t="s">
        <v>3450</v>
      </c>
      <c r="C12" s="3172" t="s">
        <v>3395</v>
      </c>
      <c r="D12" s="3173" t="s">
        <v>3472</v>
      </c>
      <c r="E12" s="3172" t="s">
        <v>3473</v>
      </c>
      <c r="F12" s="3171">
        <v>2</v>
      </c>
      <c r="G12" s="3171">
        <v>302</v>
      </c>
      <c r="H12" s="3174">
        <v>184.82</v>
      </c>
      <c r="I12" s="3175">
        <v>22484044.23</v>
      </c>
      <c r="J12" s="3176" t="s">
        <v>3453</v>
      </c>
      <c r="K12" s="3163"/>
      <c r="M12" s="3163"/>
    </row>
    <row r="13" spans="1:13" ht="16.5">
      <c r="A13" s="3170">
        <v>11</v>
      </c>
      <c r="B13" s="3171" t="s">
        <v>3450</v>
      </c>
      <c r="C13" s="3172" t="s">
        <v>3395</v>
      </c>
      <c r="D13" s="3173" t="s">
        <v>3474</v>
      </c>
      <c r="E13" s="3172" t="s">
        <v>3475</v>
      </c>
      <c r="F13" s="3171">
        <v>2</v>
      </c>
      <c r="G13" s="3171">
        <v>401</v>
      </c>
      <c r="H13" s="3174">
        <v>184.32</v>
      </c>
      <c r="I13" s="3175">
        <v>22238897.359999999</v>
      </c>
      <c r="J13" s="3176" t="s">
        <v>3453</v>
      </c>
      <c r="K13" s="3163"/>
      <c r="M13" s="3163"/>
    </row>
    <row r="14" spans="1:13" ht="16.5">
      <c r="A14" s="3170">
        <v>12</v>
      </c>
      <c r="B14" s="3171" t="s">
        <v>3450</v>
      </c>
      <c r="C14" s="3172" t="s">
        <v>3395</v>
      </c>
      <c r="D14" s="3173" t="s">
        <v>3476</v>
      </c>
      <c r="E14" s="3172" t="s">
        <v>3477</v>
      </c>
      <c r="F14" s="3171">
        <v>2</v>
      </c>
      <c r="G14" s="3171">
        <v>402</v>
      </c>
      <c r="H14" s="3174">
        <v>184.82</v>
      </c>
      <c r="I14" s="3175">
        <v>22299224.23</v>
      </c>
      <c r="J14" s="3176" t="s">
        <v>3453</v>
      </c>
      <c r="K14" s="3163"/>
      <c r="M14" s="3163"/>
    </row>
    <row r="15" spans="1:13" ht="16.5">
      <c r="A15" s="3170">
        <v>13</v>
      </c>
      <c r="B15" s="3171" t="s">
        <v>3478</v>
      </c>
      <c r="C15" s="3172" t="s">
        <v>3395</v>
      </c>
      <c r="D15" s="3173" t="s">
        <v>3479</v>
      </c>
      <c r="E15" s="3172" t="s">
        <v>3480</v>
      </c>
      <c r="F15" s="3171">
        <v>1</v>
      </c>
      <c r="G15" s="3171">
        <v>101</v>
      </c>
      <c r="H15" s="3174">
        <v>184.9</v>
      </c>
      <c r="I15" s="3175">
        <v>21493208.670000002</v>
      </c>
      <c r="J15" s="3176" t="s">
        <v>3453</v>
      </c>
      <c r="K15" s="3163"/>
      <c r="M15" s="3163"/>
    </row>
    <row r="16" spans="1:13" ht="16.5">
      <c r="A16" s="3170">
        <v>14</v>
      </c>
      <c r="B16" s="3171" t="s">
        <v>3478</v>
      </c>
      <c r="C16" s="3172" t="s">
        <v>3395</v>
      </c>
      <c r="D16" s="3174" t="s">
        <v>3481</v>
      </c>
      <c r="E16" s="3172" t="s">
        <v>3482</v>
      </c>
      <c r="F16" s="3171">
        <v>1</v>
      </c>
      <c r="G16" s="3171">
        <v>301</v>
      </c>
      <c r="H16" s="3174">
        <v>184.94</v>
      </c>
      <c r="I16" s="3175">
        <v>22977378.359999999</v>
      </c>
      <c r="J16" s="3176" t="s">
        <v>3453</v>
      </c>
      <c r="K16" s="3163"/>
      <c r="M16" s="3163"/>
    </row>
    <row r="17" spans="1:13" ht="16.5">
      <c r="A17" s="3170">
        <v>15</v>
      </c>
      <c r="B17" s="3171" t="s">
        <v>3478</v>
      </c>
      <c r="C17" s="3172" t="s">
        <v>3395</v>
      </c>
      <c r="D17" s="3173" t="s">
        <v>3483</v>
      </c>
      <c r="E17" s="3172" t="s">
        <v>3484</v>
      </c>
      <c r="F17" s="3171">
        <v>2</v>
      </c>
      <c r="G17" s="3171">
        <v>101</v>
      </c>
      <c r="H17" s="3174">
        <v>161.79</v>
      </c>
      <c r="I17" s="3175">
        <v>18806848.190000001</v>
      </c>
      <c r="J17" s="3176" t="s">
        <v>3453</v>
      </c>
      <c r="K17" s="3163"/>
      <c r="M17" s="3163"/>
    </row>
    <row r="18" spans="1:13" ht="16.5">
      <c r="A18" s="3170">
        <v>16</v>
      </c>
      <c r="B18" s="3171" t="s">
        <v>3478</v>
      </c>
      <c r="C18" s="3172" t="s">
        <v>3395</v>
      </c>
      <c r="D18" s="3173" t="s">
        <v>3485</v>
      </c>
      <c r="E18" s="3172" t="s">
        <v>3486</v>
      </c>
      <c r="F18" s="3171">
        <v>2</v>
      </c>
      <c r="G18" s="3171">
        <v>102</v>
      </c>
      <c r="H18" s="3174">
        <v>192.47</v>
      </c>
      <c r="I18" s="3175">
        <v>22977182.16</v>
      </c>
      <c r="J18" s="3176" t="s">
        <v>3453</v>
      </c>
      <c r="K18" s="3163"/>
      <c r="M18" s="3163"/>
    </row>
    <row r="19" spans="1:13" ht="16.5">
      <c r="A19" s="3170">
        <v>17</v>
      </c>
      <c r="B19" s="3171" t="s">
        <v>3487</v>
      </c>
      <c r="C19" s="3172" t="s">
        <v>3395</v>
      </c>
      <c r="D19" s="3173" t="s">
        <v>3488</v>
      </c>
      <c r="E19" s="3172" t="s">
        <v>3489</v>
      </c>
      <c r="F19" s="3171">
        <v>1</v>
      </c>
      <c r="G19" s="3171">
        <v>102</v>
      </c>
      <c r="H19" s="3174">
        <v>168.09</v>
      </c>
      <c r="I19" s="3175">
        <v>19719785.949999999</v>
      </c>
      <c r="J19" s="3176" t="s">
        <v>3453</v>
      </c>
      <c r="K19" s="3163"/>
      <c r="M19" s="3163"/>
    </row>
    <row r="20" spans="1:13" ht="16.5">
      <c r="A20" s="3170">
        <v>18</v>
      </c>
      <c r="B20" s="3171" t="s">
        <v>3487</v>
      </c>
      <c r="C20" s="3172" t="s">
        <v>3395</v>
      </c>
      <c r="D20" s="3173" t="s">
        <v>3490</v>
      </c>
      <c r="E20" s="3172" t="s">
        <v>3491</v>
      </c>
      <c r="F20" s="3171">
        <v>2</v>
      </c>
      <c r="G20" s="3171">
        <v>101</v>
      </c>
      <c r="H20" s="3174">
        <v>168.09</v>
      </c>
      <c r="I20" s="3175">
        <v>19719785.949999999</v>
      </c>
      <c r="J20" s="3176" t="s">
        <v>3464</v>
      </c>
      <c r="K20" s="3163"/>
      <c r="M20" s="3163"/>
    </row>
    <row r="21" spans="1:13" ht="16.5">
      <c r="A21" s="3170">
        <v>19</v>
      </c>
      <c r="B21" s="3171" t="s">
        <v>3487</v>
      </c>
      <c r="C21" s="3172" t="s">
        <v>3395</v>
      </c>
      <c r="D21" s="3174" t="s">
        <v>3492</v>
      </c>
      <c r="E21" s="3172" t="s">
        <v>3493</v>
      </c>
      <c r="F21" s="3171">
        <v>2</v>
      </c>
      <c r="G21" s="3171">
        <v>302</v>
      </c>
      <c r="H21" s="3174">
        <v>184.5</v>
      </c>
      <c r="I21" s="3175">
        <v>22751955.140000001</v>
      </c>
      <c r="J21" s="3176" t="s">
        <v>3469</v>
      </c>
      <c r="K21" s="3163"/>
      <c r="M21" s="3163"/>
    </row>
    <row r="22" spans="1:13" ht="16.5">
      <c r="A22" s="3170">
        <v>20</v>
      </c>
      <c r="B22" s="3171" t="s">
        <v>3487</v>
      </c>
      <c r="C22" s="3172" t="s">
        <v>3395</v>
      </c>
      <c r="D22" s="3174" t="s">
        <v>3494</v>
      </c>
      <c r="E22" s="3172" t="s">
        <v>3495</v>
      </c>
      <c r="F22" s="3171">
        <v>2</v>
      </c>
      <c r="G22" s="3171">
        <v>402</v>
      </c>
      <c r="H22" s="3174">
        <v>184.5</v>
      </c>
      <c r="I22" s="3175">
        <v>22567455.140000001</v>
      </c>
      <c r="J22" s="3176" t="s">
        <v>3469</v>
      </c>
      <c r="K22" s="3163"/>
      <c r="M22" s="3163"/>
    </row>
    <row r="23" spans="1:13" ht="16.5">
      <c r="A23" s="3170">
        <v>21</v>
      </c>
      <c r="B23" s="3171" t="s">
        <v>3487</v>
      </c>
      <c r="C23" s="3172" t="s">
        <v>3395</v>
      </c>
      <c r="D23" s="3173" t="s">
        <v>3496</v>
      </c>
      <c r="E23" s="3172" t="s">
        <v>3497</v>
      </c>
      <c r="F23" s="3171">
        <v>3</v>
      </c>
      <c r="G23" s="3171">
        <v>101</v>
      </c>
      <c r="H23" s="3174">
        <v>168.09</v>
      </c>
      <c r="I23" s="3175">
        <v>19639914.629999999</v>
      </c>
      <c r="J23" s="3176" t="s">
        <v>3453</v>
      </c>
      <c r="K23" s="3163"/>
      <c r="M23" s="3163"/>
    </row>
    <row r="24" spans="1:13" ht="16.5">
      <c r="A24" s="3170">
        <v>22</v>
      </c>
      <c r="B24" s="3171" t="s">
        <v>3487</v>
      </c>
      <c r="C24" s="3172" t="s">
        <v>3395</v>
      </c>
      <c r="D24" s="3174" t="s">
        <v>3498</v>
      </c>
      <c r="E24" s="3172" t="s">
        <v>3499</v>
      </c>
      <c r="F24" s="3171">
        <v>3</v>
      </c>
      <c r="G24" s="3171">
        <v>302</v>
      </c>
      <c r="H24" s="3174">
        <v>185</v>
      </c>
      <c r="I24" s="3175">
        <v>22725707.100000001</v>
      </c>
      <c r="J24" s="3176" t="s">
        <v>3469</v>
      </c>
      <c r="K24" s="3163"/>
      <c r="M24" s="3163"/>
    </row>
    <row r="25" spans="1:13" ht="16.5">
      <c r="A25" s="3170">
        <v>23</v>
      </c>
      <c r="B25" s="3171" t="s">
        <v>3500</v>
      </c>
      <c r="C25" s="3172" t="s">
        <v>3395</v>
      </c>
      <c r="D25" s="3173" t="s">
        <v>3501</v>
      </c>
      <c r="E25" s="3172" t="s">
        <v>3502</v>
      </c>
      <c r="F25" s="3171">
        <v>1</v>
      </c>
      <c r="G25" s="3171">
        <v>102</v>
      </c>
      <c r="H25" s="3174">
        <v>210.98</v>
      </c>
      <c r="I25" s="3175">
        <v>24450752.800000001</v>
      </c>
      <c r="J25" s="3176" t="s">
        <v>3453</v>
      </c>
      <c r="K25" s="3163"/>
      <c r="M25" s="3163"/>
    </row>
    <row r="26" spans="1:13" ht="16.5">
      <c r="A26" s="3170">
        <v>24</v>
      </c>
      <c r="B26" s="3171" t="s">
        <v>3500</v>
      </c>
      <c r="C26" s="3172" t="s">
        <v>3395</v>
      </c>
      <c r="D26" s="3174" t="s">
        <v>3503</v>
      </c>
      <c r="E26" s="3172" t="s">
        <v>3504</v>
      </c>
      <c r="F26" s="3171">
        <v>1</v>
      </c>
      <c r="G26" s="3171">
        <v>202</v>
      </c>
      <c r="H26" s="3174">
        <v>221.84</v>
      </c>
      <c r="I26" s="3175">
        <v>25931172.649999999</v>
      </c>
      <c r="J26" s="3176" t="s">
        <v>3453</v>
      </c>
      <c r="K26" s="3163"/>
      <c r="M26" s="3163"/>
    </row>
    <row r="27" spans="1:13" ht="16.5">
      <c r="A27" s="3170">
        <v>25</v>
      </c>
      <c r="B27" s="3171" t="s">
        <v>3500</v>
      </c>
      <c r="C27" s="3172" t="s">
        <v>3395</v>
      </c>
      <c r="D27" s="3173" t="s">
        <v>3505</v>
      </c>
      <c r="E27" s="3172" t="s">
        <v>3506</v>
      </c>
      <c r="F27" s="3171">
        <v>1</v>
      </c>
      <c r="G27" s="3171">
        <v>301</v>
      </c>
      <c r="H27" s="3174">
        <v>230.89</v>
      </c>
      <c r="I27" s="3175">
        <v>29165292.879999999</v>
      </c>
      <c r="J27" s="3176" t="s">
        <v>3469</v>
      </c>
      <c r="K27" s="3163"/>
      <c r="M27" s="3163"/>
    </row>
    <row r="28" spans="1:13" ht="16.5">
      <c r="A28" s="3170">
        <v>26</v>
      </c>
      <c r="B28" s="3171" t="s">
        <v>3500</v>
      </c>
      <c r="C28" s="3172" t="s">
        <v>3395</v>
      </c>
      <c r="D28" s="3174" t="s">
        <v>3507</v>
      </c>
      <c r="E28" s="3172" t="s">
        <v>3508</v>
      </c>
      <c r="F28" s="3171">
        <v>1</v>
      </c>
      <c r="G28" s="3171">
        <v>302</v>
      </c>
      <c r="H28" s="3174">
        <v>221.84</v>
      </c>
      <c r="I28" s="3175">
        <v>27040372.649999999</v>
      </c>
      <c r="J28" s="3176" t="s">
        <v>3453</v>
      </c>
      <c r="K28" s="3163"/>
      <c r="M28" s="3163"/>
    </row>
    <row r="29" spans="1:13" ht="16.5">
      <c r="A29" s="3170">
        <v>27</v>
      </c>
      <c r="B29" s="3171" t="s">
        <v>3500</v>
      </c>
      <c r="C29" s="3172" t="s">
        <v>3395</v>
      </c>
      <c r="D29" s="3173" t="s">
        <v>3509</v>
      </c>
      <c r="E29" s="3172" t="s">
        <v>3510</v>
      </c>
      <c r="F29" s="3171">
        <v>2</v>
      </c>
      <c r="G29" s="3171">
        <v>101</v>
      </c>
      <c r="H29" s="3174">
        <v>210.98</v>
      </c>
      <c r="I29" s="3175">
        <v>24450752.800000001</v>
      </c>
      <c r="J29" s="3176" t="s">
        <v>3453</v>
      </c>
      <c r="K29" s="3163"/>
      <c r="M29" s="3163"/>
    </row>
    <row r="30" spans="1:13" ht="16.5">
      <c r="A30" s="3170">
        <v>28</v>
      </c>
      <c r="B30" s="3171" t="s">
        <v>3500</v>
      </c>
      <c r="C30" s="3172" t="s">
        <v>3395</v>
      </c>
      <c r="D30" s="3173" t="s">
        <v>3511</v>
      </c>
      <c r="E30" s="3172" t="s">
        <v>3512</v>
      </c>
      <c r="F30" s="3171">
        <v>2</v>
      </c>
      <c r="G30" s="3171">
        <v>102</v>
      </c>
      <c r="H30" s="3174">
        <v>210.98</v>
      </c>
      <c r="I30" s="3175">
        <v>24450752.800000001</v>
      </c>
      <c r="J30" s="3176" t="s">
        <v>3453</v>
      </c>
      <c r="K30" s="3163"/>
      <c r="M30" s="3163"/>
    </row>
    <row r="31" spans="1:13" ht="16.5">
      <c r="A31" s="3170">
        <v>29</v>
      </c>
      <c r="B31" s="3171" t="s">
        <v>3500</v>
      </c>
      <c r="C31" s="3172" t="s">
        <v>3395</v>
      </c>
      <c r="D31" s="3174" t="s">
        <v>3513</v>
      </c>
      <c r="E31" s="3172" t="s">
        <v>3514</v>
      </c>
      <c r="F31" s="3171">
        <v>2</v>
      </c>
      <c r="G31" s="3171">
        <v>201</v>
      </c>
      <c r="H31" s="3174">
        <v>221.84</v>
      </c>
      <c r="I31" s="3175">
        <v>25931172.649999999</v>
      </c>
      <c r="J31" s="3176" t="s">
        <v>3453</v>
      </c>
      <c r="K31" s="3163"/>
      <c r="M31" s="3163"/>
    </row>
    <row r="32" spans="1:13" ht="16.5">
      <c r="A32" s="3170">
        <v>30</v>
      </c>
      <c r="B32" s="3171" t="s">
        <v>3500</v>
      </c>
      <c r="C32" s="3172" t="s">
        <v>3395</v>
      </c>
      <c r="D32" s="3174" t="s">
        <v>3515</v>
      </c>
      <c r="E32" s="3172" t="s">
        <v>3516</v>
      </c>
      <c r="F32" s="3171">
        <v>2</v>
      </c>
      <c r="G32" s="3171">
        <v>202</v>
      </c>
      <c r="H32" s="3174">
        <v>221.84</v>
      </c>
      <c r="I32" s="3175">
        <v>25931172.649999999</v>
      </c>
      <c r="J32" s="3176" t="s">
        <v>3453</v>
      </c>
      <c r="K32" s="3163"/>
      <c r="M32" s="3163"/>
    </row>
    <row r="33" spans="1:13" ht="16.5">
      <c r="A33" s="3170">
        <v>31</v>
      </c>
      <c r="B33" s="3171" t="s">
        <v>3500</v>
      </c>
      <c r="C33" s="3172" t="s">
        <v>3395</v>
      </c>
      <c r="D33" s="3173" t="s">
        <v>3517</v>
      </c>
      <c r="E33" s="3172" t="s">
        <v>3518</v>
      </c>
      <c r="F33" s="3171">
        <v>2</v>
      </c>
      <c r="G33" s="3171">
        <v>301</v>
      </c>
      <c r="H33" s="3174">
        <v>221.84</v>
      </c>
      <c r="I33" s="3175">
        <v>27040372.649999999</v>
      </c>
      <c r="J33" s="3176" t="s">
        <v>3453</v>
      </c>
      <c r="K33" s="3163"/>
      <c r="M33" s="3163"/>
    </row>
    <row r="34" spans="1:13" ht="16.5">
      <c r="A34" s="3170">
        <v>32</v>
      </c>
      <c r="B34" s="3171" t="s">
        <v>3500</v>
      </c>
      <c r="C34" s="3172" t="s">
        <v>3395</v>
      </c>
      <c r="D34" s="3174" t="s">
        <v>3519</v>
      </c>
      <c r="E34" s="3172" t="s">
        <v>3520</v>
      </c>
      <c r="F34" s="3171">
        <v>2</v>
      </c>
      <c r="G34" s="3171">
        <v>302</v>
      </c>
      <c r="H34" s="3174">
        <v>221.84</v>
      </c>
      <c r="I34" s="3175">
        <v>27040372.649999999</v>
      </c>
      <c r="J34" s="3176" t="s">
        <v>3453</v>
      </c>
      <c r="K34" s="3163"/>
      <c r="M34" s="3163"/>
    </row>
    <row r="35" spans="1:13" ht="16.5">
      <c r="A35" s="3170">
        <v>33</v>
      </c>
      <c r="B35" s="3171" t="s">
        <v>3500</v>
      </c>
      <c r="C35" s="3172" t="s">
        <v>3395</v>
      </c>
      <c r="D35" s="3174" t="s">
        <v>3521</v>
      </c>
      <c r="E35" s="3172" t="s">
        <v>3522</v>
      </c>
      <c r="F35" s="3171">
        <v>2</v>
      </c>
      <c r="G35" s="3171">
        <v>401</v>
      </c>
      <c r="H35" s="3174">
        <v>221.84</v>
      </c>
      <c r="I35" s="3175">
        <v>26818532.649999999</v>
      </c>
      <c r="J35" s="3176" t="s">
        <v>3453</v>
      </c>
      <c r="K35" s="3163"/>
      <c r="M35" s="3163"/>
    </row>
    <row r="36" spans="1:13" ht="16.5">
      <c r="A36" s="3170">
        <v>34</v>
      </c>
      <c r="B36" s="3171" t="s">
        <v>3500</v>
      </c>
      <c r="C36" s="3172" t="s">
        <v>3395</v>
      </c>
      <c r="D36" s="3174" t="s">
        <v>3523</v>
      </c>
      <c r="E36" s="3172" t="s">
        <v>3524</v>
      </c>
      <c r="F36" s="3171">
        <v>2</v>
      </c>
      <c r="G36" s="3171">
        <v>402</v>
      </c>
      <c r="H36" s="3174">
        <v>221.84</v>
      </c>
      <c r="I36" s="3175">
        <v>26818532.649999999</v>
      </c>
      <c r="J36" s="3176" t="s">
        <v>3464</v>
      </c>
      <c r="K36" s="3163"/>
      <c r="M36" s="3163"/>
    </row>
    <row r="37" spans="1:13" ht="16.5">
      <c r="A37" s="3170">
        <v>35</v>
      </c>
      <c r="B37" s="3171" t="s">
        <v>3500</v>
      </c>
      <c r="C37" s="3172" t="s">
        <v>3395</v>
      </c>
      <c r="D37" s="3173" t="s">
        <v>3525</v>
      </c>
      <c r="E37" s="3172" t="s">
        <v>3526</v>
      </c>
      <c r="F37" s="3171">
        <v>3</v>
      </c>
      <c r="G37" s="3171">
        <v>101</v>
      </c>
      <c r="H37" s="3174">
        <v>210.98</v>
      </c>
      <c r="I37" s="3175">
        <v>24350501.440000001</v>
      </c>
      <c r="J37" s="3176" t="s">
        <v>3453</v>
      </c>
      <c r="K37" s="3163"/>
      <c r="M37" s="3163"/>
    </row>
    <row r="38" spans="1:13" ht="16.5">
      <c r="A38" s="3170">
        <v>36</v>
      </c>
      <c r="B38" s="3171" t="s">
        <v>3500</v>
      </c>
      <c r="C38" s="3172" t="s">
        <v>3395</v>
      </c>
      <c r="D38" s="3173" t="s">
        <v>3527</v>
      </c>
      <c r="E38" s="3172" t="s">
        <v>3528</v>
      </c>
      <c r="F38" s="3171">
        <v>3</v>
      </c>
      <c r="G38" s="3171">
        <v>102</v>
      </c>
      <c r="H38" s="3174">
        <v>212.29</v>
      </c>
      <c r="I38" s="3175">
        <v>24501696.609999999</v>
      </c>
      <c r="J38" s="3176" t="s">
        <v>3453</v>
      </c>
      <c r="K38" s="3163"/>
      <c r="M38" s="3163"/>
    </row>
    <row r="39" spans="1:13" ht="16.5">
      <c r="A39" s="3170">
        <v>37</v>
      </c>
      <c r="B39" s="3171" t="s">
        <v>3500</v>
      </c>
      <c r="C39" s="3172" t="s">
        <v>3395</v>
      </c>
      <c r="D39" s="3174" t="s">
        <v>3529</v>
      </c>
      <c r="E39" s="3172" t="s">
        <v>3530</v>
      </c>
      <c r="F39" s="3171">
        <v>3</v>
      </c>
      <c r="G39" s="3171">
        <v>201</v>
      </c>
      <c r="H39" s="3174">
        <v>221.84</v>
      </c>
      <c r="I39" s="3175">
        <v>25825760.93</v>
      </c>
      <c r="J39" s="3176" t="s">
        <v>3453</v>
      </c>
      <c r="K39" s="3163"/>
      <c r="M39" s="3163"/>
    </row>
    <row r="40" spans="1:13" ht="16.5">
      <c r="A40" s="3170">
        <v>38</v>
      </c>
      <c r="B40" s="3171" t="s">
        <v>3500</v>
      </c>
      <c r="C40" s="3172" t="s">
        <v>3395</v>
      </c>
      <c r="D40" s="3174" t="s">
        <v>3531</v>
      </c>
      <c r="E40" s="3172" t="s">
        <v>3532</v>
      </c>
      <c r="F40" s="3171">
        <v>3</v>
      </c>
      <c r="G40" s="3171">
        <v>202</v>
      </c>
      <c r="H40" s="3174">
        <v>223.15</v>
      </c>
      <c r="I40" s="3175">
        <v>25978266.100000001</v>
      </c>
      <c r="J40" s="3176" t="s">
        <v>3453</v>
      </c>
      <c r="K40" s="3163"/>
      <c r="M40" s="3163"/>
    </row>
    <row r="41" spans="1:13" ht="16.5">
      <c r="A41" s="3170">
        <v>39</v>
      </c>
      <c r="B41" s="3171" t="s">
        <v>3500</v>
      </c>
      <c r="C41" s="3172" t="s">
        <v>3395</v>
      </c>
      <c r="D41" s="3173" t="s">
        <v>3533</v>
      </c>
      <c r="E41" s="3172" t="s">
        <v>3534</v>
      </c>
      <c r="F41" s="3171">
        <v>3</v>
      </c>
      <c r="G41" s="3171">
        <v>301</v>
      </c>
      <c r="H41" s="3174">
        <v>221.84</v>
      </c>
      <c r="I41" s="3175">
        <v>26934960.93</v>
      </c>
      <c r="J41" s="3176" t="s">
        <v>3453</v>
      </c>
      <c r="K41" s="3163"/>
      <c r="M41" s="3163"/>
    </row>
    <row r="42" spans="1:13" ht="16.5">
      <c r="A42" s="3170">
        <v>40</v>
      </c>
      <c r="B42" s="3171" t="s">
        <v>3500</v>
      </c>
      <c r="C42" s="3172" t="s">
        <v>3395</v>
      </c>
      <c r="D42" s="3174" t="s">
        <v>3535</v>
      </c>
      <c r="E42" s="3172" t="s">
        <v>3536</v>
      </c>
      <c r="F42" s="3171">
        <v>3</v>
      </c>
      <c r="G42" s="3171">
        <v>302</v>
      </c>
      <c r="H42" s="3174">
        <v>223.15</v>
      </c>
      <c r="I42" s="3175">
        <v>27094016.100000001</v>
      </c>
      <c r="J42" s="3176" t="s">
        <v>3453</v>
      </c>
      <c r="K42" s="3163"/>
      <c r="M42" s="3163"/>
    </row>
    <row r="43" spans="1:13" ht="16.5">
      <c r="A43" s="3170">
        <v>41</v>
      </c>
      <c r="B43" s="3171" t="s">
        <v>3500</v>
      </c>
      <c r="C43" s="3172" t="s">
        <v>3395</v>
      </c>
      <c r="D43" s="3174" t="s">
        <v>3537</v>
      </c>
      <c r="E43" s="3172" t="s">
        <v>3538</v>
      </c>
      <c r="F43" s="3171">
        <v>3</v>
      </c>
      <c r="G43" s="3171">
        <v>401</v>
      </c>
      <c r="H43" s="3174">
        <v>221.84</v>
      </c>
      <c r="I43" s="3175">
        <v>26713120.93</v>
      </c>
      <c r="J43" s="3176" t="s">
        <v>3469</v>
      </c>
      <c r="K43" s="3163"/>
      <c r="M43" s="3163"/>
    </row>
    <row r="44" spans="1:13" ht="16.5">
      <c r="A44" s="3170">
        <v>42</v>
      </c>
      <c r="B44" s="3171" t="s">
        <v>3500</v>
      </c>
      <c r="C44" s="3172" t="s">
        <v>3395</v>
      </c>
      <c r="D44" s="3174" t="s">
        <v>3539</v>
      </c>
      <c r="E44" s="3172" t="s">
        <v>3540</v>
      </c>
      <c r="F44" s="3171">
        <v>3</v>
      </c>
      <c r="G44" s="3171">
        <v>402</v>
      </c>
      <c r="H44" s="3174">
        <v>223.15</v>
      </c>
      <c r="I44" s="3175">
        <v>26870866.100000001</v>
      </c>
      <c r="J44" s="3176" t="s">
        <v>3453</v>
      </c>
      <c r="K44" s="3163"/>
      <c r="M44" s="3163"/>
    </row>
    <row r="45" spans="1:13" ht="16.5">
      <c r="A45" s="3170">
        <v>43</v>
      </c>
      <c r="B45" s="3171" t="s">
        <v>3541</v>
      </c>
      <c r="C45" s="3172" t="s">
        <v>3395</v>
      </c>
      <c r="D45" s="3173" t="s">
        <v>3542</v>
      </c>
      <c r="E45" s="3172" t="s">
        <v>3543</v>
      </c>
      <c r="F45" s="3171">
        <v>1</v>
      </c>
      <c r="G45" s="3171">
        <v>101</v>
      </c>
      <c r="H45" s="3174">
        <v>272.99</v>
      </c>
      <c r="I45" s="3175">
        <v>33091165.329999998</v>
      </c>
      <c r="J45" s="3176" t="s">
        <v>3453</v>
      </c>
      <c r="K45" s="3163"/>
      <c r="M45" s="3163"/>
    </row>
    <row r="46" spans="1:13" ht="16.5">
      <c r="A46" s="3170">
        <v>44</v>
      </c>
      <c r="B46" s="3171" t="s">
        <v>3541</v>
      </c>
      <c r="C46" s="3172" t="s">
        <v>3395</v>
      </c>
      <c r="D46" s="3173" t="s">
        <v>3544</v>
      </c>
      <c r="E46" s="3172" t="s">
        <v>3545</v>
      </c>
      <c r="F46" s="3171">
        <v>1</v>
      </c>
      <c r="G46" s="3171">
        <v>102</v>
      </c>
      <c r="H46" s="3174">
        <v>271.81</v>
      </c>
      <c r="I46" s="3175">
        <v>32017043.52</v>
      </c>
      <c r="J46" s="3176" t="s">
        <v>3453</v>
      </c>
      <c r="K46" s="3163"/>
      <c r="M46" s="3163"/>
    </row>
    <row r="47" spans="1:13" ht="16.5">
      <c r="A47" s="3170">
        <v>45</v>
      </c>
      <c r="B47" s="3171" t="s">
        <v>3541</v>
      </c>
      <c r="C47" s="3172" t="s">
        <v>3395</v>
      </c>
      <c r="D47" s="3174" t="s">
        <v>3546</v>
      </c>
      <c r="E47" s="3172" t="s">
        <v>3547</v>
      </c>
      <c r="F47" s="3171">
        <v>1</v>
      </c>
      <c r="G47" s="3171">
        <v>201</v>
      </c>
      <c r="H47" s="3174">
        <v>273.05</v>
      </c>
      <c r="I47" s="3175">
        <v>33371488.379999999</v>
      </c>
      <c r="J47" s="3176" t="s">
        <v>3453</v>
      </c>
      <c r="K47" s="3163"/>
      <c r="M47" s="3163"/>
    </row>
    <row r="48" spans="1:13" ht="16.5">
      <c r="A48" s="3170">
        <v>46</v>
      </c>
      <c r="B48" s="3171" t="s">
        <v>3541</v>
      </c>
      <c r="C48" s="3172" t="s">
        <v>3395</v>
      </c>
      <c r="D48" s="3174" t="s">
        <v>3548</v>
      </c>
      <c r="E48" s="3172" t="s">
        <v>3549</v>
      </c>
      <c r="F48" s="3171">
        <v>1</v>
      </c>
      <c r="G48" s="3171">
        <v>202</v>
      </c>
      <c r="H48" s="3174">
        <v>271.88</v>
      </c>
      <c r="I48" s="3175">
        <v>32297168.960000001</v>
      </c>
      <c r="J48" s="3176" t="s">
        <v>3453</v>
      </c>
      <c r="K48" s="3163"/>
      <c r="M48" s="3163"/>
    </row>
    <row r="49" spans="1:13" ht="16.5">
      <c r="A49" s="3170">
        <v>47</v>
      </c>
      <c r="B49" s="3171" t="s">
        <v>3541</v>
      </c>
      <c r="C49" s="3172" t="s">
        <v>3395</v>
      </c>
      <c r="D49" s="3173" t="s">
        <v>3550</v>
      </c>
      <c r="E49" s="3172" t="s">
        <v>3551</v>
      </c>
      <c r="F49" s="3171">
        <v>1</v>
      </c>
      <c r="G49" s="3171">
        <v>301</v>
      </c>
      <c r="H49" s="3174">
        <v>273.05</v>
      </c>
      <c r="I49" s="3175">
        <v>34736738.380000003</v>
      </c>
      <c r="J49" s="3176" t="s">
        <v>3453</v>
      </c>
      <c r="K49" s="3163"/>
      <c r="M49" s="3163"/>
    </row>
    <row r="50" spans="1:13" ht="16.5">
      <c r="A50" s="3170">
        <v>48</v>
      </c>
      <c r="B50" s="3171" t="s">
        <v>3541</v>
      </c>
      <c r="C50" s="3172" t="s">
        <v>3395</v>
      </c>
      <c r="D50" s="3174" t="s">
        <v>3552</v>
      </c>
      <c r="E50" s="3172" t="s">
        <v>3553</v>
      </c>
      <c r="F50" s="3171">
        <v>1</v>
      </c>
      <c r="G50" s="3171">
        <v>302</v>
      </c>
      <c r="H50" s="3174">
        <v>271.88</v>
      </c>
      <c r="I50" s="3175">
        <v>33656568.960000001</v>
      </c>
      <c r="J50" s="3176" t="s">
        <v>3453</v>
      </c>
      <c r="K50" s="3163"/>
      <c r="M50" s="3163"/>
    </row>
    <row r="51" spans="1:13" ht="16.5">
      <c r="A51" s="3170">
        <v>49</v>
      </c>
      <c r="B51" s="3171" t="s">
        <v>3541</v>
      </c>
      <c r="C51" s="3172" t="s">
        <v>3395</v>
      </c>
      <c r="D51" s="3174" t="s">
        <v>3554</v>
      </c>
      <c r="E51" s="3172" t="s">
        <v>3555</v>
      </c>
      <c r="F51" s="3171">
        <v>1</v>
      </c>
      <c r="G51" s="3171">
        <v>402</v>
      </c>
      <c r="H51" s="3174">
        <v>271.88</v>
      </c>
      <c r="I51" s="3175">
        <v>33384688.960000001</v>
      </c>
      <c r="J51" s="3176" t="s">
        <v>3453</v>
      </c>
      <c r="K51" s="3163"/>
      <c r="M51" s="3163"/>
    </row>
    <row r="52" spans="1:13" ht="16.5">
      <c r="A52" s="3170">
        <v>50</v>
      </c>
      <c r="B52" s="3171" t="s">
        <v>3541</v>
      </c>
      <c r="C52" s="3172" t="s">
        <v>3395</v>
      </c>
      <c r="D52" s="3173" t="s">
        <v>3556</v>
      </c>
      <c r="E52" s="3172" t="s">
        <v>3557</v>
      </c>
      <c r="F52" s="3171">
        <v>2</v>
      </c>
      <c r="G52" s="3171">
        <v>101</v>
      </c>
      <c r="H52" s="3174">
        <v>271.81</v>
      </c>
      <c r="I52" s="3175">
        <v>32017043.52</v>
      </c>
      <c r="J52" s="3176" t="s">
        <v>3453</v>
      </c>
      <c r="K52" s="3163"/>
      <c r="M52" s="3163"/>
    </row>
    <row r="53" spans="1:13" ht="16.5">
      <c r="A53" s="3170">
        <v>51</v>
      </c>
      <c r="B53" s="3171" t="s">
        <v>3541</v>
      </c>
      <c r="C53" s="3172" t="s">
        <v>3395</v>
      </c>
      <c r="D53" s="3173" t="s">
        <v>3558</v>
      </c>
      <c r="E53" s="3172" t="s">
        <v>3559</v>
      </c>
      <c r="F53" s="3171">
        <v>2</v>
      </c>
      <c r="G53" s="3171">
        <v>102</v>
      </c>
      <c r="H53" s="3174">
        <v>272.99</v>
      </c>
      <c r="I53" s="3175">
        <v>33558731.68</v>
      </c>
      <c r="J53" s="3176" t="s">
        <v>3453</v>
      </c>
      <c r="K53" s="3163"/>
      <c r="M53" s="3163"/>
    </row>
    <row r="54" spans="1:13" ht="16.5">
      <c r="A54" s="3170">
        <v>52</v>
      </c>
      <c r="B54" s="3171" t="s">
        <v>3541</v>
      </c>
      <c r="C54" s="3172" t="s">
        <v>3395</v>
      </c>
      <c r="D54" s="3174" t="s">
        <v>3560</v>
      </c>
      <c r="E54" s="3172" t="s">
        <v>3561</v>
      </c>
      <c r="F54" s="3171">
        <v>2</v>
      </c>
      <c r="G54" s="3171">
        <v>201</v>
      </c>
      <c r="H54" s="3174">
        <v>271.88</v>
      </c>
      <c r="I54" s="3175">
        <v>32297168.960000001</v>
      </c>
      <c r="J54" s="3176" t="s">
        <v>3453</v>
      </c>
      <c r="K54" s="3163"/>
      <c r="M54" s="3163"/>
    </row>
    <row r="55" spans="1:13" ht="16.5">
      <c r="A55" s="3170">
        <v>53</v>
      </c>
      <c r="B55" s="3171" t="s">
        <v>3541</v>
      </c>
      <c r="C55" s="3172" t="s">
        <v>3395</v>
      </c>
      <c r="D55" s="3173" t="s">
        <v>3562</v>
      </c>
      <c r="E55" s="3172" t="s">
        <v>3563</v>
      </c>
      <c r="F55" s="3171">
        <v>2</v>
      </c>
      <c r="G55" s="3171">
        <v>301</v>
      </c>
      <c r="H55" s="3174">
        <v>271.88</v>
      </c>
      <c r="I55" s="3175">
        <v>33656568.960000001</v>
      </c>
      <c r="J55" s="3176" t="s">
        <v>3453</v>
      </c>
      <c r="K55" s="3163"/>
      <c r="M55" s="3163"/>
    </row>
    <row r="56" spans="1:13" ht="16.5">
      <c r="A56" s="3170">
        <v>54</v>
      </c>
      <c r="B56" s="3171" t="s">
        <v>3541</v>
      </c>
      <c r="C56" s="3172" t="s">
        <v>3395</v>
      </c>
      <c r="D56" s="3174" t="s">
        <v>3564</v>
      </c>
      <c r="E56" s="3172" t="s">
        <v>3565</v>
      </c>
      <c r="F56" s="3171">
        <v>2</v>
      </c>
      <c r="G56" s="3171">
        <v>401</v>
      </c>
      <c r="H56" s="3174">
        <v>271.88</v>
      </c>
      <c r="I56" s="3175">
        <v>33384688.960000001</v>
      </c>
      <c r="J56" s="3176" t="s">
        <v>3453</v>
      </c>
      <c r="K56" s="3163"/>
      <c r="M56" s="3163"/>
    </row>
    <row r="57" spans="1:13" ht="16.5">
      <c r="A57" s="3170">
        <v>55</v>
      </c>
      <c r="B57" s="3171" t="s">
        <v>3566</v>
      </c>
      <c r="C57" s="3172" t="s">
        <v>3395</v>
      </c>
      <c r="D57" s="3174" t="s">
        <v>3567</v>
      </c>
      <c r="E57" s="3172" t="s">
        <v>3568</v>
      </c>
      <c r="F57" s="3171">
        <v>1</v>
      </c>
      <c r="G57" s="3171">
        <v>202</v>
      </c>
      <c r="H57" s="3174">
        <v>230.81</v>
      </c>
      <c r="I57" s="3175">
        <v>27089361.870000001</v>
      </c>
      <c r="J57" s="3176" t="s">
        <v>3453</v>
      </c>
      <c r="K57" s="3163"/>
      <c r="M57" s="3163"/>
    </row>
    <row r="58" spans="1:13" ht="16.5">
      <c r="A58" s="3170">
        <v>56</v>
      </c>
      <c r="B58" s="3171" t="s">
        <v>3566</v>
      </c>
      <c r="C58" s="3172" t="s">
        <v>3395</v>
      </c>
      <c r="D58" s="3173" t="s">
        <v>3569</v>
      </c>
      <c r="E58" s="3172" t="s">
        <v>3570</v>
      </c>
      <c r="F58" s="3171">
        <v>1</v>
      </c>
      <c r="G58" s="3171">
        <v>301</v>
      </c>
      <c r="H58" s="3174">
        <v>230.81</v>
      </c>
      <c r="I58" s="3175">
        <v>29034051.52</v>
      </c>
      <c r="J58" s="3176" t="s">
        <v>3464</v>
      </c>
      <c r="K58" s="3163"/>
      <c r="M58" s="3163"/>
    </row>
    <row r="59" spans="1:13" ht="16.5">
      <c r="A59" s="3170">
        <v>57</v>
      </c>
      <c r="B59" s="3171" t="s">
        <v>3566</v>
      </c>
      <c r="C59" s="3172" t="s">
        <v>3395</v>
      </c>
      <c r="D59" s="3174" t="s">
        <v>3571</v>
      </c>
      <c r="E59" s="3172" t="s">
        <v>3572</v>
      </c>
      <c r="F59" s="3171">
        <v>1</v>
      </c>
      <c r="G59" s="3171">
        <v>302</v>
      </c>
      <c r="H59" s="3174">
        <v>230.81</v>
      </c>
      <c r="I59" s="3175">
        <v>28243411.870000001</v>
      </c>
      <c r="J59" s="3176" t="s">
        <v>3453</v>
      </c>
      <c r="K59" s="3163"/>
      <c r="M59" s="3163"/>
    </row>
    <row r="60" spans="1:13" ht="16.5">
      <c r="A60" s="3170">
        <v>58</v>
      </c>
      <c r="B60" s="3171" t="s">
        <v>3573</v>
      </c>
      <c r="C60" s="3172" t="s">
        <v>3395</v>
      </c>
      <c r="D60" s="3174" t="s">
        <v>3574</v>
      </c>
      <c r="E60" s="3172" t="s">
        <v>3575</v>
      </c>
      <c r="F60" s="3171">
        <v>1</v>
      </c>
      <c r="G60" s="3171">
        <v>102</v>
      </c>
      <c r="H60" s="3174">
        <v>272.83</v>
      </c>
      <c r="I60" s="3175">
        <v>32266831.989999998</v>
      </c>
      <c r="J60" s="3176" t="s">
        <v>3453</v>
      </c>
      <c r="K60" s="3163"/>
      <c r="M60" s="3163"/>
    </row>
    <row r="61" spans="1:13" ht="16.5">
      <c r="A61" s="3170">
        <v>59</v>
      </c>
      <c r="B61" s="3171" t="s">
        <v>3573</v>
      </c>
      <c r="C61" s="3172" t="s">
        <v>3395</v>
      </c>
      <c r="D61" s="3174" t="s">
        <v>3576</v>
      </c>
      <c r="E61" s="3172" t="s">
        <v>3577</v>
      </c>
      <c r="F61" s="3171">
        <v>1</v>
      </c>
      <c r="G61" s="3171">
        <v>402</v>
      </c>
      <c r="H61" s="3174">
        <v>272.89</v>
      </c>
      <c r="I61" s="3175">
        <v>33638378.020000003</v>
      </c>
      <c r="J61" s="3176" t="s">
        <v>3469</v>
      </c>
      <c r="K61" s="3163"/>
      <c r="M61" s="3163"/>
    </row>
    <row r="62" spans="1:13" ht="16.5">
      <c r="A62" s="3170">
        <v>60</v>
      </c>
      <c r="B62" s="3171" t="s">
        <v>3578</v>
      </c>
      <c r="C62" s="3172" t="s">
        <v>3395</v>
      </c>
      <c r="D62" s="3173" t="s">
        <v>3579</v>
      </c>
      <c r="E62" s="3172" t="s">
        <v>3580</v>
      </c>
      <c r="F62" s="3171">
        <v>1</v>
      </c>
      <c r="G62" s="3171">
        <v>101</v>
      </c>
      <c r="H62" s="3174">
        <v>272.91000000000003</v>
      </c>
      <c r="I62" s="3175">
        <v>32535647.93</v>
      </c>
      <c r="J62" s="3176" t="s">
        <v>3453</v>
      </c>
      <c r="K62" s="3163"/>
      <c r="M62" s="3163"/>
    </row>
    <row r="63" spans="1:13" ht="16.5">
      <c r="A63" s="3170">
        <v>61</v>
      </c>
      <c r="B63" s="3171" t="s">
        <v>3578</v>
      </c>
      <c r="C63" s="3172" t="s">
        <v>3395</v>
      </c>
      <c r="D63" s="3173" t="s">
        <v>3581</v>
      </c>
      <c r="E63" s="3172" t="s">
        <v>3582</v>
      </c>
      <c r="F63" s="3171">
        <v>1</v>
      </c>
      <c r="G63" s="3171">
        <v>102</v>
      </c>
      <c r="H63" s="3174">
        <v>271.69</v>
      </c>
      <c r="I63" s="3175">
        <v>32390205.289999999</v>
      </c>
      <c r="J63" s="3176" t="s">
        <v>3453</v>
      </c>
      <c r="K63" s="3163"/>
      <c r="M63" s="3163"/>
    </row>
    <row r="64" spans="1:13" ht="16.5">
      <c r="A64" s="3170">
        <v>62</v>
      </c>
      <c r="B64" s="3171" t="s">
        <v>3578</v>
      </c>
      <c r="C64" s="3172" t="s">
        <v>3395</v>
      </c>
      <c r="D64" s="3173" t="s">
        <v>3583</v>
      </c>
      <c r="E64" s="3172" t="s">
        <v>3584</v>
      </c>
      <c r="F64" s="3171">
        <v>1</v>
      </c>
      <c r="G64" s="3171">
        <v>201</v>
      </c>
      <c r="H64" s="3174">
        <v>272.97000000000003</v>
      </c>
      <c r="I64" s="3175">
        <v>32815770.98</v>
      </c>
      <c r="J64" s="3176" t="s">
        <v>3453</v>
      </c>
      <c r="K64" s="3163"/>
      <c r="M64" s="3163"/>
    </row>
    <row r="65" spans="1:13" ht="16.5">
      <c r="A65" s="3170">
        <v>63</v>
      </c>
      <c r="B65" s="3171" t="s">
        <v>3578</v>
      </c>
      <c r="C65" s="3172" t="s">
        <v>3395</v>
      </c>
      <c r="D65" s="3173" t="s">
        <v>3585</v>
      </c>
      <c r="E65" s="3172" t="s">
        <v>3586</v>
      </c>
      <c r="F65" s="3171">
        <v>1</v>
      </c>
      <c r="G65" s="3171">
        <v>202</v>
      </c>
      <c r="H65" s="3174">
        <v>271.75</v>
      </c>
      <c r="I65" s="3175">
        <v>32669108.34</v>
      </c>
      <c r="J65" s="3176" t="s">
        <v>3453</v>
      </c>
      <c r="K65" s="3163"/>
      <c r="M65" s="3163"/>
    </row>
    <row r="66" spans="1:13" ht="16.5">
      <c r="A66" s="3170">
        <v>64</v>
      </c>
      <c r="B66" s="3171" t="s">
        <v>3578</v>
      </c>
      <c r="C66" s="3172" t="s">
        <v>3395</v>
      </c>
      <c r="D66" s="3173" t="s">
        <v>3587</v>
      </c>
      <c r="E66" s="3172" t="s">
        <v>3588</v>
      </c>
      <c r="F66" s="3171">
        <v>1</v>
      </c>
      <c r="G66" s="3171">
        <v>301</v>
      </c>
      <c r="H66" s="3174">
        <v>272.97000000000003</v>
      </c>
      <c r="I66" s="3175">
        <v>34180620.979999997</v>
      </c>
      <c r="J66" s="3176" t="s">
        <v>3453</v>
      </c>
      <c r="K66" s="3163"/>
      <c r="M66" s="3163"/>
    </row>
    <row r="67" spans="1:13" ht="16.5">
      <c r="A67" s="3170">
        <v>65</v>
      </c>
      <c r="B67" s="3171" t="s">
        <v>3578</v>
      </c>
      <c r="C67" s="3172" t="s">
        <v>3395</v>
      </c>
      <c r="D67" s="3173" t="s">
        <v>3589</v>
      </c>
      <c r="E67" s="3172" t="s">
        <v>3590</v>
      </c>
      <c r="F67" s="3171">
        <v>1</v>
      </c>
      <c r="G67" s="3171">
        <v>401</v>
      </c>
      <c r="H67" s="3174">
        <v>272.97000000000003</v>
      </c>
      <c r="I67" s="3175">
        <v>33907650.979999997</v>
      </c>
      <c r="J67" s="3176" t="s">
        <v>3453</v>
      </c>
      <c r="K67" s="3163"/>
      <c r="M67" s="3163"/>
    </row>
    <row r="68" spans="1:13" ht="16.5">
      <c r="A68" s="3170">
        <v>66</v>
      </c>
      <c r="B68" s="3171" t="s">
        <v>3578</v>
      </c>
      <c r="C68" s="3172" t="s">
        <v>3395</v>
      </c>
      <c r="D68" s="3173" t="s">
        <v>3591</v>
      </c>
      <c r="E68" s="3172" t="s">
        <v>3592</v>
      </c>
      <c r="F68" s="3171">
        <v>2</v>
      </c>
      <c r="G68" s="3171">
        <v>101</v>
      </c>
      <c r="H68" s="3174">
        <v>271.69</v>
      </c>
      <c r="I68" s="3175">
        <v>32583852.34</v>
      </c>
      <c r="J68" s="3176" t="s">
        <v>3453</v>
      </c>
      <c r="K68" s="3163"/>
      <c r="M68" s="3163"/>
    </row>
    <row r="69" spans="1:13" ht="16.5">
      <c r="A69" s="3170">
        <v>67</v>
      </c>
      <c r="B69" s="3171" t="s">
        <v>3578</v>
      </c>
      <c r="C69" s="3172" t="s">
        <v>3395</v>
      </c>
      <c r="D69" s="3173" t="s">
        <v>3593</v>
      </c>
      <c r="E69" s="3172" t="s">
        <v>3594</v>
      </c>
      <c r="F69" s="3171">
        <v>2</v>
      </c>
      <c r="G69" s="3171">
        <v>102</v>
      </c>
      <c r="H69" s="3174">
        <v>272.86</v>
      </c>
      <c r="I69" s="3175">
        <v>34126193.640000001</v>
      </c>
      <c r="J69" s="3176" t="s">
        <v>3453</v>
      </c>
      <c r="K69" s="3163"/>
      <c r="M69" s="3163"/>
    </row>
    <row r="70" spans="1:13" ht="16.5">
      <c r="A70" s="3170">
        <v>68</v>
      </c>
      <c r="B70" s="3171" t="s">
        <v>3578</v>
      </c>
      <c r="C70" s="3172" t="s">
        <v>3395</v>
      </c>
      <c r="D70" s="3173" t="s">
        <v>3595</v>
      </c>
      <c r="E70" s="3172" t="s">
        <v>3596</v>
      </c>
      <c r="F70" s="3171">
        <v>2</v>
      </c>
      <c r="G70" s="3171">
        <v>202</v>
      </c>
      <c r="H70" s="3174">
        <v>272.92</v>
      </c>
      <c r="I70" s="3175">
        <v>34406617.75</v>
      </c>
      <c r="J70" s="3176" t="s">
        <v>3469</v>
      </c>
      <c r="K70" s="3163"/>
      <c r="M70" s="3163"/>
    </row>
    <row r="71" spans="1:13" ht="16.5">
      <c r="A71" s="3170">
        <v>69</v>
      </c>
      <c r="B71" s="3171" t="s">
        <v>3597</v>
      </c>
      <c r="C71" s="3172" t="s">
        <v>3395</v>
      </c>
      <c r="D71" s="3173" t="s">
        <v>3598</v>
      </c>
      <c r="E71" s="3172" t="s">
        <v>3599</v>
      </c>
      <c r="F71" s="3171">
        <v>2</v>
      </c>
      <c r="G71" s="3171">
        <v>101</v>
      </c>
      <c r="H71" s="3174">
        <v>168.06</v>
      </c>
      <c r="I71" s="3175">
        <v>19739502.43</v>
      </c>
      <c r="J71" s="3176" t="s">
        <v>3453</v>
      </c>
      <c r="K71" s="3163"/>
      <c r="M71" s="3163"/>
    </row>
    <row r="72" spans="1:13" ht="16.5">
      <c r="A72" s="3170">
        <v>70</v>
      </c>
      <c r="B72" s="3171" t="s">
        <v>3597</v>
      </c>
      <c r="C72" s="3172" t="s">
        <v>3395</v>
      </c>
      <c r="D72" s="3173" t="s">
        <v>3600</v>
      </c>
      <c r="E72" s="3172" t="s">
        <v>3601</v>
      </c>
      <c r="F72" s="3171">
        <v>3</v>
      </c>
      <c r="G72" s="3171">
        <v>101</v>
      </c>
      <c r="H72" s="3174">
        <v>168.06</v>
      </c>
      <c r="I72" s="3175">
        <v>18764527.539999999</v>
      </c>
      <c r="J72" s="3176" t="s">
        <v>3453</v>
      </c>
      <c r="K72" s="3163"/>
      <c r="M72" s="3163"/>
    </row>
    <row r="73" spans="1:13" ht="16.5">
      <c r="A73" s="3170">
        <v>71</v>
      </c>
      <c r="B73" s="3171" t="s">
        <v>3597</v>
      </c>
      <c r="C73" s="3172" t="s">
        <v>3395</v>
      </c>
      <c r="D73" s="3173" t="s">
        <v>3602</v>
      </c>
      <c r="E73" s="3172" t="s">
        <v>3603</v>
      </c>
      <c r="F73" s="3171">
        <v>3</v>
      </c>
      <c r="G73" s="3171">
        <v>102</v>
      </c>
      <c r="H73" s="3174">
        <v>192.5</v>
      </c>
      <c r="I73" s="3175">
        <v>22289960</v>
      </c>
      <c r="J73" s="3176" t="s">
        <v>3453</v>
      </c>
      <c r="K73" s="3163"/>
      <c r="M73" s="3163"/>
    </row>
    <row r="74" spans="1:13" ht="16.5">
      <c r="A74" s="3170">
        <v>72</v>
      </c>
      <c r="B74" s="3171" t="s">
        <v>3597</v>
      </c>
      <c r="C74" s="3172" t="s">
        <v>3395</v>
      </c>
      <c r="D74" s="3173" t="s">
        <v>3604</v>
      </c>
      <c r="E74" s="3172" t="s">
        <v>3605</v>
      </c>
      <c r="F74" s="3171">
        <v>3</v>
      </c>
      <c r="G74" s="3171">
        <v>202</v>
      </c>
      <c r="H74" s="3174">
        <v>192.53</v>
      </c>
      <c r="I74" s="3175">
        <v>22871023.760000002</v>
      </c>
      <c r="J74" s="3176" t="s">
        <v>3453</v>
      </c>
      <c r="K74" s="3163"/>
      <c r="M74" s="3163"/>
    </row>
    <row r="75" spans="1:13" ht="16.5">
      <c r="A75" s="3170">
        <v>73</v>
      </c>
      <c r="B75" s="3171" t="s">
        <v>3606</v>
      </c>
      <c r="C75" s="3172" t="s">
        <v>3395</v>
      </c>
      <c r="D75" s="3173" t="s">
        <v>3607</v>
      </c>
      <c r="E75" s="3172" t="s">
        <v>3608</v>
      </c>
      <c r="F75" s="3171">
        <v>1</v>
      </c>
      <c r="G75" s="3171">
        <v>101</v>
      </c>
      <c r="H75" s="3174">
        <v>272.91000000000003</v>
      </c>
      <c r="I75" s="3175">
        <v>33470503.859999999</v>
      </c>
      <c r="J75" s="3176" t="s">
        <v>3453</v>
      </c>
      <c r="K75" s="3163"/>
      <c r="M75" s="3163"/>
    </row>
    <row r="76" spans="1:13" ht="16.5">
      <c r="A76" s="3170">
        <v>74</v>
      </c>
      <c r="B76" s="3171" t="s">
        <v>3606</v>
      </c>
      <c r="C76" s="3172" t="s">
        <v>3395</v>
      </c>
      <c r="D76" s="3173" t="s">
        <v>3609</v>
      </c>
      <c r="E76" s="3172" t="s">
        <v>3610</v>
      </c>
      <c r="F76" s="3171">
        <v>1</v>
      </c>
      <c r="G76" s="3171">
        <v>102</v>
      </c>
      <c r="H76" s="3174">
        <v>271.73</v>
      </c>
      <c r="I76" s="3175">
        <v>32394971.280000001</v>
      </c>
      <c r="J76" s="3176" t="s">
        <v>3453</v>
      </c>
      <c r="K76" s="3163"/>
      <c r="M76" s="3163"/>
    </row>
    <row r="77" spans="1:13" ht="16.5">
      <c r="A77" s="3170">
        <v>75</v>
      </c>
      <c r="B77" s="3171" t="s">
        <v>3606</v>
      </c>
      <c r="C77" s="3172" t="s">
        <v>3395</v>
      </c>
      <c r="D77" s="3173" t="s">
        <v>3611</v>
      </c>
      <c r="E77" s="3172" t="s">
        <v>3612</v>
      </c>
      <c r="F77" s="3171">
        <v>1</v>
      </c>
      <c r="G77" s="3171">
        <v>202</v>
      </c>
      <c r="H77" s="3174">
        <v>271.8</v>
      </c>
      <c r="I77" s="3175">
        <v>32675119.219999999</v>
      </c>
      <c r="J77" s="3176" t="s">
        <v>3453</v>
      </c>
      <c r="K77" s="3163"/>
      <c r="M77" s="3163"/>
    </row>
    <row r="78" spans="1:13" ht="16.5">
      <c r="A78" s="3170">
        <v>76</v>
      </c>
      <c r="B78" s="3171" t="s">
        <v>3606</v>
      </c>
      <c r="C78" s="3172" t="s">
        <v>3395</v>
      </c>
      <c r="D78" s="3173" t="s">
        <v>3613</v>
      </c>
      <c r="E78" s="3172" t="s">
        <v>3614</v>
      </c>
      <c r="F78" s="3171">
        <v>1</v>
      </c>
      <c r="G78" s="3171">
        <v>402</v>
      </c>
      <c r="H78" s="3174">
        <v>271.8</v>
      </c>
      <c r="I78" s="3175">
        <v>33762319.219999999</v>
      </c>
      <c r="J78" s="3176" t="s">
        <v>3453</v>
      </c>
      <c r="K78" s="3163"/>
      <c r="M78" s="3163"/>
    </row>
    <row r="79" spans="1:13" ht="16.5">
      <c r="A79" s="3170">
        <v>77</v>
      </c>
      <c r="B79" s="3171" t="s">
        <v>3606</v>
      </c>
      <c r="C79" s="3172" t="s">
        <v>3395</v>
      </c>
      <c r="D79" s="3173" t="s">
        <v>3615</v>
      </c>
      <c r="E79" s="3172" t="s">
        <v>3616</v>
      </c>
      <c r="F79" s="3171">
        <v>2</v>
      </c>
      <c r="G79" s="3171">
        <v>101</v>
      </c>
      <c r="H79" s="3174">
        <v>271.73</v>
      </c>
      <c r="I79" s="3175">
        <v>32588646.829999998</v>
      </c>
      <c r="J79" s="3176" t="s">
        <v>3453</v>
      </c>
      <c r="K79" s="3163"/>
      <c r="M79" s="3163"/>
    </row>
    <row r="80" spans="1:13" ht="16.5">
      <c r="A80" s="3170">
        <v>78</v>
      </c>
      <c r="B80" s="3171" t="s">
        <v>3606</v>
      </c>
      <c r="C80" s="3172" t="s">
        <v>3395</v>
      </c>
      <c r="D80" s="3173" t="s">
        <v>3617</v>
      </c>
      <c r="E80" s="3172" t="s">
        <v>3618</v>
      </c>
      <c r="F80" s="3171">
        <v>2</v>
      </c>
      <c r="G80" s="3171">
        <v>201</v>
      </c>
      <c r="H80" s="3174">
        <v>271.8</v>
      </c>
      <c r="I80" s="3175">
        <v>32868844.670000002</v>
      </c>
      <c r="J80" s="3176" t="s">
        <v>3453</v>
      </c>
      <c r="K80" s="3163"/>
      <c r="M80" s="3163"/>
    </row>
    <row r="81" spans="1:13" ht="16.5">
      <c r="A81" s="3170">
        <v>79</v>
      </c>
      <c r="B81" s="3171" t="s">
        <v>3619</v>
      </c>
      <c r="C81" s="3172" t="s">
        <v>3395</v>
      </c>
      <c r="D81" s="3173" t="s">
        <v>3620</v>
      </c>
      <c r="E81" s="3172" t="s">
        <v>3621</v>
      </c>
      <c r="F81" s="3171">
        <v>1</v>
      </c>
      <c r="G81" s="3171">
        <v>102</v>
      </c>
      <c r="H81" s="3174">
        <v>161.83000000000001</v>
      </c>
      <c r="I81" s="3175">
        <v>18772224</v>
      </c>
      <c r="J81" s="3176" t="s">
        <v>3453</v>
      </c>
      <c r="K81" s="3163"/>
      <c r="M81" s="3163"/>
    </row>
    <row r="82" spans="1:13" ht="16.5">
      <c r="A82" s="3170">
        <v>80</v>
      </c>
      <c r="B82" s="3171" t="s">
        <v>3619</v>
      </c>
      <c r="C82" s="3172" t="s">
        <v>3395</v>
      </c>
      <c r="D82" s="3173" t="s">
        <v>3622</v>
      </c>
      <c r="E82" s="3172" t="s">
        <v>3623</v>
      </c>
      <c r="F82" s="3171">
        <v>1</v>
      </c>
      <c r="G82" s="3171">
        <v>301</v>
      </c>
      <c r="H82" s="3174">
        <v>192.55</v>
      </c>
      <c r="I82" s="3175">
        <v>24346984</v>
      </c>
      <c r="J82" s="3176" t="s">
        <v>3453</v>
      </c>
      <c r="K82" s="3163"/>
      <c r="M82" s="3163"/>
    </row>
    <row r="83" spans="1:13" ht="16.5">
      <c r="A83" s="3170">
        <v>81</v>
      </c>
      <c r="B83" s="3171" t="s">
        <v>3619</v>
      </c>
      <c r="C83" s="3172" t="s">
        <v>3395</v>
      </c>
      <c r="D83" s="3173" t="s">
        <v>3624</v>
      </c>
      <c r="E83" s="3172" t="s">
        <v>3625</v>
      </c>
      <c r="F83" s="3171">
        <v>1</v>
      </c>
      <c r="G83" s="3171">
        <v>402</v>
      </c>
      <c r="H83" s="3174">
        <v>184.49</v>
      </c>
      <c r="I83" s="3175">
        <v>22692207</v>
      </c>
      <c r="J83" s="3176" t="s">
        <v>3469</v>
      </c>
      <c r="K83" s="3163"/>
      <c r="M83" s="3163"/>
    </row>
    <row r="84" spans="1:13" ht="16.5">
      <c r="A84" s="3170">
        <v>82</v>
      </c>
      <c r="B84" s="3171" t="s">
        <v>3619</v>
      </c>
      <c r="C84" s="3172" t="s">
        <v>3395</v>
      </c>
      <c r="D84" s="3173" t="s">
        <v>3626</v>
      </c>
      <c r="E84" s="3172" t="s">
        <v>3627</v>
      </c>
      <c r="F84" s="3171">
        <v>2</v>
      </c>
      <c r="G84" s="3171">
        <v>101</v>
      </c>
      <c r="H84" s="3174">
        <v>161.83000000000001</v>
      </c>
      <c r="I84" s="3175">
        <v>18772224</v>
      </c>
      <c r="J84" s="3176" t="s">
        <v>3453</v>
      </c>
      <c r="K84" s="3163"/>
      <c r="M84" s="3163"/>
    </row>
    <row r="85" spans="1:13" ht="16.5">
      <c r="A85" s="3170">
        <v>83</v>
      </c>
      <c r="B85" s="3171" t="s">
        <v>3619</v>
      </c>
      <c r="C85" s="3172" t="s">
        <v>3395</v>
      </c>
      <c r="D85" s="3173" t="s">
        <v>3628</v>
      </c>
      <c r="E85" s="3172" t="s">
        <v>3629</v>
      </c>
      <c r="F85" s="3171">
        <v>2</v>
      </c>
      <c r="G85" s="3171">
        <v>102</v>
      </c>
      <c r="H85" s="3174">
        <v>184.45</v>
      </c>
      <c r="I85" s="3175">
        <v>21396137</v>
      </c>
      <c r="J85" s="3176" t="s">
        <v>3453</v>
      </c>
      <c r="K85" s="3163"/>
      <c r="M85" s="3163"/>
    </row>
    <row r="86" spans="1:13" ht="16.5">
      <c r="A86" s="3170">
        <v>84</v>
      </c>
      <c r="B86" s="3171" t="s">
        <v>3619</v>
      </c>
      <c r="C86" s="3172" t="s">
        <v>3395</v>
      </c>
      <c r="D86" s="3173" t="s">
        <v>3630</v>
      </c>
      <c r="E86" s="3172" t="s">
        <v>3631</v>
      </c>
      <c r="F86" s="3171">
        <v>2</v>
      </c>
      <c r="G86" s="3171">
        <v>302</v>
      </c>
      <c r="H86" s="3174">
        <v>184.49</v>
      </c>
      <c r="I86" s="3175">
        <v>22876697</v>
      </c>
      <c r="J86" s="3176" t="s">
        <v>3453</v>
      </c>
      <c r="K86" s="3163"/>
      <c r="M86" s="3163"/>
    </row>
    <row r="87" spans="1:13" ht="16.5">
      <c r="A87" s="3170">
        <v>85</v>
      </c>
      <c r="B87" s="3171" t="s">
        <v>3619</v>
      </c>
      <c r="C87" s="3172" t="s">
        <v>3395</v>
      </c>
      <c r="D87" s="3173" t="s">
        <v>3632</v>
      </c>
      <c r="E87" s="3172" t="s">
        <v>3633</v>
      </c>
      <c r="F87" s="3171">
        <v>2</v>
      </c>
      <c r="G87" s="3171">
        <v>401</v>
      </c>
      <c r="H87" s="3174">
        <v>184.49</v>
      </c>
      <c r="I87" s="3175">
        <v>22692207</v>
      </c>
      <c r="J87" s="3176" t="s">
        <v>3469</v>
      </c>
      <c r="K87" s="3163"/>
      <c r="M87" s="3163"/>
    </row>
    <row r="88" spans="1:13" ht="16.5">
      <c r="A88" s="3170">
        <v>86</v>
      </c>
      <c r="B88" s="3171" t="s">
        <v>3619</v>
      </c>
      <c r="C88" s="3172" t="s">
        <v>3395</v>
      </c>
      <c r="D88" s="3173" t="s">
        <v>3634</v>
      </c>
      <c r="E88" s="3172" t="s">
        <v>3635</v>
      </c>
      <c r="F88" s="3171">
        <v>3</v>
      </c>
      <c r="G88" s="3171">
        <v>101</v>
      </c>
      <c r="H88" s="3174">
        <v>161.83000000000001</v>
      </c>
      <c r="I88" s="3175">
        <v>18772224</v>
      </c>
      <c r="J88" s="3176" t="s">
        <v>3453</v>
      </c>
      <c r="K88" s="3163"/>
      <c r="M88" s="3163"/>
    </row>
    <row r="89" spans="1:13" ht="16.5">
      <c r="A89" s="3170">
        <v>87</v>
      </c>
      <c r="B89" s="3171" t="s">
        <v>3619</v>
      </c>
      <c r="C89" s="3172" t="s">
        <v>3395</v>
      </c>
      <c r="D89" s="3173" t="s">
        <v>3636</v>
      </c>
      <c r="E89" s="3172" t="s">
        <v>3637</v>
      </c>
      <c r="F89" s="3171">
        <v>3</v>
      </c>
      <c r="G89" s="3171">
        <v>102</v>
      </c>
      <c r="H89" s="3174">
        <v>184.95</v>
      </c>
      <c r="I89" s="3175">
        <v>21454137</v>
      </c>
      <c r="J89" s="3176" t="s">
        <v>3453</v>
      </c>
      <c r="K89" s="3163"/>
      <c r="M89" s="3163"/>
    </row>
    <row r="90" spans="1:13" ht="16.5">
      <c r="A90" s="3170">
        <v>88</v>
      </c>
      <c r="B90" s="3171" t="s">
        <v>3619</v>
      </c>
      <c r="C90" s="3172" t="s">
        <v>3395</v>
      </c>
      <c r="D90" s="3173" t="s">
        <v>3638</v>
      </c>
      <c r="E90" s="3172" t="s">
        <v>3639</v>
      </c>
      <c r="F90" s="3171">
        <v>3</v>
      </c>
      <c r="G90" s="3171">
        <v>201</v>
      </c>
      <c r="H90" s="3174">
        <v>184.49</v>
      </c>
      <c r="I90" s="3175">
        <v>21954247</v>
      </c>
      <c r="J90" s="3176" t="s">
        <v>3453</v>
      </c>
      <c r="K90" s="3163"/>
      <c r="M90" s="3163"/>
    </row>
    <row r="91" spans="1:13" ht="16.5">
      <c r="A91" s="3170">
        <v>89</v>
      </c>
      <c r="B91" s="3171" t="s">
        <v>3619</v>
      </c>
      <c r="C91" s="3172" t="s">
        <v>3395</v>
      </c>
      <c r="D91" s="3173" t="s">
        <v>3640</v>
      </c>
      <c r="E91" s="3172" t="s">
        <v>3641</v>
      </c>
      <c r="F91" s="3171">
        <v>3</v>
      </c>
      <c r="G91" s="3171">
        <v>202</v>
      </c>
      <c r="H91" s="3174">
        <v>184.99</v>
      </c>
      <c r="I91" s="3175">
        <v>22013747</v>
      </c>
      <c r="J91" s="3176" t="s">
        <v>3453</v>
      </c>
      <c r="K91" s="3163"/>
      <c r="M91" s="3163"/>
    </row>
    <row r="92" spans="1:13" ht="16.5">
      <c r="A92" s="3170">
        <v>90</v>
      </c>
      <c r="B92" s="3171" t="s">
        <v>3619</v>
      </c>
      <c r="C92" s="3172" t="s">
        <v>3395</v>
      </c>
      <c r="D92" s="3173" t="s">
        <v>3642</v>
      </c>
      <c r="E92" s="3172" t="s">
        <v>3643</v>
      </c>
      <c r="F92" s="3171">
        <v>3</v>
      </c>
      <c r="G92" s="3171">
        <v>301</v>
      </c>
      <c r="H92" s="3174">
        <v>184.49</v>
      </c>
      <c r="I92" s="3175">
        <v>22876697</v>
      </c>
      <c r="J92" s="3176" t="s">
        <v>3453</v>
      </c>
      <c r="K92" s="3163"/>
      <c r="M92" s="3163"/>
    </row>
    <row r="93" spans="1:13" ht="16.5">
      <c r="A93" s="3170">
        <v>91</v>
      </c>
      <c r="B93" s="3171" t="s">
        <v>3619</v>
      </c>
      <c r="C93" s="3172" t="s">
        <v>3395</v>
      </c>
      <c r="D93" s="3173" t="s">
        <v>3644</v>
      </c>
      <c r="E93" s="3172" t="s">
        <v>3645</v>
      </c>
      <c r="F93" s="3171">
        <v>3</v>
      </c>
      <c r="G93" s="3171">
        <v>302</v>
      </c>
      <c r="H93" s="3174">
        <v>184.99</v>
      </c>
      <c r="I93" s="3175">
        <v>22938697</v>
      </c>
      <c r="J93" s="3176" t="s">
        <v>3469</v>
      </c>
      <c r="K93" s="3163"/>
      <c r="M93" s="3163"/>
    </row>
    <row r="94" spans="1:13" ht="16.5">
      <c r="A94" s="3170">
        <v>92</v>
      </c>
      <c r="B94" s="3171" t="s">
        <v>3619</v>
      </c>
      <c r="C94" s="3172" t="s">
        <v>3395</v>
      </c>
      <c r="D94" s="3173" t="s">
        <v>3646</v>
      </c>
      <c r="E94" s="3172" t="s">
        <v>3647</v>
      </c>
      <c r="F94" s="3171">
        <v>3</v>
      </c>
      <c r="G94" s="3171">
        <v>401</v>
      </c>
      <c r="H94" s="3174">
        <v>184.49</v>
      </c>
      <c r="I94" s="3175">
        <v>22692207</v>
      </c>
      <c r="J94" s="3176" t="s">
        <v>3453</v>
      </c>
      <c r="K94" s="3163"/>
      <c r="M94" s="3163"/>
    </row>
    <row r="95" spans="1:13" ht="16.5">
      <c r="A95" s="3170">
        <v>93</v>
      </c>
      <c r="B95" s="3171" t="s">
        <v>3648</v>
      </c>
      <c r="C95" s="3172" t="s">
        <v>3395</v>
      </c>
      <c r="D95" s="3173" t="s">
        <v>3649</v>
      </c>
      <c r="E95" s="3172" t="s">
        <v>3650</v>
      </c>
      <c r="F95" s="3171">
        <v>1</v>
      </c>
      <c r="G95" s="3171">
        <v>102</v>
      </c>
      <c r="H95" s="3174">
        <v>210.91</v>
      </c>
      <c r="I95" s="3175">
        <v>24331948.52</v>
      </c>
      <c r="J95" s="3176" t="s">
        <v>3453</v>
      </c>
      <c r="K95" s="3163"/>
      <c r="M95" s="3163"/>
    </row>
    <row r="96" spans="1:13" ht="16.5">
      <c r="A96" s="3170">
        <v>94</v>
      </c>
      <c r="B96" s="3171" t="s">
        <v>3648</v>
      </c>
      <c r="C96" s="3172" t="s">
        <v>3395</v>
      </c>
      <c r="D96" s="3173" t="s">
        <v>3651</v>
      </c>
      <c r="E96" s="3172" t="s">
        <v>3652</v>
      </c>
      <c r="F96" s="3171">
        <v>1</v>
      </c>
      <c r="G96" s="3171">
        <v>201</v>
      </c>
      <c r="H96" s="3174">
        <v>230.81</v>
      </c>
      <c r="I96" s="3175">
        <v>28044511.350000001</v>
      </c>
      <c r="J96" s="3176" t="s">
        <v>3469</v>
      </c>
      <c r="K96" s="3163"/>
      <c r="M96" s="3163"/>
    </row>
    <row r="97" spans="1:13" ht="16.5">
      <c r="A97" s="3170">
        <v>95</v>
      </c>
      <c r="B97" s="3171" t="s">
        <v>3648</v>
      </c>
      <c r="C97" s="3172" t="s">
        <v>3395</v>
      </c>
      <c r="D97" s="3173" t="s">
        <v>3653</v>
      </c>
      <c r="E97" s="3172" t="s">
        <v>3654</v>
      </c>
      <c r="F97" s="3171">
        <v>2</v>
      </c>
      <c r="G97" s="3171">
        <v>101</v>
      </c>
      <c r="H97" s="3174">
        <v>210.91</v>
      </c>
      <c r="I97" s="3175">
        <v>23248238.100000001</v>
      </c>
      <c r="J97" s="3176" t="s">
        <v>3453</v>
      </c>
      <c r="K97" s="3163"/>
      <c r="M97" s="3163"/>
    </row>
    <row r="98" spans="1:13" ht="16.5">
      <c r="A98" s="3170">
        <v>96</v>
      </c>
      <c r="B98" s="3171" t="s">
        <v>3648</v>
      </c>
      <c r="C98" s="3172" t="s">
        <v>3395</v>
      </c>
      <c r="D98" s="3173" t="s">
        <v>3655</v>
      </c>
      <c r="E98" s="3172" t="s">
        <v>3656</v>
      </c>
      <c r="F98" s="3171">
        <v>2</v>
      </c>
      <c r="G98" s="3171">
        <v>102</v>
      </c>
      <c r="H98" s="3174">
        <v>219.73</v>
      </c>
      <c r="I98" s="3175">
        <v>25286363.600000001</v>
      </c>
      <c r="J98" s="3176" t="s">
        <v>3453</v>
      </c>
      <c r="K98" s="3163"/>
      <c r="M98" s="3163"/>
    </row>
    <row r="99" spans="1:13" ht="16.5">
      <c r="A99" s="3170">
        <v>97</v>
      </c>
      <c r="B99" s="3171" t="s">
        <v>3648</v>
      </c>
      <c r="C99" s="3172" t="s">
        <v>3395</v>
      </c>
      <c r="D99" s="3173" t="s">
        <v>3657</v>
      </c>
      <c r="E99" s="3172" t="s">
        <v>3658</v>
      </c>
      <c r="F99" s="3171">
        <v>2</v>
      </c>
      <c r="G99" s="3171">
        <v>202</v>
      </c>
      <c r="H99" s="3174">
        <v>230.81</v>
      </c>
      <c r="I99" s="3175">
        <v>27253871.690000001</v>
      </c>
      <c r="J99" s="3176" t="s">
        <v>3453</v>
      </c>
      <c r="K99" s="3163"/>
      <c r="M99" s="3163"/>
    </row>
    <row r="100" spans="1:13" ht="16.5">
      <c r="A100" s="3170">
        <v>98</v>
      </c>
      <c r="B100" s="3171" t="s">
        <v>3648</v>
      </c>
      <c r="C100" s="3172" t="s">
        <v>3395</v>
      </c>
      <c r="D100" s="3173" t="s">
        <v>3659</v>
      </c>
      <c r="E100" s="3172" t="s">
        <v>3660</v>
      </c>
      <c r="F100" s="3171">
        <v>2</v>
      </c>
      <c r="G100" s="3171">
        <v>302</v>
      </c>
      <c r="H100" s="3174">
        <v>230.81</v>
      </c>
      <c r="I100" s="3175">
        <v>28407921.690000001</v>
      </c>
      <c r="J100" s="3176" t="s">
        <v>3453</v>
      </c>
      <c r="K100" s="3163"/>
      <c r="M100" s="3163"/>
    </row>
    <row r="101" spans="1:13" ht="16.5">
      <c r="A101" s="3170">
        <v>99</v>
      </c>
      <c r="B101" s="3171" t="s">
        <v>3661</v>
      </c>
      <c r="C101" s="3172" t="s">
        <v>3395</v>
      </c>
      <c r="D101" s="3173" t="s">
        <v>3662</v>
      </c>
      <c r="E101" s="3172" t="s">
        <v>3663</v>
      </c>
      <c r="F101" s="3171">
        <v>1</v>
      </c>
      <c r="G101" s="3171">
        <v>102</v>
      </c>
      <c r="H101" s="3174">
        <v>210.96</v>
      </c>
      <c r="I101" s="3175">
        <v>24899520.199999999</v>
      </c>
      <c r="J101" s="3176" t="s">
        <v>3453</v>
      </c>
      <c r="K101" s="3163"/>
      <c r="M101" s="3163"/>
    </row>
    <row r="102" spans="1:13" ht="16.5">
      <c r="A102" s="3170">
        <v>100</v>
      </c>
      <c r="B102" s="3171" t="s">
        <v>3661</v>
      </c>
      <c r="C102" s="3172" t="s">
        <v>3395</v>
      </c>
      <c r="D102" s="3173" t="s">
        <v>3664</v>
      </c>
      <c r="E102" s="3172" t="s">
        <v>3665</v>
      </c>
      <c r="F102" s="3171">
        <v>1</v>
      </c>
      <c r="G102" s="3171">
        <v>302</v>
      </c>
      <c r="H102" s="3174">
        <v>221.82</v>
      </c>
      <c r="I102" s="3175">
        <v>27512241.440000001</v>
      </c>
      <c r="J102" s="3176" t="s">
        <v>3469</v>
      </c>
      <c r="K102" s="3163"/>
      <c r="M102" s="3163"/>
    </row>
    <row r="103" spans="1:13" ht="16.5">
      <c r="A103" s="3170">
        <v>101</v>
      </c>
      <c r="B103" s="3171" t="s">
        <v>3661</v>
      </c>
      <c r="C103" s="3172" t="s">
        <v>3395</v>
      </c>
      <c r="D103" s="3173" t="s">
        <v>3666</v>
      </c>
      <c r="E103" s="3172" t="s">
        <v>3667</v>
      </c>
      <c r="F103" s="3171">
        <v>2</v>
      </c>
      <c r="G103" s="3171">
        <v>102</v>
      </c>
      <c r="H103" s="3174">
        <v>210.96</v>
      </c>
      <c r="I103" s="3175">
        <v>24448434.98</v>
      </c>
      <c r="J103" s="3176" t="s">
        <v>3453</v>
      </c>
      <c r="K103" s="3163"/>
      <c r="M103" s="3163"/>
    </row>
    <row r="104" spans="1:13" ht="16.5">
      <c r="A104" s="3170">
        <v>102</v>
      </c>
      <c r="B104" s="3171" t="s">
        <v>3668</v>
      </c>
      <c r="C104" s="3172" t="s">
        <v>3395</v>
      </c>
      <c r="D104" s="3173" t="s">
        <v>3669</v>
      </c>
      <c r="E104" s="3172" t="s">
        <v>3670</v>
      </c>
      <c r="F104" s="3171">
        <v>1</v>
      </c>
      <c r="G104" s="3171">
        <v>101</v>
      </c>
      <c r="H104" s="3174">
        <v>272.93</v>
      </c>
      <c r="I104" s="3175">
        <v>32654166.719999999</v>
      </c>
      <c r="J104" s="3176" t="s">
        <v>3453</v>
      </c>
      <c r="K104" s="3163"/>
      <c r="M104" s="3163"/>
    </row>
    <row r="105" spans="1:13" ht="16.5">
      <c r="A105" s="3170">
        <v>103</v>
      </c>
      <c r="B105" s="3171" t="s">
        <v>3668</v>
      </c>
      <c r="C105" s="3172" t="s">
        <v>3395</v>
      </c>
      <c r="D105" s="3173" t="s">
        <v>3671</v>
      </c>
      <c r="E105" s="3172" t="s">
        <v>3672</v>
      </c>
      <c r="F105" s="3171">
        <v>1</v>
      </c>
      <c r="G105" s="3171">
        <v>102</v>
      </c>
      <c r="H105" s="3174">
        <v>271.76</v>
      </c>
      <c r="I105" s="3175">
        <v>32398547.800000001</v>
      </c>
      <c r="J105" s="3176" t="s">
        <v>3453</v>
      </c>
      <c r="K105" s="3163"/>
      <c r="M105" s="3163"/>
    </row>
    <row r="106" spans="1:13" ht="16.5">
      <c r="A106" s="3170">
        <v>104</v>
      </c>
      <c r="B106" s="3171" t="s">
        <v>3668</v>
      </c>
      <c r="C106" s="3172" t="s">
        <v>3395</v>
      </c>
      <c r="D106" s="3173" t="s">
        <v>3673</v>
      </c>
      <c r="E106" s="3172" t="s">
        <v>3674</v>
      </c>
      <c r="F106" s="3171">
        <v>1</v>
      </c>
      <c r="G106" s="3171">
        <v>201</v>
      </c>
      <c r="H106" s="3174">
        <v>272.99</v>
      </c>
      <c r="I106" s="3175">
        <v>32934335.300000001</v>
      </c>
      <c r="J106" s="3176" t="s">
        <v>3453</v>
      </c>
      <c r="K106" s="3163"/>
      <c r="M106" s="3163"/>
    </row>
    <row r="107" spans="1:13" ht="16.5">
      <c r="A107" s="3170">
        <v>105</v>
      </c>
      <c r="B107" s="3171" t="s">
        <v>3668</v>
      </c>
      <c r="C107" s="3172" t="s">
        <v>3395</v>
      </c>
      <c r="D107" s="3173" t="s">
        <v>3675</v>
      </c>
      <c r="E107" s="3172" t="s">
        <v>3676</v>
      </c>
      <c r="F107" s="3171">
        <v>1</v>
      </c>
      <c r="G107" s="3171">
        <v>202</v>
      </c>
      <c r="H107" s="3174">
        <v>271.82</v>
      </c>
      <c r="I107" s="3175">
        <v>32677520.850000001</v>
      </c>
      <c r="J107" s="3176" t="s">
        <v>3453</v>
      </c>
      <c r="K107" s="3163"/>
      <c r="M107" s="3163"/>
    </row>
    <row r="108" spans="1:13" ht="16.5">
      <c r="A108" s="3170">
        <v>106</v>
      </c>
      <c r="B108" s="3171" t="s">
        <v>3668</v>
      </c>
      <c r="C108" s="3172" t="s">
        <v>3395</v>
      </c>
      <c r="D108" s="3173" t="s">
        <v>3677</v>
      </c>
      <c r="E108" s="3172" t="s">
        <v>3678</v>
      </c>
      <c r="F108" s="3171">
        <v>1</v>
      </c>
      <c r="G108" s="3171">
        <v>301</v>
      </c>
      <c r="H108" s="3174">
        <v>272.99</v>
      </c>
      <c r="I108" s="3175">
        <v>34299285.299999997</v>
      </c>
      <c r="J108" s="3176" t="s">
        <v>3453</v>
      </c>
      <c r="K108" s="3163"/>
      <c r="M108" s="3163"/>
    </row>
    <row r="109" spans="1:13" ht="16.5">
      <c r="A109" s="3170">
        <v>107</v>
      </c>
      <c r="B109" s="3171" t="s">
        <v>3668</v>
      </c>
      <c r="C109" s="3172" t="s">
        <v>3395</v>
      </c>
      <c r="D109" s="3173" t="s">
        <v>3679</v>
      </c>
      <c r="E109" s="3172" t="s">
        <v>3680</v>
      </c>
      <c r="F109" s="3171">
        <v>1</v>
      </c>
      <c r="G109" s="3171">
        <v>302</v>
      </c>
      <c r="H109" s="3174">
        <v>271.82</v>
      </c>
      <c r="I109" s="3175">
        <v>34036620.850000001</v>
      </c>
      <c r="J109" s="3176" t="s">
        <v>3453</v>
      </c>
      <c r="K109" s="3163"/>
      <c r="M109" s="3163"/>
    </row>
    <row r="110" spans="1:13" ht="16.5">
      <c r="A110" s="3170">
        <v>108</v>
      </c>
      <c r="B110" s="3171" t="s">
        <v>3668</v>
      </c>
      <c r="C110" s="3172" t="s">
        <v>3395</v>
      </c>
      <c r="D110" s="3173" t="s">
        <v>3681</v>
      </c>
      <c r="E110" s="3172" t="s">
        <v>3682</v>
      </c>
      <c r="F110" s="3171">
        <v>1</v>
      </c>
      <c r="G110" s="3171">
        <v>401</v>
      </c>
      <c r="H110" s="3174">
        <v>272.99</v>
      </c>
      <c r="I110" s="3175">
        <v>34026295.299999997</v>
      </c>
      <c r="J110" s="3176" t="s">
        <v>3453</v>
      </c>
      <c r="K110" s="3163"/>
      <c r="M110" s="3163"/>
    </row>
    <row r="111" spans="1:13" ht="16.5">
      <c r="A111" s="3170">
        <v>109</v>
      </c>
      <c r="B111" s="3171" t="s">
        <v>3668</v>
      </c>
      <c r="C111" s="3172" t="s">
        <v>3395</v>
      </c>
      <c r="D111" s="3173" t="s">
        <v>3683</v>
      </c>
      <c r="E111" s="3172" t="s">
        <v>3684</v>
      </c>
      <c r="F111" s="3171">
        <v>1</v>
      </c>
      <c r="G111" s="3171">
        <v>402</v>
      </c>
      <c r="H111" s="3174">
        <v>271.82</v>
      </c>
      <c r="I111" s="3175">
        <v>33764800.850000001</v>
      </c>
      <c r="J111" s="3176" t="s">
        <v>3453</v>
      </c>
      <c r="K111" s="3163"/>
      <c r="M111" s="3163"/>
    </row>
    <row r="112" spans="1:13" ht="16.5">
      <c r="A112" s="3170">
        <v>110</v>
      </c>
      <c r="B112" s="3171" t="s">
        <v>3668</v>
      </c>
      <c r="C112" s="3172" t="s">
        <v>3395</v>
      </c>
      <c r="D112" s="3173" t="s">
        <v>3685</v>
      </c>
      <c r="E112" s="3172" t="s">
        <v>3686</v>
      </c>
      <c r="F112" s="3171">
        <v>2</v>
      </c>
      <c r="G112" s="3171">
        <v>101</v>
      </c>
      <c r="H112" s="3174">
        <v>271.76</v>
      </c>
      <c r="I112" s="3175">
        <v>32592244.739999998</v>
      </c>
      <c r="J112" s="3176" t="s">
        <v>3453</v>
      </c>
      <c r="K112" s="3163"/>
      <c r="M112" s="3163"/>
    </row>
    <row r="113" spans="1:13" ht="16.5">
      <c r="A113" s="3170">
        <v>111</v>
      </c>
      <c r="B113" s="3171" t="s">
        <v>3668</v>
      </c>
      <c r="C113" s="3172" t="s">
        <v>3395</v>
      </c>
      <c r="D113" s="3173" t="s">
        <v>3687</v>
      </c>
      <c r="E113" s="3172" t="s">
        <v>3688</v>
      </c>
      <c r="F113" s="3171">
        <v>2</v>
      </c>
      <c r="G113" s="3171">
        <v>201</v>
      </c>
      <c r="H113" s="3174">
        <v>271.82</v>
      </c>
      <c r="I113" s="3175">
        <v>32871263.27</v>
      </c>
      <c r="J113" s="3176" t="s">
        <v>3453</v>
      </c>
      <c r="K113" s="3163"/>
      <c r="M113" s="3163"/>
    </row>
    <row r="114" spans="1:13" ht="16.5">
      <c r="A114" s="3170">
        <v>112</v>
      </c>
      <c r="B114" s="3171" t="s">
        <v>3668</v>
      </c>
      <c r="C114" s="3172" t="s">
        <v>3395</v>
      </c>
      <c r="D114" s="3173" t="s">
        <v>3689</v>
      </c>
      <c r="E114" s="3172" t="s">
        <v>3690</v>
      </c>
      <c r="F114" s="3171">
        <v>2</v>
      </c>
      <c r="G114" s="3171">
        <v>401</v>
      </c>
      <c r="H114" s="3174">
        <v>271.82</v>
      </c>
      <c r="I114" s="3175">
        <v>33958543.270000003</v>
      </c>
      <c r="J114" s="3176" t="s">
        <v>3453</v>
      </c>
      <c r="K114" s="3163"/>
      <c r="M114" s="3163"/>
    </row>
    <row r="115" spans="1:13" ht="16.5">
      <c r="A115" s="3170">
        <v>113</v>
      </c>
      <c r="B115" s="3171" t="s">
        <v>3691</v>
      </c>
      <c r="C115" s="3172" t="s">
        <v>3395</v>
      </c>
      <c r="D115" s="3173" t="s">
        <v>3692</v>
      </c>
      <c r="E115" s="3172" t="s">
        <v>3693</v>
      </c>
      <c r="F115" s="3171">
        <v>1</v>
      </c>
      <c r="G115" s="3171">
        <v>102</v>
      </c>
      <c r="H115" s="3174">
        <v>210.97</v>
      </c>
      <c r="I115" s="3175">
        <v>23967052.760000002</v>
      </c>
      <c r="J115" s="3176" t="s">
        <v>3453</v>
      </c>
      <c r="K115" s="3163"/>
      <c r="M115" s="3163"/>
    </row>
    <row r="116" spans="1:13" ht="16.5">
      <c r="A116" s="3170">
        <v>114</v>
      </c>
      <c r="B116" s="3173" t="s">
        <v>3691</v>
      </c>
      <c r="C116" s="3172" t="s">
        <v>3395</v>
      </c>
      <c r="D116" s="3173" t="s">
        <v>3694</v>
      </c>
      <c r="E116" s="3172" t="s">
        <v>3695</v>
      </c>
      <c r="F116" s="3173">
        <v>1</v>
      </c>
      <c r="G116" s="3173">
        <v>201</v>
      </c>
      <c r="H116" s="3173">
        <v>230.87</v>
      </c>
      <c r="I116" s="3175">
        <v>27414044.039999999</v>
      </c>
      <c r="J116" s="3176" t="s">
        <v>3453</v>
      </c>
      <c r="K116" s="3163"/>
      <c r="M116" s="3163"/>
    </row>
    <row r="117" spans="1:13" ht="16.5">
      <c r="A117" s="3170">
        <v>115</v>
      </c>
      <c r="B117" s="3171" t="s">
        <v>3691</v>
      </c>
      <c r="C117" s="3172" t="s">
        <v>3395</v>
      </c>
      <c r="D117" s="3173" t="s">
        <v>3696</v>
      </c>
      <c r="E117" s="3172" t="s">
        <v>3697</v>
      </c>
      <c r="F117" s="3171">
        <v>1</v>
      </c>
      <c r="G117" s="3171">
        <v>302</v>
      </c>
      <c r="H117" s="3174">
        <v>221.83</v>
      </c>
      <c r="I117" s="3175">
        <v>26531773.07</v>
      </c>
      <c r="J117" s="3176" t="s">
        <v>3453</v>
      </c>
      <c r="K117" s="3163"/>
      <c r="M117" s="3163"/>
    </row>
    <row r="118" spans="1:13" ht="16.5">
      <c r="A118" s="3170">
        <v>116</v>
      </c>
      <c r="B118" s="3171" t="s">
        <v>3691</v>
      </c>
      <c r="C118" s="3172" t="s">
        <v>3395</v>
      </c>
      <c r="D118" s="3173" t="s">
        <v>3698</v>
      </c>
      <c r="E118" s="3172" t="s">
        <v>3699</v>
      </c>
      <c r="F118" s="3171">
        <v>1</v>
      </c>
      <c r="G118" s="3171">
        <v>402</v>
      </c>
      <c r="H118" s="3174">
        <v>221.83</v>
      </c>
      <c r="I118" s="3175">
        <v>26309943.07</v>
      </c>
      <c r="J118" s="3176" t="s">
        <v>3453</v>
      </c>
      <c r="K118" s="3163"/>
      <c r="M118" s="3163"/>
    </row>
    <row r="119" spans="1:13" ht="16.5">
      <c r="A119" s="3170">
        <v>117</v>
      </c>
      <c r="B119" s="3171" t="s">
        <v>3691</v>
      </c>
      <c r="C119" s="3172" t="s">
        <v>3395</v>
      </c>
      <c r="D119" s="3173" t="s">
        <v>3700</v>
      </c>
      <c r="E119" s="3172" t="s">
        <v>3701</v>
      </c>
      <c r="F119" s="3171">
        <v>2</v>
      </c>
      <c r="G119" s="3171">
        <v>101</v>
      </c>
      <c r="H119" s="3174">
        <v>210.97</v>
      </c>
      <c r="I119" s="3175">
        <v>24599962.760000002</v>
      </c>
      <c r="J119" s="3176" t="s">
        <v>3453</v>
      </c>
      <c r="K119" s="3163"/>
      <c r="M119" s="3163"/>
    </row>
    <row r="120" spans="1:13" ht="16.5">
      <c r="A120" s="3170">
        <v>118</v>
      </c>
      <c r="B120" s="3171" t="s">
        <v>3691</v>
      </c>
      <c r="C120" s="3172" t="s">
        <v>3395</v>
      </c>
      <c r="D120" s="3173" t="s">
        <v>3702</v>
      </c>
      <c r="E120" s="3172" t="s">
        <v>3703</v>
      </c>
      <c r="F120" s="3171">
        <v>2</v>
      </c>
      <c r="G120" s="3171">
        <v>102</v>
      </c>
      <c r="H120" s="3174">
        <v>210.97</v>
      </c>
      <c r="I120" s="3175">
        <v>24599962.760000002</v>
      </c>
      <c r="J120" s="3176" t="s">
        <v>3453</v>
      </c>
      <c r="K120" s="3163"/>
      <c r="M120" s="3163"/>
    </row>
    <row r="121" spans="1:13" ht="16.5">
      <c r="A121" s="3170">
        <v>119</v>
      </c>
      <c r="B121" s="3171" t="s">
        <v>3691</v>
      </c>
      <c r="C121" s="3172" t="s">
        <v>3395</v>
      </c>
      <c r="D121" s="3173" t="s">
        <v>3704</v>
      </c>
      <c r="E121" s="3172" t="s">
        <v>3705</v>
      </c>
      <c r="F121" s="3171">
        <v>2</v>
      </c>
      <c r="G121" s="3171">
        <v>201</v>
      </c>
      <c r="H121" s="3174">
        <v>221.83</v>
      </c>
      <c r="I121" s="3175">
        <v>26088113.07</v>
      </c>
      <c r="J121" s="3176" t="s">
        <v>3453</v>
      </c>
      <c r="K121" s="3163"/>
      <c r="M121" s="3163"/>
    </row>
    <row r="122" spans="1:13" ht="16.5">
      <c r="A122" s="3170">
        <v>120</v>
      </c>
      <c r="B122" s="3171" t="s">
        <v>3691</v>
      </c>
      <c r="C122" s="3172" t="s">
        <v>3395</v>
      </c>
      <c r="D122" s="3173" t="s">
        <v>3706</v>
      </c>
      <c r="E122" s="3172" t="s">
        <v>3707</v>
      </c>
      <c r="F122" s="3171">
        <v>2</v>
      </c>
      <c r="G122" s="3171">
        <v>202</v>
      </c>
      <c r="H122" s="3174">
        <v>221.83</v>
      </c>
      <c r="I122" s="3175">
        <v>26088113.07</v>
      </c>
      <c r="J122" s="3176" t="s">
        <v>3453</v>
      </c>
      <c r="K122" s="3163"/>
      <c r="M122" s="3163"/>
    </row>
    <row r="123" spans="1:13" ht="16.5">
      <c r="A123" s="3170">
        <v>121</v>
      </c>
      <c r="B123" s="3171" t="s">
        <v>3691</v>
      </c>
      <c r="C123" s="3172" t="s">
        <v>3395</v>
      </c>
      <c r="D123" s="3173" t="s">
        <v>3708</v>
      </c>
      <c r="E123" s="3172" t="s">
        <v>3709</v>
      </c>
      <c r="F123" s="3171">
        <v>2</v>
      </c>
      <c r="G123" s="3171">
        <v>301</v>
      </c>
      <c r="H123" s="3174">
        <v>221.83</v>
      </c>
      <c r="I123" s="3175">
        <v>27197263.07</v>
      </c>
      <c r="J123" s="3176" t="s">
        <v>3453</v>
      </c>
      <c r="K123" s="3163"/>
      <c r="M123" s="3163"/>
    </row>
    <row r="124" spans="1:13" ht="16.5">
      <c r="A124" s="3170">
        <v>122</v>
      </c>
      <c r="B124" s="3171" t="s">
        <v>3691</v>
      </c>
      <c r="C124" s="3172" t="s">
        <v>3395</v>
      </c>
      <c r="D124" s="3173" t="s">
        <v>3710</v>
      </c>
      <c r="E124" s="3172" t="s">
        <v>3711</v>
      </c>
      <c r="F124" s="3171">
        <v>2</v>
      </c>
      <c r="G124" s="3171">
        <v>302</v>
      </c>
      <c r="H124" s="3174">
        <v>221.83</v>
      </c>
      <c r="I124" s="3175">
        <v>27197263.07</v>
      </c>
      <c r="J124" s="3176" t="s">
        <v>3453</v>
      </c>
      <c r="K124" s="3163"/>
      <c r="M124" s="3163"/>
    </row>
    <row r="125" spans="1:13" ht="16.5">
      <c r="A125" s="3170">
        <v>123</v>
      </c>
      <c r="B125" s="3171" t="s">
        <v>3691</v>
      </c>
      <c r="C125" s="3172" t="s">
        <v>3395</v>
      </c>
      <c r="D125" s="3173" t="s">
        <v>3712</v>
      </c>
      <c r="E125" s="3172" t="s">
        <v>3713</v>
      </c>
      <c r="F125" s="3171">
        <v>2</v>
      </c>
      <c r="G125" s="3171">
        <v>401</v>
      </c>
      <c r="H125" s="3174">
        <v>221.83</v>
      </c>
      <c r="I125" s="3175">
        <v>26975433.07</v>
      </c>
      <c r="J125" s="3176" t="s">
        <v>3453</v>
      </c>
      <c r="K125" s="3163"/>
      <c r="M125" s="3163"/>
    </row>
    <row r="126" spans="1:13" ht="16.5">
      <c r="A126" s="3170">
        <v>124</v>
      </c>
      <c r="B126" s="3171" t="s">
        <v>3691</v>
      </c>
      <c r="C126" s="3172" t="s">
        <v>3395</v>
      </c>
      <c r="D126" s="3173" t="s">
        <v>3714</v>
      </c>
      <c r="E126" s="3172" t="s">
        <v>3715</v>
      </c>
      <c r="F126" s="3171">
        <v>3</v>
      </c>
      <c r="G126" s="3171">
        <v>101</v>
      </c>
      <c r="H126" s="3174">
        <v>210.97</v>
      </c>
      <c r="I126" s="3175">
        <v>24599962.760000002</v>
      </c>
      <c r="J126" s="3176" t="s">
        <v>3453</v>
      </c>
      <c r="K126" s="3163"/>
      <c r="M126" s="3163"/>
    </row>
    <row r="127" spans="1:13" ht="16.5">
      <c r="A127" s="3170">
        <v>125</v>
      </c>
      <c r="B127" s="3171" t="s">
        <v>3691</v>
      </c>
      <c r="C127" s="3172" t="s">
        <v>3395</v>
      </c>
      <c r="D127" s="3173" t="s">
        <v>3716</v>
      </c>
      <c r="E127" s="3172" t="s">
        <v>3717</v>
      </c>
      <c r="F127" s="3171">
        <v>3</v>
      </c>
      <c r="G127" s="3171">
        <v>401</v>
      </c>
      <c r="H127" s="3174">
        <v>221.83</v>
      </c>
      <c r="I127" s="3175">
        <v>26975433.07</v>
      </c>
      <c r="J127" s="3176" t="s">
        <v>3464</v>
      </c>
      <c r="K127" s="3163"/>
      <c r="M127" s="3163"/>
    </row>
    <row r="128" spans="1:13" ht="16.5">
      <c r="A128" s="3170">
        <v>126</v>
      </c>
      <c r="B128" s="3171" t="s">
        <v>3718</v>
      </c>
      <c r="C128" s="3172" t="s">
        <v>3395</v>
      </c>
      <c r="D128" s="3173" t="s">
        <v>3719</v>
      </c>
      <c r="E128" s="3172" t="s">
        <v>3720</v>
      </c>
      <c r="F128" s="3171">
        <v>1</v>
      </c>
      <c r="G128" s="3171">
        <v>102</v>
      </c>
      <c r="H128" s="3174">
        <v>210.99</v>
      </c>
      <c r="I128" s="3175">
        <v>24602294.84</v>
      </c>
      <c r="J128" s="3176" t="s">
        <v>3453</v>
      </c>
      <c r="K128" s="3163"/>
      <c r="M128" s="3163"/>
    </row>
    <row r="129" spans="1:13" ht="16.5">
      <c r="A129" s="3170">
        <v>127</v>
      </c>
      <c r="B129" s="3171" t="s">
        <v>3718</v>
      </c>
      <c r="C129" s="3172" t="s">
        <v>3395</v>
      </c>
      <c r="D129" s="3173" t="s">
        <v>3721</v>
      </c>
      <c r="E129" s="3172" t="s">
        <v>3722</v>
      </c>
      <c r="F129" s="3171">
        <v>1</v>
      </c>
      <c r="G129" s="3171">
        <v>201</v>
      </c>
      <c r="H129" s="3174">
        <v>230.9</v>
      </c>
      <c r="I129" s="3175">
        <v>28341204</v>
      </c>
      <c r="J129" s="3176" t="s">
        <v>3469</v>
      </c>
      <c r="K129" s="3163"/>
      <c r="M129" s="3163"/>
    </row>
    <row r="130" spans="1:13" ht="16.5">
      <c r="A130" s="3170">
        <v>128</v>
      </c>
      <c r="B130" s="3171" t="s">
        <v>3718</v>
      </c>
      <c r="C130" s="3172" t="s">
        <v>3395</v>
      </c>
      <c r="D130" s="3173" t="s">
        <v>3723</v>
      </c>
      <c r="E130" s="3172" t="s">
        <v>3724</v>
      </c>
      <c r="F130" s="3171">
        <v>1</v>
      </c>
      <c r="G130" s="3171">
        <v>302</v>
      </c>
      <c r="H130" s="3174">
        <v>221.85</v>
      </c>
      <c r="I130" s="3175">
        <v>27199715.149999999</v>
      </c>
      <c r="J130" s="3176" t="s">
        <v>3464</v>
      </c>
      <c r="K130" s="3163"/>
      <c r="M130" s="3163"/>
    </row>
    <row r="131" spans="1:13" ht="16.5">
      <c r="A131" s="3170">
        <v>129</v>
      </c>
      <c r="B131" s="3171" t="s">
        <v>3718</v>
      </c>
      <c r="C131" s="3172" t="s">
        <v>3395</v>
      </c>
      <c r="D131" s="3173" t="s">
        <v>3725</v>
      </c>
      <c r="E131" s="3172" t="s">
        <v>3726</v>
      </c>
      <c r="F131" s="3171">
        <v>1</v>
      </c>
      <c r="G131" s="3171">
        <v>401</v>
      </c>
      <c r="H131" s="3174">
        <v>230.9</v>
      </c>
      <c r="I131" s="3175">
        <v>29264804</v>
      </c>
      <c r="J131" s="3176" t="s">
        <v>3469</v>
      </c>
      <c r="K131" s="3163"/>
      <c r="M131" s="3163"/>
    </row>
    <row r="132" spans="1:13" ht="16.5">
      <c r="A132" s="3170">
        <v>130</v>
      </c>
      <c r="B132" s="3171" t="s">
        <v>3718</v>
      </c>
      <c r="C132" s="3172" t="s">
        <v>3395</v>
      </c>
      <c r="D132" s="3173" t="s">
        <v>3727</v>
      </c>
      <c r="E132" s="3172" t="s">
        <v>3728</v>
      </c>
      <c r="F132" s="3171">
        <v>2</v>
      </c>
      <c r="G132" s="3171">
        <v>101</v>
      </c>
      <c r="H132" s="3174">
        <v>210.99</v>
      </c>
      <c r="I132" s="3175">
        <v>24602294.84</v>
      </c>
      <c r="J132" s="3176" t="s">
        <v>3453</v>
      </c>
      <c r="K132" s="3163"/>
      <c r="M132" s="3163"/>
    </row>
    <row r="133" spans="1:13" ht="16.5">
      <c r="A133" s="3170">
        <v>131</v>
      </c>
      <c r="B133" s="3171" t="s">
        <v>3718</v>
      </c>
      <c r="C133" s="3172" t="s">
        <v>3395</v>
      </c>
      <c r="D133" s="3173" t="s">
        <v>3729</v>
      </c>
      <c r="E133" s="3172" t="s">
        <v>3730</v>
      </c>
      <c r="F133" s="3171">
        <v>2</v>
      </c>
      <c r="G133" s="3171">
        <v>102</v>
      </c>
      <c r="H133" s="3174">
        <v>210.99</v>
      </c>
      <c r="I133" s="3175">
        <v>24602294.84</v>
      </c>
      <c r="J133" s="3176" t="s">
        <v>3453</v>
      </c>
      <c r="K133" s="3163"/>
      <c r="M133" s="3163"/>
    </row>
    <row r="134" spans="1:13" ht="16.5">
      <c r="A134" s="3170">
        <v>132</v>
      </c>
      <c r="B134" s="3171" t="s">
        <v>3718</v>
      </c>
      <c r="C134" s="3172" t="s">
        <v>3395</v>
      </c>
      <c r="D134" s="3173" t="s">
        <v>3731</v>
      </c>
      <c r="E134" s="3172" t="s">
        <v>3732</v>
      </c>
      <c r="F134" s="3171">
        <v>2</v>
      </c>
      <c r="G134" s="3171">
        <v>302</v>
      </c>
      <c r="H134" s="3174">
        <v>221.85</v>
      </c>
      <c r="I134" s="3175">
        <v>27199715.149999999</v>
      </c>
      <c r="J134" s="3176" t="s">
        <v>3453</v>
      </c>
      <c r="K134" s="3163"/>
      <c r="M134" s="3163"/>
    </row>
    <row r="135" spans="1:13" ht="16.5">
      <c r="A135" s="3170">
        <v>133</v>
      </c>
      <c r="B135" s="3171" t="s">
        <v>3718</v>
      </c>
      <c r="C135" s="3172" t="s">
        <v>3395</v>
      </c>
      <c r="D135" s="3173" t="s">
        <v>3733</v>
      </c>
      <c r="E135" s="3172" t="s">
        <v>3734</v>
      </c>
      <c r="F135" s="3171">
        <v>2</v>
      </c>
      <c r="G135" s="3171">
        <v>401</v>
      </c>
      <c r="H135" s="3174">
        <v>221.85</v>
      </c>
      <c r="I135" s="3175">
        <v>26977865.149999999</v>
      </c>
      <c r="J135" s="3176" t="s">
        <v>3453</v>
      </c>
      <c r="K135" s="3163"/>
      <c r="M135" s="3163"/>
    </row>
    <row r="136" spans="1:13" ht="16.5">
      <c r="A136" s="3170">
        <v>134</v>
      </c>
      <c r="B136" s="3171" t="s">
        <v>3718</v>
      </c>
      <c r="C136" s="3172" t="s">
        <v>3395</v>
      </c>
      <c r="D136" s="3173" t="s">
        <v>3735</v>
      </c>
      <c r="E136" s="3172" t="s">
        <v>3736</v>
      </c>
      <c r="F136" s="3171">
        <v>3</v>
      </c>
      <c r="G136" s="3171">
        <v>101</v>
      </c>
      <c r="H136" s="3174">
        <v>210.99</v>
      </c>
      <c r="I136" s="3175">
        <v>24502038.719999999</v>
      </c>
      <c r="J136" s="3176" t="s">
        <v>3453</v>
      </c>
      <c r="K136" s="3163"/>
      <c r="M136" s="3163"/>
    </row>
    <row r="137" spans="1:13" ht="16.5">
      <c r="A137" s="3170">
        <v>135</v>
      </c>
      <c r="B137" s="3171" t="s">
        <v>3718</v>
      </c>
      <c r="C137" s="3172" t="s">
        <v>3395</v>
      </c>
      <c r="D137" s="3173" t="s">
        <v>3737</v>
      </c>
      <c r="E137" s="3172" t="s">
        <v>3738</v>
      </c>
      <c r="F137" s="3171">
        <v>3</v>
      </c>
      <c r="G137" s="3171">
        <v>102</v>
      </c>
      <c r="H137" s="3174">
        <v>219.81</v>
      </c>
      <c r="I137" s="3175">
        <v>26372786.219999999</v>
      </c>
      <c r="J137" s="3176" t="s">
        <v>3453</v>
      </c>
      <c r="K137" s="3163"/>
      <c r="M137" s="3163"/>
    </row>
    <row r="138" spans="1:13" ht="16.5">
      <c r="A138" s="3170">
        <v>136</v>
      </c>
      <c r="B138" s="3171" t="s">
        <v>3718</v>
      </c>
      <c r="C138" s="3172" t="s">
        <v>3395</v>
      </c>
      <c r="D138" s="3173" t="s">
        <v>3739</v>
      </c>
      <c r="E138" s="3172" t="s">
        <v>3740</v>
      </c>
      <c r="F138" s="3171">
        <v>3</v>
      </c>
      <c r="G138" s="3171">
        <v>201</v>
      </c>
      <c r="H138" s="3174">
        <v>221.85</v>
      </c>
      <c r="I138" s="3175">
        <v>25985048.68</v>
      </c>
      <c r="J138" s="3176" t="s">
        <v>3453</v>
      </c>
      <c r="K138" s="3163"/>
      <c r="M138" s="3163"/>
    </row>
    <row r="139" spans="1:13" ht="16.5">
      <c r="A139" s="3170">
        <v>137</v>
      </c>
      <c r="B139" s="3171" t="s">
        <v>3718</v>
      </c>
      <c r="C139" s="3172" t="s">
        <v>3395</v>
      </c>
      <c r="D139" s="3173" t="s">
        <v>3741</v>
      </c>
      <c r="E139" s="3172" t="s">
        <v>3742</v>
      </c>
      <c r="F139" s="3171">
        <v>3</v>
      </c>
      <c r="G139" s="3171">
        <v>202</v>
      </c>
      <c r="H139" s="3174">
        <v>230.9</v>
      </c>
      <c r="I139" s="3175">
        <v>27934263.530000001</v>
      </c>
      <c r="J139" s="3176" t="s">
        <v>3453</v>
      </c>
      <c r="K139" s="3163"/>
      <c r="M139" s="3163"/>
    </row>
    <row r="140" spans="1:13" ht="16.5">
      <c r="A140" s="3170">
        <v>138</v>
      </c>
      <c r="B140" s="3171" t="s">
        <v>3718</v>
      </c>
      <c r="C140" s="3172" t="s">
        <v>3395</v>
      </c>
      <c r="D140" s="3173" t="s">
        <v>3743</v>
      </c>
      <c r="E140" s="3172" t="s">
        <v>3744</v>
      </c>
      <c r="F140" s="3171">
        <v>3</v>
      </c>
      <c r="G140" s="3171">
        <v>301</v>
      </c>
      <c r="H140" s="3174">
        <v>221.85</v>
      </c>
      <c r="I140" s="3175">
        <v>27094298.68</v>
      </c>
      <c r="J140" s="3176" t="s">
        <v>3453</v>
      </c>
      <c r="K140" s="3163"/>
      <c r="M140" s="3163"/>
    </row>
    <row r="141" spans="1:13" ht="16.5">
      <c r="A141" s="3170">
        <v>139</v>
      </c>
      <c r="B141" s="3171" t="s">
        <v>3718</v>
      </c>
      <c r="C141" s="3172" t="s">
        <v>3395</v>
      </c>
      <c r="D141" s="3173" t="s">
        <v>3745</v>
      </c>
      <c r="E141" s="3172" t="s">
        <v>3746</v>
      </c>
      <c r="F141" s="3171">
        <v>3</v>
      </c>
      <c r="G141" s="3171">
        <v>302</v>
      </c>
      <c r="H141" s="3174">
        <v>230.9</v>
      </c>
      <c r="I141" s="3175">
        <v>29088763.530000001</v>
      </c>
      <c r="J141" s="3176" t="s">
        <v>3469</v>
      </c>
      <c r="K141" s="3163"/>
      <c r="M141" s="3163"/>
    </row>
    <row r="142" spans="1:13" ht="16.5">
      <c r="A142" s="3170">
        <v>140</v>
      </c>
      <c r="B142" s="3171" t="s">
        <v>3747</v>
      </c>
      <c r="C142" s="3172" t="s">
        <v>3395</v>
      </c>
      <c r="D142" s="3173" t="s">
        <v>3748</v>
      </c>
      <c r="E142" s="3172" t="s">
        <v>3749</v>
      </c>
      <c r="F142" s="3171">
        <v>1</v>
      </c>
      <c r="G142" s="3171">
        <v>101</v>
      </c>
      <c r="H142" s="3174">
        <v>217.74</v>
      </c>
      <c r="I142" s="3175">
        <v>25658843.050000001</v>
      </c>
      <c r="J142" s="3176" t="s">
        <v>3453</v>
      </c>
      <c r="K142" s="3163"/>
      <c r="M142" s="3163"/>
    </row>
    <row r="143" spans="1:13" ht="16.5">
      <c r="A143" s="3170">
        <v>141</v>
      </c>
      <c r="B143" s="3171" t="s">
        <v>3747</v>
      </c>
      <c r="C143" s="3172" t="s">
        <v>3395</v>
      </c>
      <c r="D143" s="3173" t="s">
        <v>3750</v>
      </c>
      <c r="E143" s="3172" t="s">
        <v>3751</v>
      </c>
      <c r="F143" s="3171">
        <v>1</v>
      </c>
      <c r="G143" s="3171">
        <v>102</v>
      </c>
      <c r="H143" s="3174">
        <v>209.66</v>
      </c>
      <c r="I143" s="3175">
        <v>23778832.109999999</v>
      </c>
      <c r="J143" s="3176" t="s">
        <v>3453</v>
      </c>
      <c r="K143" s="3163"/>
      <c r="M143" s="3163"/>
    </row>
    <row r="144" spans="1:13" ht="16.5">
      <c r="A144" s="3170">
        <v>142</v>
      </c>
      <c r="B144" s="3171" t="s">
        <v>3747</v>
      </c>
      <c r="C144" s="3172" t="s">
        <v>3395</v>
      </c>
      <c r="D144" s="3173" t="s">
        <v>3752</v>
      </c>
      <c r="E144" s="3172" t="s">
        <v>3753</v>
      </c>
      <c r="F144" s="3171">
        <v>1</v>
      </c>
      <c r="G144" s="3171">
        <v>201</v>
      </c>
      <c r="H144" s="3174">
        <v>228.69</v>
      </c>
      <c r="I144" s="3175">
        <v>27177899.23</v>
      </c>
      <c r="J144" s="3176" t="s">
        <v>3464</v>
      </c>
      <c r="K144" s="3163"/>
      <c r="M144" s="3163"/>
    </row>
    <row r="145" spans="1:13" ht="16.5">
      <c r="A145" s="3170">
        <v>143</v>
      </c>
      <c r="B145" s="3171" t="s">
        <v>3747</v>
      </c>
      <c r="C145" s="3172" t="s">
        <v>3395</v>
      </c>
      <c r="D145" s="3173" t="s">
        <v>3754</v>
      </c>
      <c r="E145" s="3172" t="s">
        <v>3755</v>
      </c>
      <c r="F145" s="3171">
        <v>1</v>
      </c>
      <c r="G145" s="3171">
        <v>301</v>
      </c>
      <c r="H145" s="3174">
        <v>228.69</v>
      </c>
      <c r="I145" s="3175">
        <v>28321349.23</v>
      </c>
      <c r="J145" s="3176" t="s">
        <v>3469</v>
      </c>
      <c r="K145" s="3163"/>
      <c r="M145" s="3163"/>
    </row>
    <row r="146" spans="1:13" ht="16.5">
      <c r="A146" s="3170">
        <v>144</v>
      </c>
      <c r="B146" s="3171" t="s">
        <v>3747</v>
      </c>
      <c r="C146" s="3172" t="s">
        <v>3395</v>
      </c>
      <c r="D146" s="3173" t="s">
        <v>3756</v>
      </c>
      <c r="E146" s="3172" t="s">
        <v>3757</v>
      </c>
      <c r="F146" s="3171">
        <v>2</v>
      </c>
      <c r="G146" s="3171">
        <v>101</v>
      </c>
      <c r="H146" s="3174">
        <v>209.66</v>
      </c>
      <c r="I146" s="3175">
        <v>24198152.109999999</v>
      </c>
      <c r="J146" s="3176" t="s">
        <v>3453</v>
      </c>
      <c r="K146" s="3163"/>
      <c r="M146" s="3163"/>
    </row>
    <row r="147" spans="1:13" ht="16.5">
      <c r="A147" s="3170">
        <v>145</v>
      </c>
      <c r="B147" s="3171" t="s">
        <v>3747</v>
      </c>
      <c r="C147" s="3172" t="s">
        <v>3395</v>
      </c>
      <c r="D147" s="3173" t="s">
        <v>3758</v>
      </c>
      <c r="E147" s="3172" t="s">
        <v>3759</v>
      </c>
      <c r="F147" s="3171">
        <v>2</v>
      </c>
      <c r="G147" s="3171">
        <v>102</v>
      </c>
      <c r="H147" s="3174">
        <v>209.66</v>
      </c>
      <c r="I147" s="3175">
        <v>24198152.109999999</v>
      </c>
      <c r="J147" s="3176" t="s">
        <v>3453</v>
      </c>
      <c r="K147" s="3163"/>
      <c r="M147" s="3163"/>
    </row>
    <row r="148" spans="1:13" ht="16.5">
      <c r="A148" s="3170">
        <v>146</v>
      </c>
      <c r="B148" s="3171" t="s">
        <v>3747</v>
      </c>
      <c r="C148" s="3172" t="s">
        <v>3395</v>
      </c>
      <c r="D148" s="3173" t="s">
        <v>3760</v>
      </c>
      <c r="E148" s="3172" t="s">
        <v>3761</v>
      </c>
      <c r="F148" s="3171">
        <v>3</v>
      </c>
      <c r="G148" s="3171">
        <v>301</v>
      </c>
      <c r="H148" s="3174">
        <v>220.37</v>
      </c>
      <c r="I148" s="3175">
        <v>26756479.18</v>
      </c>
      <c r="J148" s="3176" t="s">
        <v>3469</v>
      </c>
      <c r="K148" s="3163"/>
      <c r="M148" s="3163"/>
    </row>
    <row r="149" spans="1:13" ht="16.5">
      <c r="A149" s="3170">
        <v>147</v>
      </c>
      <c r="B149" s="3171" t="s">
        <v>3762</v>
      </c>
      <c r="C149" s="3172" t="s">
        <v>3395</v>
      </c>
      <c r="D149" s="3173" t="s">
        <v>3763</v>
      </c>
      <c r="E149" s="3172" t="s">
        <v>3764</v>
      </c>
      <c r="F149" s="3171">
        <v>1</v>
      </c>
      <c r="G149" s="3171">
        <v>101</v>
      </c>
      <c r="H149" s="3174">
        <v>217.75</v>
      </c>
      <c r="I149" s="3175">
        <v>25660021.469999999</v>
      </c>
      <c r="J149" s="3176" t="s">
        <v>3453</v>
      </c>
      <c r="K149" s="3163"/>
      <c r="M149" s="3163"/>
    </row>
    <row r="150" spans="1:13" ht="16.5">
      <c r="A150" s="3170">
        <v>148</v>
      </c>
      <c r="B150" s="3171" t="s">
        <v>3762</v>
      </c>
      <c r="C150" s="3172" t="s">
        <v>3395</v>
      </c>
      <c r="D150" s="3173" t="s">
        <v>3765</v>
      </c>
      <c r="E150" s="3172" t="s">
        <v>3766</v>
      </c>
      <c r="F150" s="3171">
        <v>1</v>
      </c>
      <c r="G150" s="3171">
        <v>201</v>
      </c>
      <c r="H150" s="3174">
        <v>228.69</v>
      </c>
      <c r="I150" s="3175">
        <v>27177899.23</v>
      </c>
      <c r="J150" s="3176" t="s">
        <v>3453</v>
      </c>
      <c r="K150" s="3163"/>
      <c r="M150" s="3163"/>
    </row>
    <row r="151" spans="1:13" ht="16.5">
      <c r="A151" s="3170">
        <v>149</v>
      </c>
      <c r="B151" s="3171" t="s">
        <v>3762</v>
      </c>
      <c r="C151" s="3172" t="s">
        <v>3395</v>
      </c>
      <c r="D151" s="3173" t="s">
        <v>3767</v>
      </c>
      <c r="E151" s="3172" t="s">
        <v>3768</v>
      </c>
      <c r="F151" s="3171">
        <v>1</v>
      </c>
      <c r="G151" s="3171">
        <v>202</v>
      </c>
      <c r="H151" s="3174">
        <v>220.38</v>
      </c>
      <c r="I151" s="3175">
        <v>25655793.34</v>
      </c>
      <c r="J151" s="3176" t="s">
        <v>3469</v>
      </c>
      <c r="K151" s="3163"/>
      <c r="M151" s="3163"/>
    </row>
    <row r="152" spans="1:13" ht="16.5">
      <c r="A152" s="3170">
        <v>150</v>
      </c>
      <c r="B152" s="3171" t="s">
        <v>3762</v>
      </c>
      <c r="C152" s="3172" t="s">
        <v>3395</v>
      </c>
      <c r="D152" s="3173" t="s">
        <v>3769</v>
      </c>
      <c r="E152" s="3172" t="s">
        <v>3770</v>
      </c>
      <c r="F152" s="3171">
        <v>2</v>
      </c>
      <c r="G152" s="3171">
        <v>101</v>
      </c>
      <c r="H152" s="3174">
        <v>209.67</v>
      </c>
      <c r="I152" s="3175">
        <v>24199306.27</v>
      </c>
      <c r="J152" s="3176" t="s">
        <v>3469</v>
      </c>
      <c r="K152" s="3163"/>
      <c r="M152" s="3163"/>
    </row>
    <row r="153" spans="1:13" ht="16.5">
      <c r="A153" s="3170">
        <v>151</v>
      </c>
      <c r="B153" s="3171" t="s">
        <v>3762</v>
      </c>
      <c r="C153" s="3172" t="s">
        <v>3395</v>
      </c>
      <c r="D153" s="3173" t="s">
        <v>3771</v>
      </c>
      <c r="E153" s="3172" t="s">
        <v>3772</v>
      </c>
      <c r="F153" s="3171">
        <v>2</v>
      </c>
      <c r="G153" s="3171">
        <v>402</v>
      </c>
      <c r="H153" s="3174">
        <v>220.38</v>
      </c>
      <c r="I153" s="3175">
        <v>26537313.34</v>
      </c>
      <c r="J153" s="3176" t="s">
        <v>3469</v>
      </c>
      <c r="K153" s="3163"/>
      <c r="M153" s="3163"/>
    </row>
    <row r="154" spans="1:13" ht="16.5">
      <c r="A154" s="3170">
        <v>152</v>
      </c>
      <c r="B154" s="3171" t="s">
        <v>3762</v>
      </c>
      <c r="C154" s="3172" t="s">
        <v>3395</v>
      </c>
      <c r="D154" s="3173" t="s">
        <v>3773</v>
      </c>
      <c r="E154" s="3172" t="s">
        <v>3774</v>
      </c>
      <c r="F154" s="3171">
        <v>3</v>
      </c>
      <c r="G154" s="3171">
        <v>101</v>
      </c>
      <c r="H154" s="3174">
        <v>209.67</v>
      </c>
      <c r="I154" s="3175">
        <v>24094471.27</v>
      </c>
      <c r="J154" s="3176" t="s">
        <v>3453</v>
      </c>
      <c r="K154" s="3163"/>
      <c r="M154" s="3163"/>
    </row>
    <row r="155" spans="1:13" ht="16.5">
      <c r="A155" s="3170">
        <v>153</v>
      </c>
      <c r="B155" s="3171" t="s">
        <v>3762</v>
      </c>
      <c r="C155" s="3172" t="s">
        <v>3395</v>
      </c>
      <c r="D155" s="3173" t="s">
        <v>3775</v>
      </c>
      <c r="E155" s="3172" t="s">
        <v>3776</v>
      </c>
      <c r="F155" s="3171">
        <v>3</v>
      </c>
      <c r="G155" s="3171">
        <v>102</v>
      </c>
      <c r="H155" s="3174">
        <v>217.75</v>
      </c>
      <c r="I155" s="3175">
        <v>25706349.960000001</v>
      </c>
      <c r="J155" s="3176" t="s">
        <v>3453</v>
      </c>
      <c r="K155" s="3163"/>
      <c r="M155" s="3163"/>
    </row>
    <row r="156" spans="1:13" ht="16.5">
      <c r="A156" s="3170">
        <v>154</v>
      </c>
      <c r="B156" s="3171" t="s">
        <v>3777</v>
      </c>
      <c r="C156" s="3172" t="s">
        <v>3395</v>
      </c>
      <c r="D156" s="3173" t="s">
        <v>3778</v>
      </c>
      <c r="E156" s="3172" t="s">
        <v>3779</v>
      </c>
      <c r="F156" s="3171">
        <v>1</v>
      </c>
      <c r="G156" s="3171">
        <v>102</v>
      </c>
      <c r="H156" s="3174">
        <v>168.11</v>
      </c>
      <c r="I156" s="3175">
        <v>19642251.460000001</v>
      </c>
      <c r="J156" s="3176" t="s">
        <v>3453</v>
      </c>
      <c r="K156" s="3163"/>
      <c r="M156" s="3163"/>
    </row>
    <row r="157" spans="1:13" ht="16.5">
      <c r="A157" s="3170">
        <v>155</v>
      </c>
      <c r="B157" s="3171" t="s">
        <v>3777</v>
      </c>
      <c r="C157" s="3172" t="s">
        <v>3395</v>
      </c>
      <c r="D157" s="3173" t="s">
        <v>3780</v>
      </c>
      <c r="E157" s="3172" t="s">
        <v>3781</v>
      </c>
      <c r="F157" s="3171">
        <v>2</v>
      </c>
      <c r="G157" s="3171">
        <v>101</v>
      </c>
      <c r="H157" s="3174">
        <v>168.11</v>
      </c>
      <c r="I157" s="3175">
        <v>19642251.460000001</v>
      </c>
      <c r="J157" s="3176" t="s">
        <v>3453</v>
      </c>
      <c r="K157" s="3163"/>
      <c r="M157" s="3163"/>
    </row>
    <row r="158" spans="1:13" ht="16.5">
      <c r="A158" s="3170">
        <v>156</v>
      </c>
      <c r="B158" s="3171" t="s">
        <v>3777</v>
      </c>
      <c r="C158" s="3172" t="s">
        <v>3395</v>
      </c>
      <c r="D158" s="3173" t="s">
        <v>3782</v>
      </c>
      <c r="E158" s="3172" t="s">
        <v>3783</v>
      </c>
      <c r="F158" s="3171">
        <v>2</v>
      </c>
      <c r="G158" s="3171">
        <v>102</v>
      </c>
      <c r="H158" s="3174">
        <v>184.49</v>
      </c>
      <c r="I158" s="3175">
        <v>21556119.699999999</v>
      </c>
      <c r="J158" s="3176" t="s">
        <v>3464</v>
      </c>
      <c r="K158" s="3163"/>
      <c r="M158" s="3163"/>
    </row>
    <row r="159" spans="1:13" ht="16.5">
      <c r="A159" s="3170">
        <v>157</v>
      </c>
      <c r="B159" s="3171" t="s">
        <v>3777</v>
      </c>
      <c r="C159" s="3172" t="s">
        <v>3395</v>
      </c>
      <c r="D159" s="3173" t="s">
        <v>3784</v>
      </c>
      <c r="E159" s="3172" t="s">
        <v>3785</v>
      </c>
      <c r="F159" s="3171">
        <v>3</v>
      </c>
      <c r="G159" s="3171">
        <v>101</v>
      </c>
      <c r="H159" s="3174">
        <v>168.11</v>
      </c>
      <c r="I159" s="3175">
        <v>19642251.460000001</v>
      </c>
      <c r="J159" s="3176" t="s">
        <v>3453</v>
      </c>
    </row>
    <row r="160" spans="1:13" ht="16.5">
      <c r="A160" s="3170">
        <v>158</v>
      </c>
      <c r="B160" s="3171" t="s">
        <v>3777</v>
      </c>
      <c r="C160" s="3172" t="s">
        <v>3395</v>
      </c>
      <c r="D160" s="3173" t="s">
        <v>3786</v>
      </c>
      <c r="E160" s="3172" t="s">
        <v>3787</v>
      </c>
      <c r="F160" s="3171">
        <v>3</v>
      </c>
      <c r="G160" s="3171">
        <v>102</v>
      </c>
      <c r="H160" s="3174">
        <v>184.99</v>
      </c>
      <c r="I160" s="3175">
        <v>21614538.68</v>
      </c>
      <c r="J160" s="3176" t="s">
        <v>3453</v>
      </c>
    </row>
    <row r="161" spans="1:10" ht="16.5">
      <c r="A161" s="3170">
        <v>159</v>
      </c>
      <c r="B161" s="3171" t="s">
        <v>3777</v>
      </c>
      <c r="C161" s="3172" t="s">
        <v>3395</v>
      </c>
      <c r="D161" s="3174" t="s">
        <v>3788</v>
      </c>
      <c r="E161" s="3172" t="s">
        <v>3789</v>
      </c>
      <c r="F161" s="3171">
        <v>3</v>
      </c>
      <c r="G161" s="3171">
        <v>302</v>
      </c>
      <c r="H161" s="3174">
        <v>185.02</v>
      </c>
      <c r="I161" s="3175">
        <v>22728165.780000001</v>
      </c>
      <c r="J161" s="3176" t="s">
        <v>3469</v>
      </c>
    </row>
    <row r="162" spans="1:10" ht="16.5">
      <c r="A162" s="3170">
        <v>160</v>
      </c>
      <c r="B162" s="3171" t="s">
        <v>3790</v>
      </c>
      <c r="C162" s="3172" t="s">
        <v>3395</v>
      </c>
      <c r="D162" s="3173" t="s">
        <v>3791</v>
      </c>
      <c r="E162" s="3172" t="s">
        <v>3792</v>
      </c>
      <c r="F162" s="3171">
        <v>1</v>
      </c>
      <c r="G162" s="3171">
        <v>101</v>
      </c>
      <c r="H162" s="3174">
        <v>192.38</v>
      </c>
      <c r="I162" s="3175">
        <v>22001827.27</v>
      </c>
      <c r="J162" s="3176" t="s">
        <v>3453</v>
      </c>
    </row>
    <row r="163" spans="1:10" ht="16.5">
      <c r="A163" s="3170">
        <v>161</v>
      </c>
      <c r="B163" s="3171" t="s">
        <v>3790</v>
      </c>
      <c r="C163" s="3172" t="s">
        <v>3395</v>
      </c>
      <c r="D163" s="3173" t="s">
        <v>3793</v>
      </c>
      <c r="E163" s="3172" t="s">
        <v>3794</v>
      </c>
      <c r="F163" s="3171">
        <v>1</v>
      </c>
      <c r="G163" s="3171">
        <v>102</v>
      </c>
      <c r="H163" s="3174">
        <v>167.95</v>
      </c>
      <c r="I163" s="3175">
        <v>19207853.68</v>
      </c>
      <c r="J163" s="3176" t="s">
        <v>3453</v>
      </c>
    </row>
    <row r="164" spans="1:10" ht="16.5">
      <c r="A164" s="3170">
        <v>162</v>
      </c>
      <c r="B164" s="3171" t="s">
        <v>3790</v>
      </c>
      <c r="C164" s="3172" t="s">
        <v>3395</v>
      </c>
      <c r="D164" s="3174" t="s">
        <v>3795</v>
      </c>
      <c r="E164" s="3172" t="s">
        <v>3796</v>
      </c>
      <c r="F164" s="3171">
        <v>1</v>
      </c>
      <c r="G164" s="3171">
        <v>201</v>
      </c>
      <c r="H164" s="3174">
        <v>192.4</v>
      </c>
      <c r="I164" s="3175">
        <v>22388914.600000001</v>
      </c>
      <c r="J164" s="3176" t="s">
        <v>3453</v>
      </c>
    </row>
    <row r="165" spans="1:10" ht="16.5">
      <c r="A165" s="3170">
        <v>163</v>
      </c>
      <c r="B165" s="3171" t="s">
        <v>3790</v>
      </c>
      <c r="C165" s="3172" t="s">
        <v>3395</v>
      </c>
      <c r="D165" s="3174" t="s">
        <v>3797</v>
      </c>
      <c r="E165" s="3172" t="s">
        <v>3798</v>
      </c>
      <c r="F165" s="3171">
        <v>1</v>
      </c>
      <c r="G165" s="3171">
        <v>301</v>
      </c>
      <c r="H165" s="3174">
        <v>192.4</v>
      </c>
      <c r="I165" s="3175">
        <v>23543314.600000001</v>
      </c>
      <c r="J165" s="3176" t="s">
        <v>3453</v>
      </c>
    </row>
    <row r="166" spans="1:10" ht="16.5">
      <c r="A166" s="3170">
        <v>164</v>
      </c>
      <c r="B166" s="3171" t="s">
        <v>3790</v>
      </c>
      <c r="C166" s="3172" t="s">
        <v>3395</v>
      </c>
      <c r="D166" s="3174" t="s">
        <v>3799</v>
      </c>
      <c r="E166" s="3172" t="s">
        <v>3800</v>
      </c>
      <c r="F166" s="3171">
        <v>1</v>
      </c>
      <c r="G166" s="3171">
        <v>302</v>
      </c>
      <c r="H166" s="3174">
        <v>184.35</v>
      </c>
      <c r="I166" s="3175">
        <v>22558264.280000001</v>
      </c>
      <c r="J166" s="3176" t="s">
        <v>3453</v>
      </c>
    </row>
    <row r="167" spans="1:10" ht="16.5">
      <c r="A167" s="3170">
        <v>165</v>
      </c>
      <c r="B167" s="3171" t="s">
        <v>3790</v>
      </c>
      <c r="C167" s="3172" t="s">
        <v>3395</v>
      </c>
      <c r="D167" s="3174" t="s">
        <v>3801</v>
      </c>
      <c r="E167" s="3172" t="s">
        <v>3802</v>
      </c>
      <c r="F167" s="3171">
        <v>1</v>
      </c>
      <c r="G167" s="3171">
        <v>401</v>
      </c>
      <c r="H167" s="3174">
        <v>192.4</v>
      </c>
      <c r="I167" s="3175">
        <v>23350914.600000001</v>
      </c>
      <c r="J167" s="3176" t="s">
        <v>3453</v>
      </c>
    </row>
    <row r="168" spans="1:10" ht="16.5">
      <c r="A168" s="3170">
        <v>166</v>
      </c>
      <c r="B168" s="3171" t="s">
        <v>3790</v>
      </c>
      <c r="C168" s="3172" t="s">
        <v>3395</v>
      </c>
      <c r="D168" s="3173" t="s">
        <v>3803</v>
      </c>
      <c r="E168" s="3172" t="s">
        <v>3804</v>
      </c>
      <c r="F168" s="3171">
        <v>2</v>
      </c>
      <c r="G168" s="3171">
        <v>101</v>
      </c>
      <c r="H168" s="3174">
        <v>167.95</v>
      </c>
      <c r="I168" s="3175">
        <v>19543753.68</v>
      </c>
      <c r="J168" s="3176" t="s">
        <v>3453</v>
      </c>
    </row>
    <row r="169" spans="1:10" ht="16.5">
      <c r="A169" s="3170">
        <v>167</v>
      </c>
      <c r="B169" s="3171" t="s">
        <v>3805</v>
      </c>
      <c r="C169" s="3172" t="s">
        <v>3395</v>
      </c>
      <c r="D169" s="3173" t="s">
        <v>3806</v>
      </c>
      <c r="E169" s="3172" t="s">
        <v>3807</v>
      </c>
      <c r="F169" s="3171">
        <v>1</v>
      </c>
      <c r="G169" s="3171">
        <v>101</v>
      </c>
      <c r="H169" s="3174">
        <v>184.92</v>
      </c>
      <c r="I169" s="3175">
        <v>22101176.100000001</v>
      </c>
      <c r="J169" s="3176" t="s">
        <v>3453</v>
      </c>
    </row>
    <row r="170" spans="1:10" ht="16.5">
      <c r="A170" s="3170">
        <v>168</v>
      </c>
      <c r="B170" s="3171" t="s">
        <v>3805</v>
      </c>
      <c r="C170" s="3172" t="s">
        <v>3395</v>
      </c>
      <c r="D170" s="3173" t="s">
        <v>3808</v>
      </c>
      <c r="E170" s="3172" t="s">
        <v>3809</v>
      </c>
      <c r="F170" s="3171">
        <v>1</v>
      </c>
      <c r="G170" s="3171">
        <v>102</v>
      </c>
      <c r="H170" s="3174">
        <v>168.05</v>
      </c>
      <c r="I170" s="3175">
        <v>19710920.600000001</v>
      </c>
      <c r="J170" s="3176" t="s">
        <v>3453</v>
      </c>
    </row>
    <row r="171" spans="1:10" ht="16.5">
      <c r="A171" s="3170">
        <v>169</v>
      </c>
      <c r="B171" s="3171" t="s">
        <v>3805</v>
      </c>
      <c r="C171" s="3172" t="s">
        <v>3395</v>
      </c>
      <c r="D171" s="3173" t="s">
        <v>3810</v>
      </c>
      <c r="E171" s="3172" t="s">
        <v>3811</v>
      </c>
      <c r="F171" s="3171">
        <v>1</v>
      </c>
      <c r="G171" s="3171">
        <v>201</v>
      </c>
      <c r="H171" s="3174">
        <v>184.96</v>
      </c>
      <c r="I171" s="3175">
        <v>22290918.649999999</v>
      </c>
      <c r="J171" s="3176" t="s">
        <v>3453</v>
      </c>
    </row>
    <row r="172" spans="1:10" ht="16.5">
      <c r="A172" s="3170">
        <v>170</v>
      </c>
      <c r="B172" s="3171" t="s">
        <v>3805</v>
      </c>
      <c r="C172" s="3172" t="s">
        <v>3395</v>
      </c>
      <c r="D172" s="3173" t="s">
        <v>3812</v>
      </c>
      <c r="E172" s="3172" t="s">
        <v>3813</v>
      </c>
      <c r="F172" s="3171">
        <v>1</v>
      </c>
      <c r="G172" s="3171">
        <v>302</v>
      </c>
      <c r="H172" s="3174">
        <v>184.96</v>
      </c>
      <c r="I172" s="3175">
        <v>22804088.32</v>
      </c>
      <c r="J172" s="3176" t="s">
        <v>3469</v>
      </c>
    </row>
    <row r="173" spans="1:10" ht="16.5">
      <c r="A173" s="3170">
        <v>171</v>
      </c>
      <c r="B173" s="3171" t="s">
        <v>3805</v>
      </c>
      <c r="C173" s="3172" t="s">
        <v>3395</v>
      </c>
      <c r="D173" s="3177" t="s">
        <v>3814</v>
      </c>
      <c r="E173" s="3172" t="s">
        <v>3815</v>
      </c>
      <c r="F173" s="3171">
        <v>1</v>
      </c>
      <c r="G173" s="3171">
        <v>401</v>
      </c>
      <c r="H173" s="3174">
        <v>184.96</v>
      </c>
      <c r="I173" s="3175">
        <v>23030758.649999999</v>
      </c>
      <c r="J173" s="3176" t="s">
        <v>3453</v>
      </c>
    </row>
    <row r="174" spans="1:10" ht="16.5">
      <c r="A174" s="3170">
        <v>172</v>
      </c>
      <c r="B174" s="3171" t="s">
        <v>3816</v>
      </c>
      <c r="C174" s="3172" t="s">
        <v>3395</v>
      </c>
      <c r="D174" s="3174" t="s">
        <v>3817</v>
      </c>
      <c r="E174" s="3172" t="s">
        <v>3818</v>
      </c>
      <c r="F174" s="3171">
        <v>1</v>
      </c>
      <c r="G174" s="3171">
        <v>102</v>
      </c>
      <c r="H174" s="3174">
        <v>192.52</v>
      </c>
      <c r="I174" s="3175">
        <v>23230972.559999999</v>
      </c>
      <c r="J174" s="3176" t="s">
        <v>3469</v>
      </c>
    </row>
    <row r="175" spans="1:10" ht="16.5">
      <c r="A175" s="3170">
        <v>173</v>
      </c>
      <c r="B175" s="3171" t="s">
        <v>3816</v>
      </c>
      <c r="C175" s="3172" t="s">
        <v>3395</v>
      </c>
      <c r="D175" s="3174" t="s">
        <v>3819</v>
      </c>
      <c r="E175" s="3172" t="s">
        <v>3820</v>
      </c>
      <c r="F175" s="3171">
        <v>1</v>
      </c>
      <c r="G175" s="3171">
        <v>301</v>
      </c>
      <c r="H175" s="3174">
        <v>192.54</v>
      </c>
      <c r="I175" s="3175">
        <v>24388625.91</v>
      </c>
      <c r="J175" s="3176" t="s">
        <v>3453</v>
      </c>
    </row>
    <row r="176" spans="1:10" ht="16.5">
      <c r="A176" s="3170">
        <v>174</v>
      </c>
      <c r="B176" s="3171" t="s">
        <v>3821</v>
      </c>
      <c r="C176" s="3172" t="s">
        <v>3395</v>
      </c>
      <c r="D176" s="3174" t="s">
        <v>3822</v>
      </c>
      <c r="E176" s="3172" t="s">
        <v>3823</v>
      </c>
      <c r="F176" s="3171">
        <v>1</v>
      </c>
      <c r="G176" s="3171">
        <v>102</v>
      </c>
      <c r="H176" s="3174">
        <v>168.04</v>
      </c>
      <c r="I176" s="3175">
        <v>19713920.109999999</v>
      </c>
      <c r="J176" s="3176" t="s">
        <v>3453</v>
      </c>
    </row>
    <row r="177" spans="1:10" ht="16.5">
      <c r="A177" s="3170">
        <v>175</v>
      </c>
      <c r="B177" s="3171" t="s">
        <v>3821</v>
      </c>
      <c r="C177" s="3172" t="s">
        <v>3395</v>
      </c>
      <c r="D177" s="3173" t="s">
        <v>3824</v>
      </c>
      <c r="E177" s="3172" t="s">
        <v>3825</v>
      </c>
      <c r="F177" s="3171">
        <v>2</v>
      </c>
      <c r="G177" s="3171">
        <v>101</v>
      </c>
      <c r="H177" s="3174">
        <v>168.04</v>
      </c>
      <c r="I177" s="3175">
        <v>19713920.109999999</v>
      </c>
      <c r="J177" s="3176" t="s">
        <v>3453</v>
      </c>
    </row>
    <row r="178" spans="1:10" ht="16.5">
      <c r="A178" s="3170">
        <v>176</v>
      </c>
      <c r="B178" s="3171" t="s">
        <v>3821</v>
      </c>
      <c r="C178" s="3172" t="s">
        <v>3395</v>
      </c>
      <c r="D178" s="3174" t="s">
        <v>3826</v>
      </c>
      <c r="E178" s="3172" t="s">
        <v>3827</v>
      </c>
      <c r="F178" s="3171">
        <v>2</v>
      </c>
      <c r="G178" s="3171">
        <v>301</v>
      </c>
      <c r="H178" s="3174">
        <v>184.45</v>
      </c>
      <c r="I178" s="3175">
        <v>22745789.289999999</v>
      </c>
      <c r="J178" s="3176" t="s">
        <v>3469</v>
      </c>
    </row>
    <row r="179" spans="1:10" ht="16.5">
      <c r="A179" s="3170">
        <v>177</v>
      </c>
      <c r="B179" s="3171" t="s">
        <v>3821</v>
      </c>
      <c r="C179" s="3172" t="s">
        <v>3395</v>
      </c>
      <c r="D179" s="3174" t="s">
        <v>3828</v>
      </c>
      <c r="E179" s="3172" t="s">
        <v>3829</v>
      </c>
      <c r="F179" s="3171">
        <v>2</v>
      </c>
      <c r="G179" s="3171">
        <v>402</v>
      </c>
      <c r="H179" s="3174">
        <v>184.45</v>
      </c>
      <c r="I179" s="3175">
        <v>22561339.289999999</v>
      </c>
      <c r="J179" s="3176" t="s">
        <v>3469</v>
      </c>
    </row>
    <row r="180" spans="1:10" ht="16.5">
      <c r="A180" s="3170">
        <v>178</v>
      </c>
      <c r="B180" s="3171" t="s">
        <v>3821</v>
      </c>
      <c r="C180" s="3172" t="s">
        <v>3395</v>
      </c>
      <c r="D180" s="3173" t="s">
        <v>3830</v>
      </c>
      <c r="E180" s="3172" t="s">
        <v>3831</v>
      </c>
      <c r="F180" s="3171">
        <v>3</v>
      </c>
      <c r="G180" s="3171">
        <v>101</v>
      </c>
      <c r="H180" s="3174">
        <v>168.04</v>
      </c>
      <c r="I180" s="3175">
        <v>19634072.550000001</v>
      </c>
      <c r="J180" s="3176" t="s">
        <v>3453</v>
      </c>
    </row>
    <row r="181" spans="1:10" ht="16.5">
      <c r="A181" s="3170">
        <v>179</v>
      </c>
      <c r="B181" s="3171" t="s">
        <v>3821</v>
      </c>
      <c r="C181" s="3172" t="s">
        <v>3395</v>
      </c>
      <c r="D181" s="3173" t="s">
        <v>3832</v>
      </c>
      <c r="E181" s="3172" t="s">
        <v>3833</v>
      </c>
      <c r="F181" s="3171">
        <v>3</v>
      </c>
      <c r="G181" s="3171">
        <v>102</v>
      </c>
      <c r="H181" s="3174">
        <v>184.91</v>
      </c>
      <c r="I181" s="3175">
        <v>21605191.350000001</v>
      </c>
      <c r="J181" s="3176" t="s">
        <v>3453</v>
      </c>
    </row>
    <row r="182" spans="1:10" ht="16.5">
      <c r="A182" s="3170">
        <v>180</v>
      </c>
      <c r="B182" s="3171" t="s">
        <v>3834</v>
      </c>
      <c r="C182" s="3172" t="s">
        <v>3395</v>
      </c>
      <c r="D182" s="3174" t="s">
        <v>3835</v>
      </c>
      <c r="E182" s="3172" t="s">
        <v>3836</v>
      </c>
      <c r="F182" s="3171">
        <v>1</v>
      </c>
      <c r="G182" s="3171">
        <v>101</v>
      </c>
      <c r="H182" s="3174">
        <v>192.5</v>
      </c>
      <c r="I182" s="3175">
        <v>21409370.68</v>
      </c>
      <c r="J182" s="3176" t="s">
        <v>3453</v>
      </c>
    </row>
    <row r="183" spans="1:10" ht="16.5">
      <c r="A183" s="3170">
        <v>181</v>
      </c>
      <c r="B183" s="3171" t="s">
        <v>3834</v>
      </c>
      <c r="C183" s="3172" t="s">
        <v>3395</v>
      </c>
      <c r="D183" s="3174" t="s">
        <v>3837</v>
      </c>
      <c r="E183" s="3172" t="s">
        <v>3838</v>
      </c>
      <c r="F183" s="3171">
        <v>1</v>
      </c>
      <c r="G183" s="3171">
        <v>102</v>
      </c>
      <c r="H183" s="3174">
        <v>161.81</v>
      </c>
      <c r="I183" s="3175">
        <v>18574493.52</v>
      </c>
      <c r="J183" s="3176" t="s">
        <v>3453</v>
      </c>
    </row>
    <row r="184" spans="1:10" ht="16.5">
      <c r="A184" s="3170">
        <v>182</v>
      </c>
      <c r="B184" s="3171" t="s">
        <v>3834</v>
      </c>
      <c r="C184" s="3172" t="s">
        <v>3395</v>
      </c>
      <c r="D184" s="3174" t="s">
        <v>3839</v>
      </c>
      <c r="E184" s="3172" t="s">
        <v>3840</v>
      </c>
      <c r="F184" s="3171">
        <v>1</v>
      </c>
      <c r="G184" s="3171">
        <v>201</v>
      </c>
      <c r="H184" s="3174">
        <v>192.52</v>
      </c>
      <c r="I184" s="3175">
        <v>21989153.100000001</v>
      </c>
      <c r="J184" s="3176" t="s">
        <v>3453</v>
      </c>
    </row>
    <row r="185" spans="1:10" ht="16.5">
      <c r="A185" s="3170">
        <v>183</v>
      </c>
      <c r="B185" s="3171" t="s">
        <v>3834</v>
      </c>
      <c r="C185" s="3172" t="s">
        <v>3395</v>
      </c>
      <c r="D185" s="3173" t="s">
        <v>3841</v>
      </c>
      <c r="E185" s="3172" t="s">
        <v>3842</v>
      </c>
      <c r="F185" s="3171">
        <v>1</v>
      </c>
      <c r="G185" s="3171">
        <v>202</v>
      </c>
      <c r="H185" s="3174">
        <v>184.46</v>
      </c>
      <c r="I185" s="3175">
        <v>21727912.32</v>
      </c>
      <c r="J185" s="3176" t="s">
        <v>3453</v>
      </c>
    </row>
    <row r="186" spans="1:10" ht="16.5">
      <c r="A186" s="3170">
        <v>184</v>
      </c>
      <c r="B186" s="3171" t="s">
        <v>3834</v>
      </c>
      <c r="C186" s="3172" t="s">
        <v>3395</v>
      </c>
      <c r="D186" s="3174" t="s">
        <v>3843</v>
      </c>
      <c r="E186" s="3172" t="s">
        <v>3844</v>
      </c>
      <c r="F186" s="3171">
        <v>1</v>
      </c>
      <c r="G186" s="3171">
        <v>301</v>
      </c>
      <c r="H186" s="3174">
        <v>192.52</v>
      </c>
      <c r="I186" s="3175">
        <v>22951753.100000001</v>
      </c>
      <c r="J186" s="3176" t="s">
        <v>3453</v>
      </c>
    </row>
    <row r="187" spans="1:10" ht="16.5">
      <c r="A187" s="3170">
        <v>185</v>
      </c>
      <c r="B187" s="3171" t="s">
        <v>3834</v>
      </c>
      <c r="C187" s="3172" t="s">
        <v>3395</v>
      </c>
      <c r="D187" s="3174" t="s">
        <v>3845</v>
      </c>
      <c r="E187" s="3172" t="s">
        <v>3846</v>
      </c>
      <c r="F187" s="3171">
        <v>1</v>
      </c>
      <c r="G187" s="3171">
        <v>401</v>
      </c>
      <c r="H187" s="3174">
        <v>192.52</v>
      </c>
      <c r="I187" s="3175">
        <v>22759233.100000001</v>
      </c>
      <c r="J187" s="3176" t="s">
        <v>3453</v>
      </c>
    </row>
    <row r="188" spans="1:10" ht="16.5">
      <c r="A188" s="3170">
        <v>186</v>
      </c>
      <c r="B188" s="3171" t="s">
        <v>3834</v>
      </c>
      <c r="C188" s="3172" t="s">
        <v>3395</v>
      </c>
      <c r="D188" s="3173" t="s">
        <v>3847</v>
      </c>
      <c r="E188" s="3172" t="s">
        <v>3848</v>
      </c>
      <c r="F188" s="3171">
        <v>1</v>
      </c>
      <c r="G188" s="3171">
        <v>402</v>
      </c>
      <c r="H188" s="3174">
        <v>184.46</v>
      </c>
      <c r="I188" s="3175">
        <v>22465752.32</v>
      </c>
      <c r="J188" s="3176" t="s">
        <v>3453</v>
      </c>
    </row>
    <row r="189" spans="1:10" ht="16.5">
      <c r="A189" s="3170">
        <v>187</v>
      </c>
      <c r="B189" s="3171" t="s">
        <v>3834</v>
      </c>
      <c r="C189" s="3172" t="s">
        <v>3395</v>
      </c>
      <c r="D189" s="3174" t="s">
        <v>3849</v>
      </c>
      <c r="E189" s="3172" t="s">
        <v>3850</v>
      </c>
      <c r="F189" s="3171">
        <v>2</v>
      </c>
      <c r="G189" s="3171">
        <v>101</v>
      </c>
      <c r="H189" s="3174">
        <v>161.81</v>
      </c>
      <c r="I189" s="3175">
        <v>18728266.420000002</v>
      </c>
      <c r="J189" s="3176" t="s">
        <v>3453</v>
      </c>
    </row>
    <row r="190" spans="1:10" ht="16.5">
      <c r="A190" s="3170">
        <v>188</v>
      </c>
      <c r="B190" s="3171" t="s">
        <v>3834</v>
      </c>
      <c r="C190" s="3172" t="s">
        <v>3395</v>
      </c>
      <c r="D190" s="3174" t="s">
        <v>3851</v>
      </c>
      <c r="E190" s="3172" t="s">
        <v>3852</v>
      </c>
      <c r="F190" s="3171">
        <v>2</v>
      </c>
      <c r="G190" s="3171">
        <v>102</v>
      </c>
      <c r="H190" s="3174">
        <v>184.92</v>
      </c>
      <c r="I190" s="3175">
        <v>21403073.510000002</v>
      </c>
      <c r="J190" s="3176" t="s">
        <v>3453</v>
      </c>
    </row>
    <row r="191" spans="1:10" ht="16.5">
      <c r="A191" s="3170">
        <v>189</v>
      </c>
      <c r="B191" s="3171" t="s">
        <v>3834</v>
      </c>
      <c r="C191" s="3172" t="s">
        <v>3395</v>
      </c>
      <c r="D191" s="3174" t="s">
        <v>3853</v>
      </c>
      <c r="E191" s="3172" t="s">
        <v>3854</v>
      </c>
      <c r="F191" s="3171">
        <v>2</v>
      </c>
      <c r="G191" s="3171">
        <v>301</v>
      </c>
      <c r="H191" s="3174">
        <v>184.46</v>
      </c>
      <c r="I191" s="3175">
        <v>22825510.190000001</v>
      </c>
      <c r="J191" s="3176" t="s">
        <v>3453</v>
      </c>
    </row>
    <row r="192" spans="1:10" ht="16.5">
      <c r="A192" s="3170">
        <v>190</v>
      </c>
      <c r="B192" s="3171" t="s">
        <v>3834</v>
      </c>
      <c r="C192" s="3172" t="s">
        <v>3395</v>
      </c>
      <c r="D192" s="3174" t="s">
        <v>3855</v>
      </c>
      <c r="E192" s="3172" t="s">
        <v>3856</v>
      </c>
      <c r="F192" s="3171">
        <v>2</v>
      </c>
      <c r="G192" s="3171">
        <v>401</v>
      </c>
      <c r="H192" s="3174">
        <v>184.46</v>
      </c>
      <c r="I192" s="3175">
        <v>22641050.190000001</v>
      </c>
      <c r="J192" s="3176" t="s">
        <v>3453</v>
      </c>
    </row>
    <row r="193" spans="8:8">
      <c r="H193" s="3178">
        <f>SUM(H3:H192)</f>
        <v>40881.349999999984</v>
      </c>
    </row>
    <row r="194" spans="8:8">
      <c r="H194" s="3178">
        <f>'未售清单-仓储'!H470</f>
        <v>16546.309999999998</v>
      </c>
    </row>
    <row r="195" spans="8:8">
      <c r="H195" s="3178">
        <f>'未售清单-车位'!H452</f>
        <v>16849.759999999893</v>
      </c>
    </row>
    <row r="196" spans="8:8">
      <c r="H196" s="3178">
        <f>SUM(H193:H195)</f>
        <v>74277.419999999867</v>
      </c>
    </row>
  </sheetData>
  <autoFilter ref="A2:P158"/>
  <mergeCells count="1">
    <mergeCell ref="A1:H1"/>
  </mergeCells>
  <phoneticPr fontId="134" type="noConversion"/>
  <conditionalFormatting sqref="D3:D192">
    <cfRule type="duplicateValues" dxfId="1456" priority="1"/>
    <cfRule type="expression" dxfId="145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0"/>
  <sheetViews>
    <sheetView zoomScaleNormal="100" zoomScaleSheetLayoutView="100" workbookViewId="0">
      <selection activeCell="H469" sqref="H3:H469"/>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62" t="s">
        <v>3437</v>
      </c>
      <c r="B1" s="3262"/>
      <c r="C1" s="3262"/>
      <c r="D1" s="3262"/>
      <c r="E1" s="3262"/>
      <c r="F1" s="3262"/>
      <c r="G1" s="3262"/>
      <c r="H1" s="3262"/>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3450</v>
      </c>
      <c r="C3" s="3172" t="s">
        <v>3857</v>
      </c>
      <c r="D3" s="3173" t="s">
        <v>3858</v>
      </c>
      <c r="E3" s="3172" t="s">
        <v>3859</v>
      </c>
      <c r="F3" s="3179" t="s">
        <v>3324</v>
      </c>
      <c r="G3" s="3171">
        <v>-101</v>
      </c>
      <c r="H3" s="3174">
        <v>30.96</v>
      </c>
      <c r="I3" s="3175">
        <v>1083600</v>
      </c>
      <c r="J3" s="3176" t="s">
        <v>3453</v>
      </c>
      <c r="K3" s="3163"/>
      <c r="M3" s="3163"/>
    </row>
    <row r="4" spans="1:13" ht="16.5">
      <c r="A4" s="3170">
        <v>2</v>
      </c>
      <c r="B4" s="3171" t="s">
        <v>3450</v>
      </c>
      <c r="C4" s="3172" t="s">
        <v>3857</v>
      </c>
      <c r="D4" s="3173" t="s">
        <v>3860</v>
      </c>
      <c r="E4" s="3172" t="s">
        <v>3861</v>
      </c>
      <c r="F4" s="3179" t="s">
        <v>3324</v>
      </c>
      <c r="G4" s="3171">
        <v>-102</v>
      </c>
      <c r="H4" s="3174">
        <v>16.05</v>
      </c>
      <c r="I4" s="3175">
        <v>561750</v>
      </c>
      <c r="J4" s="3176" t="s">
        <v>3453</v>
      </c>
      <c r="K4" s="3163"/>
      <c r="M4" s="3163"/>
    </row>
    <row r="5" spans="1:13" ht="16.5">
      <c r="A5" s="3170">
        <v>3</v>
      </c>
      <c r="B5" s="3171" t="s">
        <v>3450</v>
      </c>
      <c r="C5" s="3172" t="s">
        <v>3857</v>
      </c>
      <c r="D5" s="3173" t="s">
        <v>3862</v>
      </c>
      <c r="E5" s="3172" t="s">
        <v>3863</v>
      </c>
      <c r="F5" s="3179" t="s">
        <v>3324</v>
      </c>
      <c r="G5" s="3171">
        <v>-103</v>
      </c>
      <c r="H5" s="3174">
        <v>46.62</v>
      </c>
      <c r="I5" s="3175">
        <v>1631700</v>
      </c>
      <c r="J5" s="3176" t="s">
        <v>3453</v>
      </c>
      <c r="K5" s="3163"/>
      <c r="M5" s="3163"/>
    </row>
    <row r="6" spans="1:13" ht="16.5">
      <c r="A6" s="3170">
        <v>4</v>
      </c>
      <c r="B6" s="3171" t="s">
        <v>3450</v>
      </c>
      <c r="C6" s="3172" t="s">
        <v>3857</v>
      </c>
      <c r="D6" s="3173" t="s">
        <v>3864</v>
      </c>
      <c r="E6" s="3172" t="s">
        <v>3865</v>
      </c>
      <c r="F6" s="3179" t="s">
        <v>3324</v>
      </c>
      <c r="G6" s="3171">
        <v>-104</v>
      </c>
      <c r="H6" s="3174">
        <v>53.65</v>
      </c>
      <c r="I6" s="3175">
        <v>1877750</v>
      </c>
      <c r="J6" s="3176" t="s">
        <v>3453</v>
      </c>
      <c r="K6" s="3163"/>
      <c r="M6" s="3163"/>
    </row>
    <row r="7" spans="1:13" ht="16.5">
      <c r="A7" s="3170">
        <v>5</v>
      </c>
      <c r="B7" s="3171" t="s">
        <v>3450</v>
      </c>
      <c r="C7" s="3172" t="s">
        <v>3857</v>
      </c>
      <c r="D7" s="3173" t="s">
        <v>3866</v>
      </c>
      <c r="E7" s="3172" t="s">
        <v>3867</v>
      </c>
      <c r="F7" s="3179" t="s">
        <v>3324</v>
      </c>
      <c r="G7" s="3171">
        <v>-105</v>
      </c>
      <c r="H7" s="3174">
        <v>23.61</v>
      </c>
      <c r="I7" s="3175">
        <v>826350</v>
      </c>
      <c r="J7" s="3176" t="s">
        <v>3453</v>
      </c>
      <c r="K7" s="3163"/>
      <c r="M7" s="3163"/>
    </row>
    <row r="8" spans="1:13" ht="16.5">
      <c r="A8" s="3170">
        <v>6</v>
      </c>
      <c r="B8" s="3171" t="s">
        <v>3450</v>
      </c>
      <c r="C8" s="3172" t="s">
        <v>3857</v>
      </c>
      <c r="D8" s="3173" t="s">
        <v>3868</v>
      </c>
      <c r="E8" s="3172" t="s">
        <v>3869</v>
      </c>
      <c r="F8" s="3179" t="s">
        <v>3324</v>
      </c>
      <c r="G8" s="3171">
        <v>-106</v>
      </c>
      <c r="H8" s="3174">
        <v>23.65</v>
      </c>
      <c r="I8" s="3175">
        <v>827750</v>
      </c>
      <c r="J8" s="3176" t="s">
        <v>3453</v>
      </c>
      <c r="K8" s="3163"/>
      <c r="M8" s="3163"/>
    </row>
    <row r="9" spans="1:13" ht="16.5">
      <c r="A9" s="3170">
        <v>7</v>
      </c>
      <c r="B9" s="3171" t="s">
        <v>3450</v>
      </c>
      <c r="C9" s="3172" t="s">
        <v>3857</v>
      </c>
      <c r="D9" s="3173" t="s">
        <v>3870</v>
      </c>
      <c r="E9" s="3172" t="s">
        <v>3871</v>
      </c>
      <c r="F9" s="3179" t="s">
        <v>3324</v>
      </c>
      <c r="G9" s="3171">
        <v>-107</v>
      </c>
      <c r="H9" s="3174">
        <v>56.61</v>
      </c>
      <c r="I9" s="3175">
        <v>1981350</v>
      </c>
      <c r="J9" s="3176" t="s">
        <v>3453</v>
      </c>
      <c r="K9" s="3163"/>
      <c r="M9" s="3163"/>
    </row>
    <row r="10" spans="1:13" ht="16.5">
      <c r="A10" s="3170">
        <v>8</v>
      </c>
      <c r="B10" s="3171" t="s">
        <v>3450</v>
      </c>
      <c r="C10" s="3172" t="s">
        <v>3857</v>
      </c>
      <c r="D10" s="3173" t="s">
        <v>3872</v>
      </c>
      <c r="E10" s="3172" t="s">
        <v>3873</v>
      </c>
      <c r="F10" s="3179" t="s">
        <v>3324</v>
      </c>
      <c r="G10" s="3171">
        <v>-108</v>
      </c>
      <c r="H10" s="3174">
        <v>41.07</v>
      </c>
      <c r="I10" s="3175">
        <v>1437450</v>
      </c>
      <c r="J10" s="3176" t="s">
        <v>3453</v>
      </c>
      <c r="K10" s="3163"/>
      <c r="M10" s="3163"/>
    </row>
    <row r="11" spans="1:13" ht="16.5">
      <c r="A11" s="3170">
        <v>9</v>
      </c>
      <c r="B11" s="3171" t="s">
        <v>3450</v>
      </c>
      <c r="C11" s="3172" t="s">
        <v>3857</v>
      </c>
      <c r="D11" s="3173" t="s">
        <v>3874</v>
      </c>
      <c r="E11" s="3172" t="s">
        <v>3875</v>
      </c>
      <c r="F11" s="3179" t="s">
        <v>3324</v>
      </c>
      <c r="G11" s="3171">
        <v>-109</v>
      </c>
      <c r="H11" s="3174">
        <v>41.07</v>
      </c>
      <c r="I11" s="3175">
        <v>1437450</v>
      </c>
      <c r="J11" s="3176" t="s">
        <v>3453</v>
      </c>
      <c r="K11" s="3163"/>
      <c r="M11" s="3163"/>
    </row>
    <row r="12" spans="1:13" ht="16.5">
      <c r="A12" s="3170">
        <v>10</v>
      </c>
      <c r="B12" s="3171" t="s">
        <v>3450</v>
      </c>
      <c r="C12" s="3172" t="s">
        <v>3857</v>
      </c>
      <c r="D12" s="3173" t="s">
        <v>3876</v>
      </c>
      <c r="E12" s="3172" t="s">
        <v>3877</v>
      </c>
      <c r="F12" s="3179" t="s">
        <v>3324</v>
      </c>
      <c r="G12" s="3171">
        <v>-111</v>
      </c>
      <c r="H12" s="3174">
        <v>23.65</v>
      </c>
      <c r="I12" s="3175">
        <v>827750</v>
      </c>
      <c r="J12" s="3176" t="s">
        <v>3453</v>
      </c>
      <c r="K12" s="3163"/>
      <c r="M12" s="3163"/>
    </row>
    <row r="13" spans="1:13" ht="16.5">
      <c r="A13" s="3170">
        <v>11</v>
      </c>
      <c r="B13" s="3171" t="s">
        <v>3450</v>
      </c>
      <c r="C13" s="3172" t="s">
        <v>3857</v>
      </c>
      <c r="D13" s="3173" t="s">
        <v>3878</v>
      </c>
      <c r="E13" s="3172" t="s">
        <v>3879</v>
      </c>
      <c r="F13" s="3179" t="s">
        <v>3324</v>
      </c>
      <c r="G13" s="3171">
        <v>-112</v>
      </c>
      <c r="H13" s="3174">
        <v>23.61</v>
      </c>
      <c r="I13" s="3175">
        <v>826350</v>
      </c>
      <c r="J13" s="3176" t="s">
        <v>3453</v>
      </c>
      <c r="K13" s="3163"/>
      <c r="M13" s="3163"/>
    </row>
    <row r="14" spans="1:13" ht="16.5">
      <c r="A14" s="3170">
        <v>12</v>
      </c>
      <c r="B14" s="3171" t="s">
        <v>3450</v>
      </c>
      <c r="C14" s="3172" t="s">
        <v>3857</v>
      </c>
      <c r="D14" s="3173" t="s">
        <v>3880</v>
      </c>
      <c r="E14" s="3172" t="s">
        <v>3881</v>
      </c>
      <c r="F14" s="3179" t="s">
        <v>3324</v>
      </c>
      <c r="G14" s="3171">
        <v>-113</v>
      </c>
      <c r="H14" s="3174">
        <v>49.56</v>
      </c>
      <c r="I14" s="3175">
        <v>1734600</v>
      </c>
      <c r="J14" s="3176" t="s">
        <v>3453</v>
      </c>
      <c r="K14" s="3163"/>
      <c r="M14" s="3163"/>
    </row>
    <row r="15" spans="1:13" ht="16.5">
      <c r="A15" s="3170">
        <v>13</v>
      </c>
      <c r="B15" s="3171" t="s">
        <v>3450</v>
      </c>
      <c r="C15" s="3172" t="s">
        <v>3857</v>
      </c>
      <c r="D15" s="3173" t="s">
        <v>3882</v>
      </c>
      <c r="E15" s="3172" t="s">
        <v>3883</v>
      </c>
      <c r="F15" s="3179" t="s">
        <v>3324</v>
      </c>
      <c r="G15" s="3171">
        <v>-114</v>
      </c>
      <c r="H15" s="3174">
        <v>47.93</v>
      </c>
      <c r="I15" s="3175">
        <v>1677550</v>
      </c>
      <c r="J15" s="3176" t="s">
        <v>3453</v>
      </c>
      <c r="K15" s="3163"/>
      <c r="M15" s="3163"/>
    </row>
    <row r="16" spans="1:13" ht="16.5">
      <c r="A16" s="3170">
        <v>14</v>
      </c>
      <c r="B16" s="3171" t="s">
        <v>3450</v>
      </c>
      <c r="C16" s="3172" t="s">
        <v>3857</v>
      </c>
      <c r="D16" s="3173" t="s">
        <v>3884</v>
      </c>
      <c r="E16" s="3172" t="s">
        <v>3885</v>
      </c>
      <c r="F16" s="3179" t="s">
        <v>3324</v>
      </c>
      <c r="G16" s="3171">
        <v>-115</v>
      </c>
      <c r="H16" s="3174">
        <v>22.61</v>
      </c>
      <c r="I16" s="3175">
        <v>791350</v>
      </c>
      <c r="J16" s="3176" t="s">
        <v>3453</v>
      </c>
      <c r="K16" s="3163"/>
      <c r="M16" s="3163"/>
    </row>
    <row r="17" spans="1:13" ht="16.5">
      <c r="A17" s="3170">
        <v>15</v>
      </c>
      <c r="B17" s="3171" t="s">
        <v>3450</v>
      </c>
      <c r="C17" s="3172" t="s">
        <v>3857</v>
      </c>
      <c r="D17" s="3173" t="s">
        <v>3886</v>
      </c>
      <c r="E17" s="3172" t="s">
        <v>3887</v>
      </c>
      <c r="F17" s="3179" t="s">
        <v>3324</v>
      </c>
      <c r="G17" s="3171">
        <v>-116</v>
      </c>
      <c r="H17" s="3174">
        <v>27.95</v>
      </c>
      <c r="I17" s="3175">
        <v>978250</v>
      </c>
      <c r="J17" s="3176" t="s">
        <v>3453</v>
      </c>
      <c r="K17" s="3163"/>
      <c r="M17" s="3163"/>
    </row>
    <row r="18" spans="1:13" ht="16.5">
      <c r="A18" s="3170">
        <v>16</v>
      </c>
      <c r="B18" s="3171" t="s">
        <v>3450</v>
      </c>
      <c r="C18" s="3172" t="s">
        <v>3857</v>
      </c>
      <c r="D18" s="3173" t="s">
        <v>3888</v>
      </c>
      <c r="E18" s="3172" t="s">
        <v>3889</v>
      </c>
      <c r="F18" s="3179" t="s">
        <v>3324</v>
      </c>
      <c r="G18" s="3171">
        <v>-117</v>
      </c>
      <c r="H18" s="3174">
        <v>27.6</v>
      </c>
      <c r="I18" s="3175">
        <v>966000</v>
      </c>
      <c r="J18" s="3176" t="s">
        <v>3453</v>
      </c>
      <c r="K18" s="3163"/>
      <c r="M18" s="3163"/>
    </row>
    <row r="19" spans="1:13" ht="16.5">
      <c r="A19" s="3170">
        <v>17</v>
      </c>
      <c r="B19" s="3171" t="s">
        <v>3450</v>
      </c>
      <c r="C19" s="3172" t="s">
        <v>3857</v>
      </c>
      <c r="D19" s="3173" t="s">
        <v>3890</v>
      </c>
      <c r="E19" s="3172" t="s">
        <v>3891</v>
      </c>
      <c r="F19" s="3179" t="s">
        <v>3324</v>
      </c>
      <c r="G19" s="3171">
        <v>-118</v>
      </c>
      <c r="H19" s="3174">
        <v>19.13</v>
      </c>
      <c r="I19" s="3175">
        <v>669550</v>
      </c>
      <c r="J19" s="3176" t="s">
        <v>3453</v>
      </c>
      <c r="K19" s="3163"/>
      <c r="M19" s="3163"/>
    </row>
    <row r="20" spans="1:13" ht="16.5">
      <c r="A20" s="3170">
        <v>18</v>
      </c>
      <c r="B20" s="3171" t="s">
        <v>3450</v>
      </c>
      <c r="C20" s="3172" t="s">
        <v>3857</v>
      </c>
      <c r="D20" s="3173" t="s">
        <v>3892</v>
      </c>
      <c r="E20" s="3172" t="s">
        <v>3893</v>
      </c>
      <c r="F20" s="3179" t="s">
        <v>3324</v>
      </c>
      <c r="G20" s="3171">
        <v>-119</v>
      </c>
      <c r="H20" s="3174">
        <v>19.13</v>
      </c>
      <c r="I20" s="3175">
        <v>669550</v>
      </c>
      <c r="J20" s="3176" t="s">
        <v>3453</v>
      </c>
      <c r="K20" s="3163"/>
      <c r="M20" s="3163"/>
    </row>
    <row r="21" spans="1:13" ht="16.5">
      <c r="A21" s="3170">
        <v>19</v>
      </c>
      <c r="B21" s="3171" t="s">
        <v>3450</v>
      </c>
      <c r="C21" s="3172" t="s">
        <v>3857</v>
      </c>
      <c r="D21" s="3173" t="s">
        <v>3894</v>
      </c>
      <c r="E21" s="3172" t="s">
        <v>3895</v>
      </c>
      <c r="F21" s="3179" t="s">
        <v>3324</v>
      </c>
      <c r="G21" s="3171">
        <v>-120</v>
      </c>
      <c r="H21" s="3174">
        <v>27.6</v>
      </c>
      <c r="I21" s="3175">
        <v>966000</v>
      </c>
      <c r="J21" s="3176" t="s">
        <v>3453</v>
      </c>
      <c r="K21" s="3163"/>
      <c r="M21" s="3163"/>
    </row>
    <row r="22" spans="1:13" ht="16.5">
      <c r="A22" s="3170">
        <v>20</v>
      </c>
      <c r="B22" s="3171" t="s">
        <v>3450</v>
      </c>
      <c r="C22" s="3172" t="s">
        <v>3857</v>
      </c>
      <c r="D22" s="3173" t="s">
        <v>3896</v>
      </c>
      <c r="E22" s="3172" t="s">
        <v>3897</v>
      </c>
      <c r="F22" s="3179" t="s">
        <v>3324</v>
      </c>
      <c r="G22" s="3171">
        <v>-201</v>
      </c>
      <c r="H22" s="3174">
        <v>15.83</v>
      </c>
      <c r="I22" s="3175">
        <v>554050</v>
      </c>
      <c r="J22" s="3176" t="s">
        <v>3453</v>
      </c>
      <c r="K22" s="3163"/>
      <c r="M22" s="3163"/>
    </row>
    <row r="23" spans="1:13" ht="16.5">
      <c r="A23" s="3170">
        <v>21</v>
      </c>
      <c r="B23" s="3171" t="s">
        <v>3450</v>
      </c>
      <c r="C23" s="3172" t="s">
        <v>3857</v>
      </c>
      <c r="D23" s="3173" t="s">
        <v>3898</v>
      </c>
      <c r="E23" s="3172" t="s">
        <v>3899</v>
      </c>
      <c r="F23" s="3179" t="s">
        <v>3324</v>
      </c>
      <c r="G23" s="3171">
        <v>-202</v>
      </c>
      <c r="H23" s="3174">
        <v>18.309999999999999</v>
      </c>
      <c r="I23" s="3175">
        <v>640850</v>
      </c>
      <c r="J23" s="3176" t="s">
        <v>3453</v>
      </c>
      <c r="K23" s="3163"/>
      <c r="M23" s="3163"/>
    </row>
    <row r="24" spans="1:13" ht="16.5">
      <c r="A24" s="3170">
        <v>22</v>
      </c>
      <c r="B24" s="3171" t="s">
        <v>3450</v>
      </c>
      <c r="C24" s="3172" t="s">
        <v>3857</v>
      </c>
      <c r="D24" s="3173" t="s">
        <v>3900</v>
      </c>
      <c r="E24" s="3172" t="s">
        <v>3901</v>
      </c>
      <c r="F24" s="3179" t="s">
        <v>3324</v>
      </c>
      <c r="G24" s="3171">
        <v>-203</v>
      </c>
      <c r="H24" s="3174">
        <v>16.329999999999998</v>
      </c>
      <c r="I24" s="3175">
        <v>571550</v>
      </c>
      <c r="J24" s="3176" t="s">
        <v>3453</v>
      </c>
      <c r="K24" s="3163"/>
      <c r="M24" s="3163"/>
    </row>
    <row r="25" spans="1:13" ht="16.5">
      <c r="A25" s="3170">
        <v>23</v>
      </c>
      <c r="B25" s="3171" t="s">
        <v>3450</v>
      </c>
      <c r="C25" s="3172" t="s">
        <v>3857</v>
      </c>
      <c r="D25" s="3173" t="s">
        <v>3902</v>
      </c>
      <c r="E25" s="3172" t="s">
        <v>3903</v>
      </c>
      <c r="F25" s="3179" t="s">
        <v>3324</v>
      </c>
      <c r="G25" s="3171">
        <v>-204</v>
      </c>
      <c r="H25" s="3174">
        <v>12.38</v>
      </c>
      <c r="I25" s="3175">
        <v>433300</v>
      </c>
      <c r="J25" s="3176" t="s">
        <v>3453</v>
      </c>
      <c r="K25" s="3163"/>
      <c r="M25" s="3163"/>
    </row>
    <row r="26" spans="1:13" ht="16.5">
      <c r="A26" s="3170">
        <v>24</v>
      </c>
      <c r="B26" s="3171" t="s">
        <v>3450</v>
      </c>
      <c r="C26" s="3172" t="s">
        <v>3857</v>
      </c>
      <c r="D26" s="3173" t="s">
        <v>3904</v>
      </c>
      <c r="E26" s="3172" t="s">
        <v>3905</v>
      </c>
      <c r="F26" s="3179" t="s">
        <v>3324</v>
      </c>
      <c r="G26" s="3171">
        <v>-205</v>
      </c>
      <c r="H26" s="3174">
        <v>17</v>
      </c>
      <c r="I26" s="3175">
        <v>595000</v>
      </c>
      <c r="J26" s="3176" t="s">
        <v>3453</v>
      </c>
      <c r="K26" s="3163"/>
      <c r="M26" s="3163"/>
    </row>
    <row r="27" spans="1:13" ht="16.5">
      <c r="A27" s="3170">
        <v>25</v>
      </c>
      <c r="B27" s="3171" t="s">
        <v>3619</v>
      </c>
      <c r="C27" s="3172" t="s">
        <v>3857</v>
      </c>
      <c r="D27" s="3173" t="s">
        <v>3906</v>
      </c>
      <c r="E27" s="3172" t="s">
        <v>3907</v>
      </c>
      <c r="F27" s="3179" t="s">
        <v>3324</v>
      </c>
      <c r="G27" s="3171">
        <v>-107</v>
      </c>
      <c r="H27" s="3174">
        <v>56.79</v>
      </c>
      <c r="I27" s="3175">
        <v>1987650</v>
      </c>
      <c r="J27" s="3176" t="s">
        <v>3453</v>
      </c>
      <c r="K27" s="3163"/>
      <c r="M27" s="3163"/>
    </row>
    <row r="28" spans="1:13" ht="16.5">
      <c r="A28" s="3170">
        <v>26</v>
      </c>
      <c r="B28" s="3171" t="s">
        <v>3619</v>
      </c>
      <c r="C28" s="3172" t="s">
        <v>3857</v>
      </c>
      <c r="D28" s="3173" t="s">
        <v>3908</v>
      </c>
      <c r="E28" s="3172" t="s">
        <v>3909</v>
      </c>
      <c r="F28" s="3179" t="s">
        <v>3324</v>
      </c>
      <c r="G28" s="3171">
        <v>-108</v>
      </c>
      <c r="H28" s="3174">
        <v>41.5</v>
      </c>
      <c r="I28" s="3175">
        <v>1452500</v>
      </c>
      <c r="J28" s="3176" t="s">
        <v>3453</v>
      </c>
      <c r="K28" s="3163"/>
      <c r="M28" s="3163"/>
    </row>
    <row r="29" spans="1:13" ht="16.5">
      <c r="A29" s="3170">
        <v>27</v>
      </c>
      <c r="B29" s="3171" t="s">
        <v>3619</v>
      </c>
      <c r="C29" s="3172" t="s">
        <v>3857</v>
      </c>
      <c r="D29" s="3173" t="s">
        <v>3910</v>
      </c>
      <c r="E29" s="3172" t="s">
        <v>3911</v>
      </c>
      <c r="F29" s="3179" t="s">
        <v>3324</v>
      </c>
      <c r="G29" s="3171">
        <v>-109</v>
      </c>
      <c r="H29" s="3174">
        <v>41.5</v>
      </c>
      <c r="I29" s="3175">
        <v>1452500</v>
      </c>
      <c r="J29" s="3176" t="s">
        <v>3453</v>
      </c>
      <c r="K29" s="3163"/>
      <c r="M29" s="3163"/>
    </row>
    <row r="30" spans="1:13" ht="16.5">
      <c r="A30" s="3170">
        <v>28</v>
      </c>
      <c r="B30" s="3171" t="s">
        <v>3619</v>
      </c>
      <c r="C30" s="3172" t="s">
        <v>3857</v>
      </c>
      <c r="D30" s="3173" t="s">
        <v>3912</v>
      </c>
      <c r="E30" s="3172" t="s">
        <v>3913</v>
      </c>
      <c r="F30" s="3179" t="s">
        <v>3324</v>
      </c>
      <c r="G30" s="3171">
        <v>-110</v>
      </c>
      <c r="H30" s="3174">
        <v>56.79</v>
      </c>
      <c r="I30" s="3175">
        <v>1987650</v>
      </c>
      <c r="J30" s="3176" t="s">
        <v>3453</v>
      </c>
      <c r="K30" s="3163"/>
      <c r="M30" s="3163"/>
    </row>
    <row r="31" spans="1:13" ht="16.5">
      <c r="A31" s="3170">
        <v>29</v>
      </c>
      <c r="B31" s="3171" t="s">
        <v>3619</v>
      </c>
      <c r="C31" s="3172" t="s">
        <v>3857</v>
      </c>
      <c r="D31" s="3173" t="s">
        <v>3914</v>
      </c>
      <c r="E31" s="3172" t="s">
        <v>3915</v>
      </c>
      <c r="F31" s="3179" t="s">
        <v>3324</v>
      </c>
      <c r="G31" s="3171">
        <v>-111</v>
      </c>
      <c r="H31" s="3174">
        <v>23.72</v>
      </c>
      <c r="I31" s="3175">
        <v>830200</v>
      </c>
      <c r="J31" s="3176" t="s">
        <v>3453</v>
      </c>
      <c r="K31" s="3163"/>
      <c r="M31" s="3163"/>
    </row>
    <row r="32" spans="1:13" ht="16.5">
      <c r="A32" s="3170">
        <v>30</v>
      </c>
      <c r="B32" s="3171" t="s">
        <v>3619</v>
      </c>
      <c r="C32" s="3172" t="s">
        <v>3857</v>
      </c>
      <c r="D32" s="3173" t="s">
        <v>3916</v>
      </c>
      <c r="E32" s="3172" t="s">
        <v>3917</v>
      </c>
      <c r="F32" s="3179" t="s">
        <v>3324</v>
      </c>
      <c r="G32" s="3171">
        <v>-112</v>
      </c>
      <c r="H32" s="3174">
        <v>23.68</v>
      </c>
      <c r="I32" s="3175">
        <v>828800</v>
      </c>
      <c r="J32" s="3176" t="s">
        <v>3453</v>
      </c>
      <c r="K32" s="3163"/>
      <c r="M32" s="3163"/>
    </row>
    <row r="33" spans="1:13" ht="16.5">
      <c r="A33" s="3170">
        <v>31</v>
      </c>
      <c r="B33" s="3171" t="s">
        <v>3619</v>
      </c>
      <c r="C33" s="3172" t="s">
        <v>3857</v>
      </c>
      <c r="D33" s="3173" t="s">
        <v>3918</v>
      </c>
      <c r="E33" s="3172" t="s">
        <v>3919</v>
      </c>
      <c r="F33" s="3179" t="s">
        <v>3324</v>
      </c>
      <c r="G33" s="3171">
        <v>-113</v>
      </c>
      <c r="H33" s="3174">
        <v>56.75</v>
      </c>
      <c r="I33" s="3175">
        <v>1986250</v>
      </c>
      <c r="J33" s="3176" t="s">
        <v>3453</v>
      </c>
      <c r="K33" s="3163"/>
      <c r="M33" s="3163"/>
    </row>
    <row r="34" spans="1:13" ht="16.5">
      <c r="A34" s="3170">
        <v>32</v>
      </c>
      <c r="B34" s="3171" t="s">
        <v>3619</v>
      </c>
      <c r="C34" s="3172" t="s">
        <v>3857</v>
      </c>
      <c r="D34" s="3173" t="s">
        <v>3920</v>
      </c>
      <c r="E34" s="3172" t="s">
        <v>3921</v>
      </c>
      <c r="F34" s="3179" t="s">
        <v>3324</v>
      </c>
      <c r="G34" s="3171">
        <v>-114</v>
      </c>
      <c r="H34" s="3174">
        <v>41.19</v>
      </c>
      <c r="I34" s="3175">
        <v>1441650</v>
      </c>
      <c r="J34" s="3176" t="s">
        <v>3453</v>
      </c>
      <c r="K34" s="3163"/>
      <c r="M34" s="3163"/>
    </row>
    <row r="35" spans="1:13" ht="16.5">
      <c r="A35" s="3170">
        <v>33</v>
      </c>
      <c r="B35" s="3171" t="s">
        <v>3619</v>
      </c>
      <c r="C35" s="3172" t="s">
        <v>3857</v>
      </c>
      <c r="D35" s="3173" t="s">
        <v>3922</v>
      </c>
      <c r="E35" s="3172" t="s">
        <v>3923</v>
      </c>
      <c r="F35" s="3179" t="s">
        <v>3324</v>
      </c>
      <c r="G35" s="3171">
        <v>-115</v>
      </c>
      <c r="H35" s="3174">
        <v>41.19</v>
      </c>
      <c r="I35" s="3175">
        <v>1441650</v>
      </c>
      <c r="J35" s="3176" t="s">
        <v>3453</v>
      </c>
      <c r="K35" s="3163"/>
      <c r="M35" s="3163"/>
    </row>
    <row r="36" spans="1:13" ht="16.5">
      <c r="A36" s="3170">
        <v>34</v>
      </c>
      <c r="B36" s="3171" t="s">
        <v>3619</v>
      </c>
      <c r="C36" s="3172" t="s">
        <v>3857</v>
      </c>
      <c r="D36" s="3173" t="s">
        <v>3924</v>
      </c>
      <c r="E36" s="3172" t="s">
        <v>3925</v>
      </c>
      <c r="F36" s="3179" t="s">
        <v>3324</v>
      </c>
      <c r="G36" s="3171">
        <v>-116</v>
      </c>
      <c r="H36" s="3174">
        <v>56.79</v>
      </c>
      <c r="I36" s="3175">
        <v>1987650</v>
      </c>
      <c r="J36" s="3176" t="s">
        <v>3469</v>
      </c>
      <c r="K36" s="3163"/>
      <c r="M36" s="3163"/>
    </row>
    <row r="37" spans="1:13" ht="16.5">
      <c r="A37" s="3170">
        <v>35</v>
      </c>
      <c r="B37" s="3171" t="s">
        <v>3619</v>
      </c>
      <c r="C37" s="3172" t="s">
        <v>3857</v>
      </c>
      <c r="D37" s="3173" t="s">
        <v>3926</v>
      </c>
      <c r="E37" s="3172" t="s">
        <v>3927</v>
      </c>
      <c r="F37" s="3179" t="s">
        <v>3324</v>
      </c>
      <c r="G37" s="3171">
        <v>-117</v>
      </c>
      <c r="H37" s="3174">
        <v>23.72</v>
      </c>
      <c r="I37" s="3175">
        <v>830200</v>
      </c>
      <c r="J37" s="3176" t="s">
        <v>3453</v>
      </c>
      <c r="K37" s="3163"/>
      <c r="M37" s="3163"/>
    </row>
    <row r="38" spans="1:13" ht="16.5">
      <c r="A38" s="3170">
        <v>36</v>
      </c>
      <c r="B38" s="3171" t="s">
        <v>3619</v>
      </c>
      <c r="C38" s="3172" t="s">
        <v>3857</v>
      </c>
      <c r="D38" s="3173" t="s">
        <v>3928</v>
      </c>
      <c r="E38" s="3172" t="s">
        <v>3929</v>
      </c>
      <c r="F38" s="3179" t="s">
        <v>3324</v>
      </c>
      <c r="G38" s="3171">
        <v>-118</v>
      </c>
      <c r="H38" s="3174">
        <v>23.68</v>
      </c>
      <c r="I38" s="3175">
        <v>828800</v>
      </c>
      <c r="J38" s="3176" t="s">
        <v>3453</v>
      </c>
      <c r="K38" s="3163"/>
      <c r="M38" s="3163"/>
    </row>
    <row r="39" spans="1:13" ht="16.5">
      <c r="A39" s="3170">
        <v>37</v>
      </c>
      <c r="B39" s="3171" t="s">
        <v>3619</v>
      </c>
      <c r="C39" s="3172" t="s">
        <v>3857</v>
      </c>
      <c r="D39" s="3173" t="s">
        <v>3930</v>
      </c>
      <c r="E39" s="3172" t="s">
        <v>3931</v>
      </c>
      <c r="F39" s="3179" t="s">
        <v>3324</v>
      </c>
      <c r="G39" s="3171">
        <v>-119</v>
      </c>
      <c r="H39" s="3174">
        <v>49.71</v>
      </c>
      <c r="I39" s="3175">
        <v>1739850</v>
      </c>
      <c r="J39" s="3176" t="s">
        <v>3453</v>
      </c>
      <c r="K39" s="3163"/>
      <c r="M39" s="3163"/>
    </row>
    <row r="40" spans="1:13" ht="16.5">
      <c r="A40" s="3170">
        <v>38</v>
      </c>
      <c r="B40" s="3171" t="s">
        <v>3619</v>
      </c>
      <c r="C40" s="3172" t="s">
        <v>3857</v>
      </c>
      <c r="D40" s="3173" t="s">
        <v>3932</v>
      </c>
      <c r="E40" s="3172" t="s">
        <v>3933</v>
      </c>
      <c r="F40" s="3179" t="s">
        <v>3324</v>
      </c>
      <c r="G40" s="3171">
        <v>-120</v>
      </c>
      <c r="H40" s="3174">
        <v>48.07</v>
      </c>
      <c r="I40" s="3175">
        <v>1682450</v>
      </c>
      <c r="J40" s="3176" t="s">
        <v>3453</v>
      </c>
      <c r="K40" s="3163"/>
      <c r="M40" s="3163"/>
    </row>
    <row r="41" spans="1:13" ht="16.5">
      <c r="A41" s="3170">
        <v>39</v>
      </c>
      <c r="B41" s="3171" t="s">
        <v>3619</v>
      </c>
      <c r="C41" s="3172" t="s">
        <v>3857</v>
      </c>
      <c r="D41" s="3173" t="s">
        <v>3934</v>
      </c>
      <c r="E41" s="3172" t="s">
        <v>3935</v>
      </c>
      <c r="F41" s="3179" t="s">
        <v>3324</v>
      </c>
      <c r="G41" s="3171">
        <v>-121</v>
      </c>
      <c r="H41" s="3174">
        <v>22.85</v>
      </c>
      <c r="I41" s="3175">
        <v>799750</v>
      </c>
      <c r="J41" s="3176" t="s">
        <v>3453</v>
      </c>
      <c r="K41" s="3163"/>
      <c r="M41" s="3163"/>
    </row>
    <row r="42" spans="1:13" ht="16.5">
      <c r="A42" s="3170">
        <v>40</v>
      </c>
      <c r="B42" s="3171" t="s">
        <v>3619</v>
      </c>
      <c r="C42" s="3172" t="s">
        <v>3857</v>
      </c>
      <c r="D42" s="3173" t="s">
        <v>3936</v>
      </c>
      <c r="E42" s="3172" t="s">
        <v>3937</v>
      </c>
      <c r="F42" s="3179" t="s">
        <v>3324</v>
      </c>
      <c r="G42" s="3171">
        <v>-122</v>
      </c>
      <c r="H42" s="3174">
        <v>28.04</v>
      </c>
      <c r="I42" s="3175">
        <v>981400</v>
      </c>
      <c r="J42" s="3176" t="s">
        <v>3453</v>
      </c>
      <c r="K42" s="3163"/>
      <c r="M42" s="3163"/>
    </row>
    <row r="43" spans="1:13" ht="16.5">
      <c r="A43" s="3170">
        <v>41</v>
      </c>
      <c r="B43" s="3171" t="s">
        <v>3619</v>
      </c>
      <c r="C43" s="3172" t="s">
        <v>3857</v>
      </c>
      <c r="D43" s="3173" t="s">
        <v>3938</v>
      </c>
      <c r="E43" s="3172" t="s">
        <v>3939</v>
      </c>
      <c r="F43" s="3179" t="s">
        <v>3324</v>
      </c>
      <c r="G43" s="3171">
        <v>-123</v>
      </c>
      <c r="H43" s="3174">
        <v>27.68</v>
      </c>
      <c r="I43" s="3175">
        <v>968800</v>
      </c>
      <c r="J43" s="3176" t="s">
        <v>3453</v>
      </c>
      <c r="K43" s="3163"/>
      <c r="M43" s="3163"/>
    </row>
    <row r="44" spans="1:13" ht="16.5">
      <c r="A44" s="3170">
        <v>42</v>
      </c>
      <c r="B44" s="3171" t="s">
        <v>3619</v>
      </c>
      <c r="C44" s="3172" t="s">
        <v>3857</v>
      </c>
      <c r="D44" s="3173" t="s">
        <v>3940</v>
      </c>
      <c r="E44" s="3172" t="s">
        <v>3941</v>
      </c>
      <c r="F44" s="3179" t="s">
        <v>3324</v>
      </c>
      <c r="G44" s="3171">
        <v>-124</v>
      </c>
      <c r="H44" s="3174">
        <v>19.190000000000001</v>
      </c>
      <c r="I44" s="3175">
        <v>671650</v>
      </c>
      <c r="J44" s="3176" t="s">
        <v>3453</v>
      </c>
      <c r="K44" s="3163"/>
      <c r="M44" s="3163"/>
    </row>
    <row r="45" spans="1:13" ht="16.5">
      <c r="A45" s="3170">
        <v>43</v>
      </c>
      <c r="B45" s="3171" t="s">
        <v>3619</v>
      </c>
      <c r="C45" s="3172" t="s">
        <v>3857</v>
      </c>
      <c r="D45" s="3173" t="s">
        <v>3942</v>
      </c>
      <c r="E45" s="3172" t="s">
        <v>3943</v>
      </c>
      <c r="F45" s="3179" t="s">
        <v>3324</v>
      </c>
      <c r="G45" s="3171">
        <v>-125</v>
      </c>
      <c r="H45" s="3174">
        <v>19.190000000000001</v>
      </c>
      <c r="I45" s="3175">
        <v>671650</v>
      </c>
      <c r="J45" s="3176" t="s">
        <v>3453</v>
      </c>
      <c r="K45" s="3163"/>
      <c r="M45" s="3163"/>
    </row>
    <row r="46" spans="1:13" ht="16.5">
      <c r="A46" s="3170">
        <v>44</v>
      </c>
      <c r="B46" s="3171" t="s">
        <v>3619</v>
      </c>
      <c r="C46" s="3172" t="s">
        <v>3857</v>
      </c>
      <c r="D46" s="3173" t="s">
        <v>3944</v>
      </c>
      <c r="E46" s="3172" t="s">
        <v>3945</v>
      </c>
      <c r="F46" s="3179" t="s">
        <v>3324</v>
      </c>
      <c r="G46" s="3171">
        <v>-126</v>
      </c>
      <c r="H46" s="3174">
        <v>27.85</v>
      </c>
      <c r="I46" s="3175">
        <v>974750</v>
      </c>
      <c r="J46" s="3176" t="s">
        <v>3453</v>
      </c>
      <c r="K46" s="3163"/>
      <c r="M46" s="3163"/>
    </row>
    <row r="47" spans="1:13" ht="16.5">
      <c r="A47" s="3170">
        <v>45</v>
      </c>
      <c r="B47" s="3171" t="s">
        <v>3619</v>
      </c>
      <c r="C47" s="3172" t="s">
        <v>3857</v>
      </c>
      <c r="D47" s="3173" t="s">
        <v>3946</v>
      </c>
      <c r="E47" s="3172" t="s">
        <v>3947</v>
      </c>
      <c r="F47" s="3179" t="s">
        <v>3324</v>
      </c>
      <c r="G47" s="3171">
        <v>-127</v>
      </c>
      <c r="H47" s="3174">
        <v>27.68</v>
      </c>
      <c r="I47" s="3175">
        <v>968800</v>
      </c>
      <c r="J47" s="3176" t="s">
        <v>3453</v>
      </c>
      <c r="K47" s="3163"/>
      <c r="M47" s="3163"/>
    </row>
    <row r="48" spans="1:13" ht="16.5">
      <c r="A48" s="3170">
        <v>46</v>
      </c>
      <c r="B48" s="3171" t="s">
        <v>3619</v>
      </c>
      <c r="C48" s="3172" t="s">
        <v>3857</v>
      </c>
      <c r="D48" s="3173" t="s">
        <v>3948</v>
      </c>
      <c r="E48" s="3172" t="s">
        <v>3949</v>
      </c>
      <c r="F48" s="3179" t="s">
        <v>3324</v>
      </c>
      <c r="G48" s="3171">
        <v>-128</v>
      </c>
      <c r="H48" s="3174">
        <v>19.829999999999998</v>
      </c>
      <c r="I48" s="3175">
        <v>694050</v>
      </c>
      <c r="J48" s="3176" t="s">
        <v>3453</v>
      </c>
      <c r="K48" s="3163"/>
      <c r="M48" s="3163"/>
    </row>
    <row r="49" spans="1:13" ht="16.5">
      <c r="A49" s="3170">
        <v>47</v>
      </c>
      <c r="B49" s="3171" t="s">
        <v>3619</v>
      </c>
      <c r="C49" s="3172" t="s">
        <v>3857</v>
      </c>
      <c r="D49" s="3173" t="s">
        <v>3950</v>
      </c>
      <c r="E49" s="3172" t="s">
        <v>3951</v>
      </c>
      <c r="F49" s="3179" t="s">
        <v>3324</v>
      </c>
      <c r="G49" s="3171">
        <v>-129</v>
      </c>
      <c r="H49" s="3174">
        <v>19.829999999999998</v>
      </c>
      <c r="I49" s="3175">
        <v>694050</v>
      </c>
      <c r="J49" s="3176" t="s">
        <v>3453</v>
      </c>
      <c r="K49" s="3163"/>
      <c r="M49" s="3163"/>
    </row>
    <row r="50" spans="1:13" ht="16.5">
      <c r="A50" s="3170">
        <v>48</v>
      </c>
      <c r="B50" s="3171" t="s">
        <v>3619</v>
      </c>
      <c r="C50" s="3172" t="s">
        <v>3857</v>
      </c>
      <c r="D50" s="3173" t="s">
        <v>3952</v>
      </c>
      <c r="E50" s="3172" t="s">
        <v>3953</v>
      </c>
      <c r="F50" s="3179" t="s">
        <v>3324</v>
      </c>
      <c r="G50" s="3171">
        <v>-130</v>
      </c>
      <c r="H50" s="3174">
        <v>27.68</v>
      </c>
      <c r="I50" s="3175">
        <v>968800</v>
      </c>
      <c r="J50" s="3176" t="s">
        <v>3453</v>
      </c>
      <c r="K50" s="3163"/>
      <c r="M50" s="3163"/>
    </row>
    <row r="51" spans="1:13" ht="16.5">
      <c r="A51" s="3170">
        <v>49</v>
      </c>
      <c r="B51" s="3171" t="s">
        <v>3619</v>
      </c>
      <c r="C51" s="3172" t="s">
        <v>3857</v>
      </c>
      <c r="D51" s="3173" t="s">
        <v>3954</v>
      </c>
      <c r="E51" s="3172" t="s">
        <v>3955</v>
      </c>
      <c r="F51" s="3179" t="s">
        <v>3324</v>
      </c>
      <c r="G51" s="3171">
        <v>-202</v>
      </c>
      <c r="H51" s="3174">
        <v>16.38</v>
      </c>
      <c r="I51" s="3175">
        <v>573300</v>
      </c>
      <c r="J51" s="3176" t="s">
        <v>3453</v>
      </c>
      <c r="K51" s="3163"/>
      <c r="M51" s="3163"/>
    </row>
    <row r="52" spans="1:13" ht="16.5">
      <c r="A52" s="3170">
        <v>50</v>
      </c>
      <c r="B52" s="3171" t="s">
        <v>3619</v>
      </c>
      <c r="C52" s="3172" t="s">
        <v>3857</v>
      </c>
      <c r="D52" s="3173" t="s">
        <v>3956</v>
      </c>
      <c r="E52" s="3172" t="s">
        <v>3957</v>
      </c>
      <c r="F52" s="3179" t="s">
        <v>3324</v>
      </c>
      <c r="G52" s="3171">
        <v>-204</v>
      </c>
      <c r="H52" s="3174">
        <v>16.38</v>
      </c>
      <c r="I52" s="3175">
        <v>573300</v>
      </c>
      <c r="J52" s="3176" t="s">
        <v>3453</v>
      </c>
      <c r="K52" s="3163"/>
      <c r="M52" s="3163"/>
    </row>
    <row r="53" spans="1:13" ht="16.5">
      <c r="A53" s="3170">
        <v>51</v>
      </c>
      <c r="B53" s="3171" t="s">
        <v>3619</v>
      </c>
      <c r="C53" s="3172" t="s">
        <v>3857</v>
      </c>
      <c r="D53" s="3173" t="s">
        <v>3958</v>
      </c>
      <c r="E53" s="3172" t="s">
        <v>3959</v>
      </c>
      <c r="F53" s="3179" t="s">
        <v>3324</v>
      </c>
      <c r="G53" s="3171">
        <v>-205</v>
      </c>
      <c r="H53" s="3174">
        <v>16.38</v>
      </c>
      <c r="I53" s="3175">
        <v>573300</v>
      </c>
      <c r="J53" s="3176" t="s">
        <v>3453</v>
      </c>
      <c r="K53" s="3163"/>
      <c r="M53" s="3163"/>
    </row>
    <row r="54" spans="1:13" ht="16.5">
      <c r="A54" s="3170">
        <v>52</v>
      </c>
      <c r="B54" s="3171" t="s">
        <v>3619</v>
      </c>
      <c r="C54" s="3172" t="s">
        <v>3857</v>
      </c>
      <c r="D54" s="3173" t="s">
        <v>3960</v>
      </c>
      <c r="E54" s="3172" t="s">
        <v>3961</v>
      </c>
      <c r="F54" s="3179" t="s">
        <v>3324</v>
      </c>
      <c r="G54" s="3171">
        <v>-206</v>
      </c>
      <c r="H54" s="3174">
        <v>17.059999999999999</v>
      </c>
      <c r="I54" s="3175">
        <v>597100</v>
      </c>
      <c r="J54" s="3176" t="s">
        <v>3453</v>
      </c>
      <c r="K54" s="3163"/>
      <c r="M54" s="3163"/>
    </row>
    <row r="55" spans="1:13" ht="16.5">
      <c r="A55" s="3170">
        <v>53</v>
      </c>
      <c r="B55" s="3171" t="s">
        <v>3777</v>
      </c>
      <c r="C55" s="3172" t="s">
        <v>3857</v>
      </c>
      <c r="D55" s="3173" t="s">
        <v>3962</v>
      </c>
      <c r="E55" s="3172" t="s">
        <v>3963</v>
      </c>
      <c r="F55" s="3179" t="s">
        <v>3324</v>
      </c>
      <c r="G55" s="3171">
        <v>-106</v>
      </c>
      <c r="H55" s="3174">
        <v>23.66</v>
      </c>
      <c r="I55" s="3175">
        <v>828100</v>
      </c>
      <c r="J55" s="3176" t="s">
        <v>3453</v>
      </c>
      <c r="K55" s="3163"/>
      <c r="M55" s="3163"/>
    </row>
    <row r="56" spans="1:13" ht="16.5">
      <c r="A56" s="3170">
        <v>54</v>
      </c>
      <c r="B56" s="3171" t="s">
        <v>3777</v>
      </c>
      <c r="C56" s="3172" t="s">
        <v>3857</v>
      </c>
      <c r="D56" s="3173" t="s">
        <v>3964</v>
      </c>
      <c r="E56" s="3172" t="s">
        <v>3965</v>
      </c>
      <c r="F56" s="3179" t="s">
        <v>3324</v>
      </c>
      <c r="G56" s="3171">
        <v>-107</v>
      </c>
      <c r="H56" s="3174">
        <v>56.69</v>
      </c>
      <c r="I56" s="3175">
        <v>1984150</v>
      </c>
      <c r="J56" s="3176" t="s">
        <v>3453</v>
      </c>
      <c r="K56" s="3163"/>
      <c r="M56" s="3163"/>
    </row>
    <row r="57" spans="1:13" ht="16.5">
      <c r="A57" s="3170">
        <v>55</v>
      </c>
      <c r="B57" s="3171" t="s">
        <v>3777</v>
      </c>
      <c r="C57" s="3172" t="s">
        <v>3857</v>
      </c>
      <c r="D57" s="3173" t="s">
        <v>3966</v>
      </c>
      <c r="E57" s="3172" t="s">
        <v>3967</v>
      </c>
      <c r="F57" s="3179" t="s">
        <v>3324</v>
      </c>
      <c r="G57" s="3171">
        <v>-108</v>
      </c>
      <c r="H57" s="3174">
        <v>41.45</v>
      </c>
      <c r="I57" s="3175">
        <v>1450750</v>
      </c>
      <c r="J57" s="3176" t="s">
        <v>3453</v>
      </c>
      <c r="K57" s="3163"/>
      <c r="M57" s="3163"/>
    </row>
    <row r="58" spans="1:13" ht="16.5">
      <c r="A58" s="3170">
        <v>56</v>
      </c>
      <c r="B58" s="3171" t="s">
        <v>3777</v>
      </c>
      <c r="C58" s="3172" t="s">
        <v>3857</v>
      </c>
      <c r="D58" s="3173" t="s">
        <v>3968</v>
      </c>
      <c r="E58" s="3172" t="s">
        <v>3969</v>
      </c>
      <c r="F58" s="3179" t="s">
        <v>3324</v>
      </c>
      <c r="G58" s="3171">
        <v>-109</v>
      </c>
      <c r="H58" s="3174">
        <v>41.45</v>
      </c>
      <c r="I58" s="3175">
        <v>1450750</v>
      </c>
      <c r="J58" s="3176" t="s">
        <v>3453</v>
      </c>
      <c r="K58" s="3163"/>
      <c r="M58" s="3163"/>
    </row>
    <row r="59" spans="1:13" ht="16.5">
      <c r="A59" s="3170">
        <v>57</v>
      </c>
      <c r="B59" s="3171" t="s">
        <v>3777</v>
      </c>
      <c r="C59" s="3172" t="s">
        <v>3857</v>
      </c>
      <c r="D59" s="3173" t="s">
        <v>3970</v>
      </c>
      <c r="E59" s="3172" t="s">
        <v>3971</v>
      </c>
      <c r="F59" s="3179" t="s">
        <v>3324</v>
      </c>
      <c r="G59" s="3171">
        <v>-110</v>
      </c>
      <c r="H59" s="3174">
        <v>56.69</v>
      </c>
      <c r="I59" s="3175">
        <v>1984150</v>
      </c>
      <c r="J59" s="3176" t="s">
        <v>3453</v>
      </c>
      <c r="K59" s="3163"/>
      <c r="M59" s="3163"/>
    </row>
    <row r="60" spans="1:13" ht="16.5">
      <c r="A60" s="3170">
        <v>58</v>
      </c>
      <c r="B60" s="3171" t="s">
        <v>3777</v>
      </c>
      <c r="C60" s="3172" t="s">
        <v>3857</v>
      </c>
      <c r="D60" s="3173" t="s">
        <v>3972</v>
      </c>
      <c r="E60" s="3172" t="s">
        <v>3973</v>
      </c>
      <c r="F60" s="3179" t="s">
        <v>3324</v>
      </c>
      <c r="G60" s="3171">
        <v>-111</v>
      </c>
      <c r="H60" s="3174">
        <v>23.66</v>
      </c>
      <c r="I60" s="3175">
        <v>828100</v>
      </c>
      <c r="J60" s="3176" t="s">
        <v>3453</v>
      </c>
      <c r="K60" s="3163"/>
      <c r="M60" s="3163"/>
    </row>
    <row r="61" spans="1:13" ht="16.5">
      <c r="A61" s="3170">
        <v>59</v>
      </c>
      <c r="B61" s="3171" t="s">
        <v>3777</v>
      </c>
      <c r="C61" s="3172" t="s">
        <v>3857</v>
      </c>
      <c r="D61" s="3173" t="s">
        <v>3974</v>
      </c>
      <c r="E61" s="3172" t="s">
        <v>3975</v>
      </c>
      <c r="F61" s="3179" t="s">
        <v>3324</v>
      </c>
      <c r="G61" s="3171">
        <v>-112</v>
      </c>
      <c r="H61" s="3174">
        <v>23.66</v>
      </c>
      <c r="I61" s="3175">
        <v>828100</v>
      </c>
      <c r="J61" s="3176" t="s">
        <v>3453</v>
      </c>
      <c r="K61" s="3163"/>
      <c r="M61" s="3163"/>
    </row>
    <row r="62" spans="1:13" ht="16.5">
      <c r="A62" s="3170">
        <v>60</v>
      </c>
      <c r="B62" s="3171" t="s">
        <v>3777</v>
      </c>
      <c r="C62" s="3172" t="s">
        <v>3857</v>
      </c>
      <c r="D62" s="3173" t="s">
        <v>3976</v>
      </c>
      <c r="E62" s="3172" t="s">
        <v>3977</v>
      </c>
      <c r="F62" s="3179" t="s">
        <v>3324</v>
      </c>
      <c r="G62" s="3171">
        <v>-113</v>
      </c>
      <c r="H62" s="3174">
        <v>56.69</v>
      </c>
      <c r="I62" s="3175">
        <v>1984150</v>
      </c>
      <c r="J62" s="3176" t="s">
        <v>3453</v>
      </c>
      <c r="K62" s="3163"/>
      <c r="M62" s="3163"/>
    </row>
    <row r="63" spans="1:13" ht="16.5">
      <c r="A63" s="3170">
        <v>61</v>
      </c>
      <c r="B63" s="3171" t="s">
        <v>3777</v>
      </c>
      <c r="C63" s="3172" t="s">
        <v>3857</v>
      </c>
      <c r="D63" s="3173" t="s">
        <v>3978</v>
      </c>
      <c r="E63" s="3172" t="s">
        <v>3979</v>
      </c>
      <c r="F63" s="3179" t="s">
        <v>3324</v>
      </c>
      <c r="G63" s="3171">
        <v>-114</v>
      </c>
      <c r="H63" s="3174">
        <v>41.15</v>
      </c>
      <c r="I63" s="3175">
        <v>1440250</v>
      </c>
      <c r="J63" s="3176" t="s">
        <v>3453</v>
      </c>
      <c r="K63" s="3163"/>
      <c r="M63" s="3163"/>
    </row>
    <row r="64" spans="1:13" ht="16.5">
      <c r="A64" s="3170">
        <v>62</v>
      </c>
      <c r="B64" s="3171" t="s">
        <v>3777</v>
      </c>
      <c r="C64" s="3172" t="s">
        <v>3857</v>
      </c>
      <c r="D64" s="3173" t="s">
        <v>3980</v>
      </c>
      <c r="E64" s="3172" t="s">
        <v>3981</v>
      </c>
      <c r="F64" s="3179" t="s">
        <v>3324</v>
      </c>
      <c r="G64" s="3171">
        <v>-115</v>
      </c>
      <c r="H64" s="3174">
        <v>41.15</v>
      </c>
      <c r="I64" s="3175">
        <v>1440250</v>
      </c>
      <c r="J64" s="3176" t="s">
        <v>3453</v>
      </c>
      <c r="K64" s="3163"/>
      <c r="M64" s="3163"/>
    </row>
    <row r="65" spans="1:13" ht="16.5">
      <c r="A65" s="3170">
        <v>63</v>
      </c>
      <c r="B65" s="3171" t="s">
        <v>3777</v>
      </c>
      <c r="C65" s="3172" t="s">
        <v>3857</v>
      </c>
      <c r="D65" s="3173" t="s">
        <v>3982</v>
      </c>
      <c r="E65" s="3172" t="s">
        <v>3983</v>
      </c>
      <c r="F65" s="3179" t="s">
        <v>3324</v>
      </c>
      <c r="G65" s="3171">
        <v>-116</v>
      </c>
      <c r="H65" s="3174">
        <v>56.69</v>
      </c>
      <c r="I65" s="3175">
        <v>1984150</v>
      </c>
      <c r="J65" s="3176" t="s">
        <v>3453</v>
      </c>
      <c r="K65" s="3163"/>
      <c r="M65" s="3163"/>
    </row>
    <row r="66" spans="1:13" ht="16.5">
      <c r="A66" s="3170">
        <v>64</v>
      </c>
      <c r="B66" s="3171" t="s">
        <v>3777</v>
      </c>
      <c r="C66" s="3172" t="s">
        <v>3857</v>
      </c>
      <c r="D66" s="3173" t="s">
        <v>3984</v>
      </c>
      <c r="E66" s="3172" t="s">
        <v>3985</v>
      </c>
      <c r="F66" s="3179" t="s">
        <v>3324</v>
      </c>
      <c r="G66" s="3171">
        <v>-117</v>
      </c>
      <c r="H66" s="3174">
        <v>23.66</v>
      </c>
      <c r="I66" s="3175">
        <v>828100</v>
      </c>
      <c r="J66" s="3176" t="s">
        <v>3453</v>
      </c>
      <c r="K66" s="3163"/>
      <c r="M66" s="3163"/>
    </row>
    <row r="67" spans="1:13" ht="16.5">
      <c r="A67" s="3170">
        <v>65</v>
      </c>
      <c r="B67" s="3171" t="s">
        <v>3777</v>
      </c>
      <c r="C67" s="3172" t="s">
        <v>3857</v>
      </c>
      <c r="D67" s="3173" t="s">
        <v>3986</v>
      </c>
      <c r="E67" s="3172" t="s">
        <v>3987</v>
      </c>
      <c r="F67" s="3179" t="s">
        <v>3324</v>
      </c>
      <c r="G67" s="3171">
        <v>-118</v>
      </c>
      <c r="H67" s="3174">
        <v>23.66</v>
      </c>
      <c r="I67" s="3175">
        <v>828100</v>
      </c>
      <c r="J67" s="3176" t="s">
        <v>3453</v>
      </c>
      <c r="K67" s="3163"/>
      <c r="M67" s="3163"/>
    </row>
    <row r="68" spans="1:13" ht="16.5">
      <c r="A68" s="3170">
        <v>66</v>
      </c>
      <c r="B68" s="3171" t="s">
        <v>3777</v>
      </c>
      <c r="C68" s="3172" t="s">
        <v>3857</v>
      </c>
      <c r="D68" s="3173" t="s">
        <v>3988</v>
      </c>
      <c r="E68" s="3172" t="s">
        <v>3989</v>
      </c>
      <c r="F68" s="3179" t="s">
        <v>3324</v>
      </c>
      <c r="G68" s="3171">
        <v>-119</v>
      </c>
      <c r="H68" s="3174">
        <v>49.65</v>
      </c>
      <c r="I68" s="3175">
        <v>1737750</v>
      </c>
      <c r="J68" s="3176" t="s">
        <v>3453</v>
      </c>
      <c r="K68" s="3163"/>
      <c r="M68" s="3163"/>
    </row>
    <row r="69" spans="1:13" ht="16.5">
      <c r="A69" s="3170">
        <v>67</v>
      </c>
      <c r="B69" s="3171" t="s">
        <v>3777</v>
      </c>
      <c r="C69" s="3172" t="s">
        <v>3857</v>
      </c>
      <c r="D69" s="3173" t="s">
        <v>3990</v>
      </c>
      <c r="E69" s="3172" t="s">
        <v>3991</v>
      </c>
      <c r="F69" s="3179" t="s">
        <v>3324</v>
      </c>
      <c r="G69" s="3171">
        <v>-120</v>
      </c>
      <c r="H69" s="3174">
        <v>48.02</v>
      </c>
      <c r="I69" s="3175">
        <v>1680700</v>
      </c>
      <c r="J69" s="3176" t="s">
        <v>3453</v>
      </c>
      <c r="K69" s="3163"/>
      <c r="M69" s="3163"/>
    </row>
    <row r="70" spans="1:13" ht="16.5">
      <c r="A70" s="3170">
        <v>68</v>
      </c>
      <c r="B70" s="3171" t="s">
        <v>3777</v>
      </c>
      <c r="C70" s="3172" t="s">
        <v>3857</v>
      </c>
      <c r="D70" s="3173" t="s">
        <v>3992</v>
      </c>
      <c r="E70" s="3172" t="s">
        <v>3993</v>
      </c>
      <c r="F70" s="3179" t="s">
        <v>3324</v>
      </c>
      <c r="G70" s="3171">
        <v>-121</v>
      </c>
      <c r="H70" s="3174">
        <v>22.82</v>
      </c>
      <c r="I70" s="3175">
        <v>798700</v>
      </c>
      <c r="J70" s="3176" t="s">
        <v>3453</v>
      </c>
      <c r="K70" s="3163"/>
      <c r="M70" s="3163"/>
    </row>
    <row r="71" spans="1:13" ht="16.5">
      <c r="A71" s="3170">
        <v>69</v>
      </c>
      <c r="B71" s="3171" t="s">
        <v>3777</v>
      </c>
      <c r="C71" s="3172" t="s">
        <v>3857</v>
      </c>
      <c r="D71" s="3173" t="s">
        <v>3994</v>
      </c>
      <c r="E71" s="3172" t="s">
        <v>3995</v>
      </c>
      <c r="F71" s="3179" t="s">
        <v>3324</v>
      </c>
      <c r="G71" s="3171">
        <v>-122</v>
      </c>
      <c r="H71" s="3174">
        <v>28.01</v>
      </c>
      <c r="I71" s="3175">
        <v>980350</v>
      </c>
      <c r="J71" s="3176" t="s">
        <v>3453</v>
      </c>
      <c r="K71" s="3163"/>
      <c r="M71" s="3163"/>
    </row>
    <row r="72" spans="1:13" ht="16.5">
      <c r="A72" s="3170">
        <v>70</v>
      </c>
      <c r="B72" s="3171" t="s">
        <v>3777</v>
      </c>
      <c r="C72" s="3172" t="s">
        <v>3857</v>
      </c>
      <c r="D72" s="3173" t="s">
        <v>3996</v>
      </c>
      <c r="E72" s="3172" t="s">
        <v>3997</v>
      </c>
      <c r="F72" s="3179" t="s">
        <v>3324</v>
      </c>
      <c r="G72" s="3171">
        <v>-123</v>
      </c>
      <c r="H72" s="3174">
        <v>27.65</v>
      </c>
      <c r="I72" s="3175">
        <v>967750</v>
      </c>
      <c r="J72" s="3176" t="s">
        <v>3453</v>
      </c>
      <c r="K72" s="3163"/>
      <c r="M72" s="3163"/>
    </row>
    <row r="73" spans="1:13" ht="16.5">
      <c r="A73" s="3170">
        <v>71</v>
      </c>
      <c r="B73" s="3171" t="s">
        <v>3777</v>
      </c>
      <c r="C73" s="3172" t="s">
        <v>3857</v>
      </c>
      <c r="D73" s="3173" t="s">
        <v>3998</v>
      </c>
      <c r="E73" s="3172" t="s">
        <v>3999</v>
      </c>
      <c r="F73" s="3179" t="s">
        <v>3324</v>
      </c>
      <c r="G73" s="3171">
        <v>-124</v>
      </c>
      <c r="H73" s="3174">
        <v>19.170000000000002</v>
      </c>
      <c r="I73" s="3175">
        <v>670950</v>
      </c>
      <c r="J73" s="3176" t="s">
        <v>3453</v>
      </c>
      <c r="K73" s="3163"/>
      <c r="M73" s="3163"/>
    </row>
    <row r="74" spans="1:13" ht="16.5">
      <c r="A74" s="3170">
        <v>72</v>
      </c>
      <c r="B74" s="3171" t="s">
        <v>3777</v>
      </c>
      <c r="C74" s="3172" t="s">
        <v>3857</v>
      </c>
      <c r="D74" s="3173" t="s">
        <v>4000</v>
      </c>
      <c r="E74" s="3172" t="s">
        <v>4001</v>
      </c>
      <c r="F74" s="3179" t="s">
        <v>3324</v>
      </c>
      <c r="G74" s="3171">
        <v>-125</v>
      </c>
      <c r="H74" s="3174">
        <v>19.170000000000002</v>
      </c>
      <c r="I74" s="3175">
        <v>670950</v>
      </c>
      <c r="J74" s="3176" t="s">
        <v>3453</v>
      </c>
      <c r="K74" s="3163"/>
      <c r="M74" s="3163"/>
    </row>
    <row r="75" spans="1:13" ht="16.5">
      <c r="A75" s="3170">
        <v>73</v>
      </c>
      <c r="B75" s="3171" t="s">
        <v>3777</v>
      </c>
      <c r="C75" s="3172" t="s">
        <v>3857</v>
      </c>
      <c r="D75" s="3173" t="s">
        <v>4002</v>
      </c>
      <c r="E75" s="3172" t="s">
        <v>4003</v>
      </c>
      <c r="F75" s="3179" t="s">
        <v>3324</v>
      </c>
      <c r="G75" s="3171">
        <v>-126</v>
      </c>
      <c r="H75" s="3174">
        <v>27.82</v>
      </c>
      <c r="I75" s="3175">
        <v>973700</v>
      </c>
      <c r="J75" s="3176" t="s">
        <v>3453</v>
      </c>
      <c r="K75" s="3163"/>
      <c r="M75" s="3163"/>
    </row>
    <row r="76" spans="1:13" ht="16.5">
      <c r="A76" s="3170">
        <v>74</v>
      </c>
      <c r="B76" s="3171" t="s">
        <v>3777</v>
      </c>
      <c r="C76" s="3172" t="s">
        <v>3857</v>
      </c>
      <c r="D76" s="3173" t="s">
        <v>4004</v>
      </c>
      <c r="E76" s="3172" t="s">
        <v>4005</v>
      </c>
      <c r="F76" s="3179" t="s">
        <v>3324</v>
      </c>
      <c r="G76" s="3171">
        <v>-127</v>
      </c>
      <c r="H76" s="3174">
        <v>27.65</v>
      </c>
      <c r="I76" s="3175">
        <v>967750</v>
      </c>
      <c r="J76" s="3176" t="s">
        <v>3453</v>
      </c>
      <c r="K76" s="3163"/>
      <c r="M76" s="3163"/>
    </row>
    <row r="77" spans="1:13" ht="16.5">
      <c r="A77" s="3170">
        <v>75</v>
      </c>
      <c r="B77" s="3171" t="s">
        <v>3777</v>
      </c>
      <c r="C77" s="3172" t="s">
        <v>3857</v>
      </c>
      <c r="D77" s="3173" t="s">
        <v>4006</v>
      </c>
      <c r="E77" s="3172" t="s">
        <v>4007</v>
      </c>
      <c r="F77" s="3179" t="s">
        <v>3324</v>
      </c>
      <c r="G77" s="3171">
        <v>-128</v>
      </c>
      <c r="H77" s="3174">
        <v>19.809999999999999</v>
      </c>
      <c r="I77" s="3175">
        <v>693350</v>
      </c>
      <c r="J77" s="3176" t="s">
        <v>3453</v>
      </c>
      <c r="K77" s="3163"/>
      <c r="M77" s="3163"/>
    </row>
    <row r="78" spans="1:13" ht="16.5">
      <c r="A78" s="3170">
        <v>76</v>
      </c>
      <c r="B78" s="3171" t="s">
        <v>3777</v>
      </c>
      <c r="C78" s="3172" t="s">
        <v>3857</v>
      </c>
      <c r="D78" s="3173" t="s">
        <v>4008</v>
      </c>
      <c r="E78" s="3172" t="s">
        <v>4009</v>
      </c>
      <c r="F78" s="3179" t="s">
        <v>3324</v>
      </c>
      <c r="G78" s="3171">
        <v>-130</v>
      </c>
      <c r="H78" s="3174">
        <v>27.65</v>
      </c>
      <c r="I78" s="3175">
        <v>967750</v>
      </c>
      <c r="J78" s="3176" t="s">
        <v>3453</v>
      </c>
      <c r="K78" s="3163"/>
      <c r="M78" s="3163"/>
    </row>
    <row r="79" spans="1:13" ht="16.5">
      <c r="A79" s="3170">
        <v>77</v>
      </c>
      <c r="B79" s="3171" t="s">
        <v>3777</v>
      </c>
      <c r="C79" s="3172" t="s">
        <v>3857</v>
      </c>
      <c r="D79" s="3173" t="s">
        <v>4010</v>
      </c>
      <c r="E79" s="3172" t="s">
        <v>4011</v>
      </c>
      <c r="F79" s="3179" t="s">
        <v>3324</v>
      </c>
      <c r="G79" s="3171">
        <v>-202</v>
      </c>
      <c r="H79" s="3174">
        <v>16.36</v>
      </c>
      <c r="I79" s="3175">
        <v>572600</v>
      </c>
      <c r="J79" s="3176" t="s">
        <v>3453</v>
      </c>
      <c r="K79" s="3163"/>
      <c r="M79" s="3163"/>
    </row>
    <row r="80" spans="1:13" ht="16.5">
      <c r="A80" s="3170">
        <v>78</v>
      </c>
      <c r="B80" s="3171" t="s">
        <v>3777</v>
      </c>
      <c r="C80" s="3172" t="s">
        <v>3857</v>
      </c>
      <c r="D80" s="3173" t="s">
        <v>4012</v>
      </c>
      <c r="E80" s="3172" t="s">
        <v>4013</v>
      </c>
      <c r="F80" s="3179" t="s">
        <v>3324</v>
      </c>
      <c r="G80" s="3171">
        <v>-203</v>
      </c>
      <c r="H80" s="3174">
        <v>12.4</v>
      </c>
      <c r="I80" s="3175">
        <v>434000</v>
      </c>
      <c r="J80" s="3176" t="s">
        <v>3453</v>
      </c>
      <c r="K80" s="3163"/>
      <c r="M80" s="3163"/>
    </row>
    <row r="81" spans="1:13" ht="16.5">
      <c r="A81" s="3170">
        <v>79</v>
      </c>
      <c r="B81" s="3171" t="s">
        <v>3777</v>
      </c>
      <c r="C81" s="3172" t="s">
        <v>3857</v>
      </c>
      <c r="D81" s="3173" t="s">
        <v>4014</v>
      </c>
      <c r="E81" s="3172" t="s">
        <v>4015</v>
      </c>
      <c r="F81" s="3179" t="s">
        <v>3324</v>
      </c>
      <c r="G81" s="3171">
        <v>-204</v>
      </c>
      <c r="H81" s="3174">
        <v>16.36</v>
      </c>
      <c r="I81" s="3175">
        <v>572600</v>
      </c>
      <c r="J81" s="3176" t="s">
        <v>3453</v>
      </c>
      <c r="K81" s="3163"/>
      <c r="M81" s="3163"/>
    </row>
    <row r="82" spans="1:13" ht="16.5">
      <c r="A82" s="3170">
        <v>80</v>
      </c>
      <c r="B82" s="3171" t="s">
        <v>3777</v>
      </c>
      <c r="C82" s="3172" t="s">
        <v>3857</v>
      </c>
      <c r="D82" s="3173" t="s">
        <v>4016</v>
      </c>
      <c r="E82" s="3172" t="s">
        <v>4017</v>
      </c>
      <c r="F82" s="3179" t="s">
        <v>3324</v>
      </c>
      <c r="G82" s="3171">
        <v>-205</v>
      </c>
      <c r="H82" s="3174">
        <v>16.36</v>
      </c>
      <c r="I82" s="3175">
        <v>572600</v>
      </c>
      <c r="J82" s="3176" t="s">
        <v>3453</v>
      </c>
      <c r="K82" s="3163"/>
      <c r="M82" s="3163"/>
    </row>
    <row r="83" spans="1:13" ht="16.5">
      <c r="A83" s="3170">
        <v>81</v>
      </c>
      <c r="B83" s="3171" t="s">
        <v>3777</v>
      </c>
      <c r="C83" s="3172" t="s">
        <v>3857</v>
      </c>
      <c r="D83" s="3173" t="s">
        <v>4018</v>
      </c>
      <c r="E83" s="3172" t="s">
        <v>4019</v>
      </c>
      <c r="F83" s="3179" t="s">
        <v>3324</v>
      </c>
      <c r="G83" s="3171">
        <v>-206</v>
      </c>
      <c r="H83" s="3174">
        <v>17.04</v>
      </c>
      <c r="I83" s="3175">
        <v>596400</v>
      </c>
      <c r="J83" s="3176" t="s">
        <v>3453</v>
      </c>
      <c r="K83" s="3163"/>
      <c r="M83" s="3163"/>
    </row>
    <row r="84" spans="1:13" ht="16.5">
      <c r="A84" s="3170">
        <v>82</v>
      </c>
      <c r="B84" s="3171" t="s">
        <v>3790</v>
      </c>
      <c r="C84" s="3172" t="s">
        <v>3857</v>
      </c>
      <c r="D84" s="3173" t="s">
        <v>4020</v>
      </c>
      <c r="E84" s="3172" t="s">
        <v>4021</v>
      </c>
      <c r="F84" s="3179" t="s">
        <v>3324</v>
      </c>
      <c r="G84" s="3171">
        <v>-101</v>
      </c>
      <c r="H84" s="3174">
        <v>31.03</v>
      </c>
      <c r="I84" s="3175">
        <v>1086050</v>
      </c>
      <c r="J84" s="3176" t="s">
        <v>3453</v>
      </c>
      <c r="K84" s="3163"/>
      <c r="M84" s="3163"/>
    </row>
    <row r="85" spans="1:13" ht="16.5">
      <c r="A85" s="3170">
        <v>83</v>
      </c>
      <c r="B85" s="3171" t="s">
        <v>3790</v>
      </c>
      <c r="C85" s="3172" t="s">
        <v>3857</v>
      </c>
      <c r="D85" s="3173" t="s">
        <v>4022</v>
      </c>
      <c r="E85" s="3172" t="s">
        <v>4023</v>
      </c>
      <c r="F85" s="3179" t="s">
        <v>3324</v>
      </c>
      <c r="G85" s="3171">
        <v>-102</v>
      </c>
      <c r="H85" s="3174">
        <v>16.079999999999998</v>
      </c>
      <c r="I85" s="3175">
        <v>562800</v>
      </c>
      <c r="J85" s="3176" t="s">
        <v>3453</v>
      </c>
      <c r="K85" s="3163"/>
      <c r="M85" s="3163"/>
    </row>
    <row r="86" spans="1:13" ht="16.5">
      <c r="A86" s="3170">
        <v>84</v>
      </c>
      <c r="B86" s="3171" t="s">
        <v>3790</v>
      </c>
      <c r="C86" s="3172" t="s">
        <v>3857</v>
      </c>
      <c r="D86" s="3173" t="s">
        <v>4024</v>
      </c>
      <c r="E86" s="3172" t="s">
        <v>4025</v>
      </c>
      <c r="F86" s="3179" t="s">
        <v>3324</v>
      </c>
      <c r="G86" s="3171">
        <v>-103</v>
      </c>
      <c r="H86" s="3174">
        <v>46.54</v>
      </c>
      <c r="I86" s="3175">
        <v>1628900</v>
      </c>
      <c r="J86" s="3176" t="s">
        <v>3453</v>
      </c>
      <c r="K86" s="3163"/>
      <c r="M86" s="3163"/>
    </row>
    <row r="87" spans="1:13" ht="16.5">
      <c r="A87" s="3170">
        <v>85</v>
      </c>
      <c r="B87" s="3171" t="s">
        <v>3790</v>
      </c>
      <c r="C87" s="3172" t="s">
        <v>3857</v>
      </c>
      <c r="D87" s="3173" t="s">
        <v>4026</v>
      </c>
      <c r="E87" s="3172" t="s">
        <v>4027</v>
      </c>
      <c r="F87" s="3179" t="s">
        <v>3324</v>
      </c>
      <c r="G87" s="3171">
        <v>-104</v>
      </c>
      <c r="H87" s="3174">
        <v>53.76</v>
      </c>
      <c r="I87" s="3175">
        <v>1881600</v>
      </c>
      <c r="J87" s="3176" t="s">
        <v>3453</v>
      </c>
      <c r="K87" s="3163"/>
      <c r="M87" s="3163"/>
    </row>
    <row r="88" spans="1:13" ht="16.5">
      <c r="A88" s="3170">
        <v>86</v>
      </c>
      <c r="B88" s="3171" t="s">
        <v>3790</v>
      </c>
      <c r="C88" s="3172" t="s">
        <v>3857</v>
      </c>
      <c r="D88" s="3173" t="s">
        <v>4028</v>
      </c>
      <c r="E88" s="3172" t="s">
        <v>4029</v>
      </c>
      <c r="F88" s="3179" t="s">
        <v>3324</v>
      </c>
      <c r="G88" s="3171">
        <v>-105</v>
      </c>
      <c r="H88" s="3174">
        <v>23.66</v>
      </c>
      <c r="I88" s="3175">
        <v>828100</v>
      </c>
      <c r="J88" s="3176" t="s">
        <v>3453</v>
      </c>
      <c r="K88" s="3163"/>
      <c r="M88" s="3163"/>
    </row>
    <row r="89" spans="1:13" ht="16.5">
      <c r="A89" s="3170">
        <v>87</v>
      </c>
      <c r="B89" s="3171" t="s">
        <v>3790</v>
      </c>
      <c r="C89" s="3172" t="s">
        <v>3857</v>
      </c>
      <c r="D89" s="3173" t="s">
        <v>4030</v>
      </c>
      <c r="E89" s="3172" t="s">
        <v>4031</v>
      </c>
      <c r="F89" s="3179" t="s">
        <v>3324</v>
      </c>
      <c r="G89" s="3171">
        <v>-106</v>
      </c>
      <c r="H89" s="3174">
        <v>23.66</v>
      </c>
      <c r="I89" s="3175">
        <v>828100</v>
      </c>
      <c r="J89" s="3176" t="s">
        <v>3453</v>
      </c>
      <c r="K89" s="3163"/>
      <c r="M89" s="3163"/>
    </row>
    <row r="90" spans="1:13" ht="16.5">
      <c r="A90" s="3170">
        <v>88</v>
      </c>
      <c r="B90" s="3171" t="s">
        <v>3790</v>
      </c>
      <c r="C90" s="3172" t="s">
        <v>3857</v>
      </c>
      <c r="D90" s="3173" t="s">
        <v>4032</v>
      </c>
      <c r="E90" s="3172" t="s">
        <v>4033</v>
      </c>
      <c r="F90" s="3179" t="s">
        <v>3324</v>
      </c>
      <c r="G90" s="3171">
        <v>-107</v>
      </c>
      <c r="H90" s="3174">
        <v>56.69</v>
      </c>
      <c r="I90" s="3175">
        <v>1984150</v>
      </c>
      <c r="J90" s="3176" t="s">
        <v>3453</v>
      </c>
      <c r="K90" s="3163"/>
      <c r="M90" s="3163"/>
    </row>
    <row r="91" spans="1:13" ht="16.5">
      <c r="A91" s="3170">
        <v>89</v>
      </c>
      <c r="B91" s="3171" t="s">
        <v>3790</v>
      </c>
      <c r="C91" s="3172" t="s">
        <v>3857</v>
      </c>
      <c r="D91" s="3173" t="s">
        <v>4034</v>
      </c>
      <c r="E91" s="3172" t="s">
        <v>4035</v>
      </c>
      <c r="F91" s="3179" t="s">
        <v>3324</v>
      </c>
      <c r="G91" s="3171">
        <v>-108</v>
      </c>
      <c r="H91" s="3174">
        <v>41.15</v>
      </c>
      <c r="I91" s="3175">
        <v>1440250</v>
      </c>
      <c r="J91" s="3176" t="s">
        <v>3453</v>
      </c>
      <c r="K91" s="3163"/>
      <c r="M91" s="3163"/>
    </row>
    <row r="92" spans="1:13" ht="16.5">
      <c r="A92" s="3170">
        <v>90</v>
      </c>
      <c r="B92" s="3171" t="s">
        <v>3790</v>
      </c>
      <c r="C92" s="3172" t="s">
        <v>3857</v>
      </c>
      <c r="D92" s="3173" t="s">
        <v>4036</v>
      </c>
      <c r="E92" s="3172" t="s">
        <v>4037</v>
      </c>
      <c r="F92" s="3179" t="s">
        <v>3324</v>
      </c>
      <c r="G92" s="3171">
        <v>-109</v>
      </c>
      <c r="H92" s="3174">
        <v>41.15</v>
      </c>
      <c r="I92" s="3175">
        <v>1440250</v>
      </c>
      <c r="J92" s="3176" t="s">
        <v>3453</v>
      </c>
      <c r="K92" s="3163"/>
      <c r="M92" s="3163"/>
    </row>
    <row r="93" spans="1:13" ht="16.5">
      <c r="A93" s="3170">
        <v>91</v>
      </c>
      <c r="B93" s="3171" t="s">
        <v>3790</v>
      </c>
      <c r="C93" s="3172" t="s">
        <v>3857</v>
      </c>
      <c r="D93" s="3173" t="s">
        <v>4038</v>
      </c>
      <c r="E93" s="3172" t="s">
        <v>4039</v>
      </c>
      <c r="F93" s="3179" t="s">
        <v>3324</v>
      </c>
      <c r="G93" s="3171">
        <v>-110</v>
      </c>
      <c r="H93" s="3174">
        <v>56.69</v>
      </c>
      <c r="I93" s="3175">
        <v>1984150</v>
      </c>
      <c r="J93" s="3176" t="s">
        <v>3453</v>
      </c>
      <c r="K93" s="3163"/>
      <c r="M93" s="3163"/>
    </row>
    <row r="94" spans="1:13" ht="16.5">
      <c r="A94" s="3170">
        <v>92</v>
      </c>
      <c r="B94" s="3171" t="s">
        <v>3790</v>
      </c>
      <c r="C94" s="3172" t="s">
        <v>3857</v>
      </c>
      <c r="D94" s="3173" t="s">
        <v>4040</v>
      </c>
      <c r="E94" s="3172" t="s">
        <v>4041</v>
      </c>
      <c r="F94" s="3179" t="s">
        <v>3324</v>
      </c>
      <c r="G94" s="3171">
        <v>-111</v>
      </c>
      <c r="H94" s="3174">
        <v>23.66</v>
      </c>
      <c r="I94" s="3175">
        <v>828100</v>
      </c>
      <c r="J94" s="3176" t="s">
        <v>3453</v>
      </c>
      <c r="K94" s="3163"/>
      <c r="M94" s="3163"/>
    </row>
    <row r="95" spans="1:13" ht="16.5">
      <c r="A95" s="3170">
        <v>93</v>
      </c>
      <c r="B95" s="3171" t="s">
        <v>3790</v>
      </c>
      <c r="C95" s="3172" t="s">
        <v>3857</v>
      </c>
      <c r="D95" s="3173" t="s">
        <v>4042</v>
      </c>
      <c r="E95" s="3172" t="s">
        <v>4043</v>
      </c>
      <c r="F95" s="3179" t="s">
        <v>3324</v>
      </c>
      <c r="G95" s="3171">
        <v>-117</v>
      </c>
      <c r="H95" s="3174">
        <v>27.65</v>
      </c>
      <c r="I95" s="3175">
        <v>967750</v>
      </c>
      <c r="J95" s="3176" t="s">
        <v>3453</v>
      </c>
      <c r="K95" s="3163"/>
      <c r="M95" s="3163"/>
    </row>
    <row r="96" spans="1:13" ht="16.5">
      <c r="A96" s="3170">
        <v>94</v>
      </c>
      <c r="B96" s="3171" t="s">
        <v>3790</v>
      </c>
      <c r="C96" s="3172" t="s">
        <v>3857</v>
      </c>
      <c r="D96" s="3173" t="s">
        <v>4044</v>
      </c>
      <c r="E96" s="3172" t="s">
        <v>4045</v>
      </c>
      <c r="F96" s="3179" t="s">
        <v>3324</v>
      </c>
      <c r="G96" s="3171">
        <v>-118</v>
      </c>
      <c r="H96" s="3174">
        <v>19.170000000000002</v>
      </c>
      <c r="I96" s="3175">
        <v>670950</v>
      </c>
      <c r="J96" s="3176" t="s">
        <v>3453</v>
      </c>
      <c r="K96" s="3163"/>
      <c r="M96" s="3163"/>
    </row>
    <row r="97" spans="1:13" ht="16.5">
      <c r="A97" s="3170">
        <v>95</v>
      </c>
      <c r="B97" s="3171" t="s">
        <v>3790</v>
      </c>
      <c r="C97" s="3172" t="s">
        <v>3857</v>
      </c>
      <c r="D97" s="3173" t="s">
        <v>4046</v>
      </c>
      <c r="E97" s="3172" t="s">
        <v>4047</v>
      </c>
      <c r="F97" s="3179" t="s">
        <v>3324</v>
      </c>
      <c r="G97" s="3171">
        <v>-119</v>
      </c>
      <c r="H97" s="3174">
        <v>19.170000000000002</v>
      </c>
      <c r="I97" s="3175">
        <v>670950</v>
      </c>
      <c r="J97" s="3176" t="s">
        <v>3453</v>
      </c>
      <c r="K97" s="3163"/>
      <c r="M97" s="3163"/>
    </row>
    <row r="98" spans="1:13" ht="16.5">
      <c r="A98" s="3170">
        <v>96</v>
      </c>
      <c r="B98" s="3171" t="s">
        <v>3790</v>
      </c>
      <c r="C98" s="3172" t="s">
        <v>3857</v>
      </c>
      <c r="D98" s="3173" t="s">
        <v>4048</v>
      </c>
      <c r="E98" s="3172" t="s">
        <v>4049</v>
      </c>
      <c r="F98" s="3179" t="s">
        <v>3324</v>
      </c>
      <c r="G98" s="3171">
        <v>-120</v>
      </c>
      <c r="H98" s="3174">
        <v>27.65</v>
      </c>
      <c r="I98" s="3175">
        <v>967750</v>
      </c>
      <c r="J98" s="3176" t="s">
        <v>3453</v>
      </c>
      <c r="K98" s="3163"/>
      <c r="M98" s="3163"/>
    </row>
    <row r="99" spans="1:13" ht="16.5">
      <c r="A99" s="3170">
        <v>97</v>
      </c>
      <c r="B99" s="3171" t="s">
        <v>3790</v>
      </c>
      <c r="C99" s="3172" t="s">
        <v>3857</v>
      </c>
      <c r="D99" s="3173" t="s">
        <v>4050</v>
      </c>
      <c r="E99" s="3172" t="s">
        <v>4051</v>
      </c>
      <c r="F99" s="3179" t="s">
        <v>3324</v>
      </c>
      <c r="G99" s="3171">
        <v>-201</v>
      </c>
      <c r="H99" s="3174">
        <v>18.350000000000001</v>
      </c>
      <c r="I99" s="3175">
        <v>642250</v>
      </c>
      <c r="J99" s="3176" t="s">
        <v>3453</v>
      </c>
      <c r="K99" s="3163"/>
      <c r="M99" s="3163"/>
    </row>
    <row r="100" spans="1:13" ht="16.5">
      <c r="A100" s="3170">
        <v>98</v>
      </c>
      <c r="B100" s="3171" t="s">
        <v>3790</v>
      </c>
      <c r="C100" s="3172" t="s">
        <v>3857</v>
      </c>
      <c r="D100" s="3173" t="s">
        <v>4052</v>
      </c>
      <c r="E100" s="3172" t="s">
        <v>4053</v>
      </c>
      <c r="F100" s="3179" t="s">
        <v>3324</v>
      </c>
      <c r="G100" s="3171">
        <v>-202</v>
      </c>
      <c r="H100" s="3174">
        <v>16.36</v>
      </c>
      <c r="I100" s="3175">
        <v>572600</v>
      </c>
      <c r="J100" s="3176" t="s">
        <v>3453</v>
      </c>
      <c r="K100" s="3163"/>
      <c r="M100" s="3163"/>
    </row>
    <row r="101" spans="1:13" ht="16.5">
      <c r="A101" s="3170">
        <v>99</v>
      </c>
      <c r="B101" s="3171" t="s">
        <v>3790</v>
      </c>
      <c r="C101" s="3172" t="s">
        <v>3857</v>
      </c>
      <c r="D101" s="3173" t="s">
        <v>4054</v>
      </c>
      <c r="E101" s="3172" t="s">
        <v>4055</v>
      </c>
      <c r="F101" s="3179" t="s">
        <v>3324</v>
      </c>
      <c r="G101" s="3171">
        <v>-203</v>
      </c>
      <c r="H101" s="3174">
        <v>12.41</v>
      </c>
      <c r="I101" s="3175">
        <v>434350</v>
      </c>
      <c r="J101" s="3176" t="s">
        <v>3453</v>
      </c>
      <c r="K101" s="3163"/>
      <c r="M101" s="3163"/>
    </row>
    <row r="102" spans="1:13" ht="16.5">
      <c r="A102" s="3170">
        <v>100</v>
      </c>
      <c r="B102" s="3171" t="s">
        <v>3805</v>
      </c>
      <c r="C102" s="3172" t="s">
        <v>3857</v>
      </c>
      <c r="D102" s="3173" t="s">
        <v>4056</v>
      </c>
      <c r="E102" s="3172" t="s">
        <v>4057</v>
      </c>
      <c r="F102" s="3179" t="s">
        <v>3324</v>
      </c>
      <c r="G102" s="3171">
        <v>-101</v>
      </c>
      <c r="H102" s="3174">
        <v>27.29</v>
      </c>
      <c r="I102" s="3175">
        <v>955150</v>
      </c>
      <c r="J102" s="3176" t="s">
        <v>3453</v>
      </c>
      <c r="K102" s="3163"/>
      <c r="M102" s="3163"/>
    </row>
    <row r="103" spans="1:13" ht="16.5">
      <c r="A103" s="3170">
        <v>101</v>
      </c>
      <c r="B103" s="3171" t="s">
        <v>3805</v>
      </c>
      <c r="C103" s="3172" t="s">
        <v>3857</v>
      </c>
      <c r="D103" s="3173" t="s">
        <v>4058</v>
      </c>
      <c r="E103" s="3172" t="s">
        <v>4059</v>
      </c>
      <c r="F103" s="3179" t="s">
        <v>3324</v>
      </c>
      <c r="G103" s="3171">
        <v>-102</v>
      </c>
      <c r="H103" s="3174">
        <v>22.38</v>
      </c>
      <c r="I103" s="3175">
        <v>783300</v>
      </c>
      <c r="J103" s="3176" t="s">
        <v>3453</v>
      </c>
      <c r="K103" s="3163"/>
      <c r="M103" s="3163"/>
    </row>
    <row r="104" spans="1:13" ht="16.5">
      <c r="A104" s="3170">
        <v>102</v>
      </c>
      <c r="B104" s="3171" t="s">
        <v>3805</v>
      </c>
      <c r="C104" s="3172" t="s">
        <v>3857</v>
      </c>
      <c r="D104" s="3173" t="s">
        <v>4060</v>
      </c>
      <c r="E104" s="3172" t="s">
        <v>4061</v>
      </c>
      <c r="F104" s="3179" t="s">
        <v>3324</v>
      </c>
      <c r="G104" s="3171">
        <v>-103</v>
      </c>
      <c r="H104" s="3174">
        <v>47.06</v>
      </c>
      <c r="I104" s="3175">
        <v>1647100</v>
      </c>
      <c r="J104" s="3176" t="s">
        <v>3453</v>
      </c>
      <c r="K104" s="3163"/>
      <c r="M104" s="3163"/>
    </row>
    <row r="105" spans="1:13" ht="16.5">
      <c r="A105" s="3170">
        <v>103</v>
      </c>
      <c r="B105" s="3171" t="s">
        <v>3805</v>
      </c>
      <c r="C105" s="3172" t="s">
        <v>3857</v>
      </c>
      <c r="D105" s="3173" t="s">
        <v>4062</v>
      </c>
      <c r="E105" s="3172" t="s">
        <v>4063</v>
      </c>
      <c r="F105" s="3179" t="s">
        <v>3324</v>
      </c>
      <c r="G105" s="3171">
        <v>-104</v>
      </c>
      <c r="H105" s="3174">
        <v>48.7</v>
      </c>
      <c r="I105" s="3175">
        <v>1704500</v>
      </c>
      <c r="J105" s="3176" t="s">
        <v>3453</v>
      </c>
      <c r="K105" s="3163"/>
      <c r="M105" s="3163"/>
    </row>
    <row r="106" spans="1:13" ht="16.5">
      <c r="A106" s="3170">
        <v>104</v>
      </c>
      <c r="B106" s="3171" t="s">
        <v>3805</v>
      </c>
      <c r="C106" s="3172" t="s">
        <v>3857</v>
      </c>
      <c r="D106" s="3173" t="s">
        <v>4064</v>
      </c>
      <c r="E106" s="3172" t="s">
        <v>4065</v>
      </c>
      <c r="F106" s="3179" t="s">
        <v>3324</v>
      </c>
      <c r="G106" s="3171">
        <v>-105</v>
      </c>
      <c r="H106" s="3174">
        <v>23.2</v>
      </c>
      <c r="I106" s="3175">
        <v>812000</v>
      </c>
      <c r="J106" s="3176" t="s">
        <v>3453</v>
      </c>
      <c r="K106" s="3163"/>
      <c r="M106" s="3163"/>
    </row>
    <row r="107" spans="1:13" ht="16.5">
      <c r="A107" s="3170">
        <v>105</v>
      </c>
      <c r="B107" s="3171" t="s">
        <v>3805</v>
      </c>
      <c r="C107" s="3172" t="s">
        <v>3857</v>
      </c>
      <c r="D107" s="3173" t="s">
        <v>4066</v>
      </c>
      <c r="E107" s="3172" t="s">
        <v>4067</v>
      </c>
      <c r="F107" s="3179" t="s">
        <v>3324</v>
      </c>
      <c r="G107" s="3171">
        <v>-106</v>
      </c>
      <c r="H107" s="3174">
        <v>23.2</v>
      </c>
      <c r="I107" s="3175">
        <v>812000</v>
      </c>
      <c r="J107" s="3176" t="s">
        <v>3453</v>
      </c>
      <c r="K107" s="3163"/>
      <c r="M107" s="3163"/>
    </row>
    <row r="108" spans="1:13" ht="16.5">
      <c r="A108" s="3170">
        <v>106</v>
      </c>
      <c r="B108" s="3171" t="s">
        <v>3805</v>
      </c>
      <c r="C108" s="3172" t="s">
        <v>3857</v>
      </c>
      <c r="D108" s="3173" t="s">
        <v>4068</v>
      </c>
      <c r="E108" s="3172" t="s">
        <v>4069</v>
      </c>
      <c r="F108" s="3179" t="s">
        <v>3324</v>
      </c>
      <c r="G108" s="3171">
        <v>-107</v>
      </c>
      <c r="H108" s="3174">
        <v>48.7</v>
      </c>
      <c r="I108" s="3175">
        <v>1704500</v>
      </c>
      <c r="J108" s="3176" t="s">
        <v>3453</v>
      </c>
      <c r="K108" s="3163"/>
      <c r="M108" s="3163"/>
    </row>
    <row r="109" spans="1:13" ht="16.5">
      <c r="A109" s="3170">
        <v>107</v>
      </c>
      <c r="B109" s="3171" t="s">
        <v>3805</v>
      </c>
      <c r="C109" s="3172" t="s">
        <v>3857</v>
      </c>
      <c r="D109" s="3173" t="s">
        <v>4070</v>
      </c>
      <c r="E109" s="3172" t="s">
        <v>4071</v>
      </c>
      <c r="F109" s="3179" t="s">
        <v>3324</v>
      </c>
      <c r="G109" s="3171">
        <v>-108</v>
      </c>
      <c r="H109" s="3174">
        <v>47.1</v>
      </c>
      <c r="I109" s="3175">
        <v>1648500</v>
      </c>
      <c r="J109" s="3176" t="s">
        <v>3453</v>
      </c>
      <c r="K109" s="3163"/>
      <c r="M109" s="3163"/>
    </row>
    <row r="110" spans="1:13" ht="16.5">
      <c r="A110" s="3170">
        <v>108</v>
      </c>
      <c r="B110" s="3171" t="s">
        <v>3805</v>
      </c>
      <c r="C110" s="3172" t="s">
        <v>3857</v>
      </c>
      <c r="D110" s="3173" t="s">
        <v>4072</v>
      </c>
      <c r="E110" s="3172" t="s">
        <v>4073</v>
      </c>
      <c r="F110" s="3179" t="s">
        <v>3324</v>
      </c>
      <c r="G110" s="3171">
        <v>-109</v>
      </c>
      <c r="H110" s="3174">
        <v>27.52</v>
      </c>
      <c r="I110" s="3175">
        <v>963200</v>
      </c>
      <c r="J110" s="3176" t="s">
        <v>3453</v>
      </c>
      <c r="K110" s="3163"/>
      <c r="M110" s="3163"/>
    </row>
    <row r="111" spans="1:13" ht="16.5">
      <c r="A111" s="3170">
        <v>109</v>
      </c>
      <c r="B111" s="3171" t="s">
        <v>3805</v>
      </c>
      <c r="C111" s="3172" t="s">
        <v>3857</v>
      </c>
      <c r="D111" s="3173" t="s">
        <v>4074</v>
      </c>
      <c r="E111" s="3172" t="s">
        <v>4075</v>
      </c>
      <c r="F111" s="3179" t="s">
        <v>3324</v>
      </c>
      <c r="G111" s="3171">
        <v>-201</v>
      </c>
      <c r="H111" s="3174">
        <v>16.940000000000001</v>
      </c>
      <c r="I111" s="3175">
        <v>592900</v>
      </c>
      <c r="J111" s="3176" t="s">
        <v>3453</v>
      </c>
      <c r="K111" s="3163"/>
      <c r="M111" s="3163"/>
    </row>
    <row r="112" spans="1:13" ht="16.5">
      <c r="A112" s="3170">
        <v>110</v>
      </c>
      <c r="B112" s="3171" t="s">
        <v>3805</v>
      </c>
      <c r="C112" s="3172" t="s">
        <v>3857</v>
      </c>
      <c r="D112" s="3173" t="s">
        <v>4076</v>
      </c>
      <c r="E112" s="3172" t="s">
        <v>4077</v>
      </c>
      <c r="F112" s="3179" t="s">
        <v>3324</v>
      </c>
      <c r="G112" s="3171">
        <v>-202</v>
      </c>
      <c r="H112" s="3174">
        <v>26.37</v>
      </c>
      <c r="I112" s="3175">
        <v>922950</v>
      </c>
      <c r="J112" s="3176" t="s">
        <v>3453</v>
      </c>
      <c r="K112" s="3163"/>
      <c r="M112" s="3163"/>
    </row>
    <row r="113" spans="1:13" ht="16.5">
      <c r="A113" s="3170">
        <v>111</v>
      </c>
      <c r="B113" s="3171" t="s">
        <v>3805</v>
      </c>
      <c r="C113" s="3172" t="s">
        <v>3857</v>
      </c>
      <c r="D113" s="3173" t="s">
        <v>4078</v>
      </c>
      <c r="E113" s="3172" t="s">
        <v>4079</v>
      </c>
      <c r="F113" s="3179" t="s">
        <v>3324</v>
      </c>
      <c r="G113" s="3171">
        <v>-203</v>
      </c>
      <c r="H113" s="3174">
        <v>19.690000000000001</v>
      </c>
      <c r="I113" s="3175">
        <v>689150</v>
      </c>
      <c r="J113" s="3176" t="s">
        <v>3453</v>
      </c>
      <c r="K113" s="3163"/>
      <c r="M113" s="3163"/>
    </row>
    <row r="114" spans="1:13" ht="16.5">
      <c r="A114" s="3170">
        <v>112</v>
      </c>
      <c r="B114" s="3171" t="s">
        <v>3805</v>
      </c>
      <c r="C114" s="3172" t="s">
        <v>3857</v>
      </c>
      <c r="D114" s="3173" t="s">
        <v>4080</v>
      </c>
      <c r="E114" s="3172" t="s">
        <v>4081</v>
      </c>
      <c r="F114" s="3179" t="s">
        <v>3324</v>
      </c>
      <c r="G114" s="3171">
        <v>-204</v>
      </c>
      <c r="H114" s="3174">
        <v>19.690000000000001</v>
      </c>
      <c r="I114" s="3175">
        <v>689150</v>
      </c>
      <c r="J114" s="3176" t="s">
        <v>3453</v>
      </c>
      <c r="K114" s="3163"/>
      <c r="M114" s="3163"/>
    </row>
    <row r="115" spans="1:13" ht="16.5">
      <c r="A115" s="3170">
        <v>113</v>
      </c>
      <c r="B115" s="3171" t="s">
        <v>3805</v>
      </c>
      <c r="C115" s="3172" t="s">
        <v>3857</v>
      </c>
      <c r="D115" s="3173" t="s">
        <v>4082</v>
      </c>
      <c r="E115" s="3172" t="s">
        <v>4083</v>
      </c>
      <c r="F115" s="3179" t="s">
        <v>3324</v>
      </c>
      <c r="G115" s="3171">
        <v>-205</v>
      </c>
      <c r="H115" s="3174">
        <v>16.440000000000001</v>
      </c>
      <c r="I115" s="3175">
        <v>575400</v>
      </c>
      <c r="J115" s="3176" t="s">
        <v>3453</v>
      </c>
      <c r="K115" s="3163"/>
      <c r="M115" s="3163"/>
    </row>
    <row r="116" spans="1:13" ht="16.5">
      <c r="A116" s="3170">
        <v>114</v>
      </c>
      <c r="B116" s="3171" t="s">
        <v>3816</v>
      </c>
      <c r="C116" s="3172" t="s">
        <v>3857</v>
      </c>
      <c r="D116" s="3174" t="s">
        <v>4084</v>
      </c>
      <c r="E116" s="3172" t="s">
        <v>4085</v>
      </c>
      <c r="F116" s="3179" t="s">
        <v>3324</v>
      </c>
      <c r="G116" s="3171">
        <v>-106</v>
      </c>
      <c r="H116" s="3174">
        <v>23.11</v>
      </c>
      <c r="I116" s="3175">
        <v>808850</v>
      </c>
      <c r="J116" s="3176" t="s">
        <v>3469</v>
      </c>
      <c r="K116" s="3163"/>
      <c r="M116" s="3163"/>
    </row>
    <row r="117" spans="1:13" ht="16.5">
      <c r="A117" s="3170">
        <v>115</v>
      </c>
      <c r="B117" s="3171" t="s">
        <v>3816</v>
      </c>
      <c r="C117" s="3172" t="s">
        <v>3857</v>
      </c>
      <c r="D117" s="3174" t="s">
        <v>4086</v>
      </c>
      <c r="E117" s="3172" t="s">
        <v>4087</v>
      </c>
      <c r="F117" s="3179" t="s">
        <v>3324</v>
      </c>
      <c r="G117" s="3171">
        <v>-107</v>
      </c>
      <c r="H117" s="3174">
        <v>52.52</v>
      </c>
      <c r="I117" s="3175">
        <v>1838200</v>
      </c>
      <c r="J117" s="3176" t="s">
        <v>3469</v>
      </c>
      <c r="K117" s="3163"/>
      <c r="M117" s="3163"/>
    </row>
    <row r="118" spans="1:13" ht="16.5">
      <c r="A118" s="3170">
        <v>116</v>
      </c>
      <c r="B118" s="3171" t="s">
        <v>3816</v>
      </c>
      <c r="C118" s="3172" t="s">
        <v>3857</v>
      </c>
      <c r="D118" s="3174" t="s">
        <v>4088</v>
      </c>
      <c r="E118" s="3172" t="s">
        <v>4089</v>
      </c>
      <c r="F118" s="3179" t="s">
        <v>3324</v>
      </c>
      <c r="G118" s="3171">
        <v>-108</v>
      </c>
      <c r="H118" s="3174">
        <v>45.47</v>
      </c>
      <c r="I118" s="3175">
        <v>1591450</v>
      </c>
      <c r="J118" s="3176" t="s">
        <v>3469</v>
      </c>
      <c r="K118" s="3163"/>
      <c r="M118" s="3163"/>
    </row>
    <row r="119" spans="1:13" ht="16.5">
      <c r="A119" s="3170">
        <v>117</v>
      </c>
      <c r="B119" s="3171" t="s">
        <v>3816</v>
      </c>
      <c r="C119" s="3172" t="s">
        <v>3857</v>
      </c>
      <c r="D119" s="3174" t="s">
        <v>4090</v>
      </c>
      <c r="E119" s="3172" t="s">
        <v>4091</v>
      </c>
      <c r="F119" s="3179" t="s">
        <v>3324</v>
      </c>
      <c r="G119" s="3171">
        <v>-109</v>
      </c>
      <c r="H119" s="3174">
        <v>15.71</v>
      </c>
      <c r="I119" s="3175">
        <v>549850</v>
      </c>
      <c r="J119" s="3176" t="s">
        <v>3469</v>
      </c>
      <c r="K119" s="3163"/>
      <c r="M119" s="3163"/>
    </row>
    <row r="120" spans="1:13" ht="16.5">
      <c r="A120" s="3170">
        <v>118</v>
      </c>
      <c r="B120" s="3171" t="s">
        <v>3816</v>
      </c>
      <c r="C120" s="3172" t="s">
        <v>3857</v>
      </c>
      <c r="D120" s="3174" t="s">
        <v>4092</v>
      </c>
      <c r="E120" s="3172" t="s">
        <v>4093</v>
      </c>
      <c r="F120" s="3179" t="s">
        <v>3324</v>
      </c>
      <c r="G120" s="3171">
        <v>-110</v>
      </c>
      <c r="H120" s="3174">
        <v>30.31</v>
      </c>
      <c r="I120" s="3175">
        <v>1060850</v>
      </c>
      <c r="J120" s="3176" t="s">
        <v>3469</v>
      </c>
      <c r="K120" s="3163"/>
      <c r="M120" s="3163"/>
    </row>
    <row r="121" spans="1:13" ht="16.5">
      <c r="A121" s="3170">
        <v>119</v>
      </c>
      <c r="B121" s="3171" t="s">
        <v>3816</v>
      </c>
      <c r="C121" s="3172" t="s">
        <v>3857</v>
      </c>
      <c r="D121" s="3173" t="s">
        <v>4094</v>
      </c>
      <c r="E121" s="3172" t="s">
        <v>4095</v>
      </c>
      <c r="F121" s="3179" t="s">
        <v>3324</v>
      </c>
      <c r="G121" s="3171">
        <v>-201</v>
      </c>
      <c r="H121" s="3174">
        <v>15.67</v>
      </c>
      <c r="I121" s="3175">
        <v>548450</v>
      </c>
      <c r="J121" s="3176" t="s">
        <v>3453</v>
      </c>
      <c r="K121" s="3163"/>
      <c r="M121" s="3163"/>
    </row>
    <row r="122" spans="1:13" ht="16.5">
      <c r="A122" s="3170">
        <v>120</v>
      </c>
      <c r="B122" s="3171" t="s">
        <v>3816</v>
      </c>
      <c r="C122" s="3172" t="s">
        <v>3857</v>
      </c>
      <c r="D122" s="3174" t="s">
        <v>4096</v>
      </c>
      <c r="E122" s="3172" t="s">
        <v>4097</v>
      </c>
      <c r="F122" s="3179" t="s">
        <v>3324</v>
      </c>
      <c r="G122" s="3171">
        <v>-203</v>
      </c>
      <c r="H122" s="3174">
        <v>20.13</v>
      </c>
      <c r="I122" s="3175">
        <v>704550</v>
      </c>
      <c r="J122" s="3176" t="s">
        <v>3469</v>
      </c>
      <c r="K122" s="3163"/>
      <c r="M122" s="3163"/>
    </row>
    <row r="123" spans="1:13" ht="16.5">
      <c r="A123" s="3170">
        <v>121</v>
      </c>
      <c r="B123" s="3171" t="s">
        <v>3821</v>
      </c>
      <c r="C123" s="3172" t="s">
        <v>3857</v>
      </c>
      <c r="D123" s="3174" t="s">
        <v>4098</v>
      </c>
      <c r="E123" s="3172" t="s">
        <v>4099</v>
      </c>
      <c r="F123" s="3179" t="s">
        <v>3324</v>
      </c>
      <c r="G123" s="3171">
        <v>-106</v>
      </c>
      <c r="H123" s="3174">
        <v>23.61</v>
      </c>
      <c r="I123" s="3175">
        <v>826350</v>
      </c>
      <c r="J123" s="3176" t="s">
        <v>3453</v>
      </c>
      <c r="K123" s="3163"/>
      <c r="M123" s="3163"/>
    </row>
    <row r="124" spans="1:13" ht="16.5">
      <c r="A124" s="3170">
        <v>122</v>
      </c>
      <c r="B124" s="3171" t="s">
        <v>3821</v>
      </c>
      <c r="C124" s="3172" t="s">
        <v>3857</v>
      </c>
      <c r="D124" s="3174" t="s">
        <v>4100</v>
      </c>
      <c r="E124" s="3172" t="s">
        <v>4101</v>
      </c>
      <c r="F124" s="3179" t="s">
        <v>3324</v>
      </c>
      <c r="G124" s="3171">
        <v>-107</v>
      </c>
      <c r="H124" s="3174">
        <v>56.57</v>
      </c>
      <c r="I124" s="3175">
        <v>1979950</v>
      </c>
      <c r="J124" s="3176" t="s">
        <v>3453</v>
      </c>
      <c r="K124" s="3163"/>
      <c r="M124" s="3163"/>
    </row>
    <row r="125" spans="1:13" ht="16.5">
      <c r="A125" s="3170">
        <v>123</v>
      </c>
      <c r="B125" s="3171" t="s">
        <v>3821</v>
      </c>
      <c r="C125" s="3172" t="s">
        <v>3857</v>
      </c>
      <c r="D125" s="3174" t="s">
        <v>4102</v>
      </c>
      <c r="E125" s="3172" t="s">
        <v>4103</v>
      </c>
      <c r="F125" s="3179" t="s">
        <v>3324</v>
      </c>
      <c r="G125" s="3171">
        <v>-108</v>
      </c>
      <c r="H125" s="3174">
        <v>41.37</v>
      </c>
      <c r="I125" s="3175">
        <v>1447950</v>
      </c>
      <c r="J125" s="3176" t="s">
        <v>3453</v>
      </c>
      <c r="K125" s="3163"/>
      <c r="M125" s="3163"/>
    </row>
    <row r="126" spans="1:13" ht="16.5">
      <c r="A126" s="3170">
        <v>124</v>
      </c>
      <c r="B126" s="3171" t="s">
        <v>3821</v>
      </c>
      <c r="C126" s="3172" t="s">
        <v>3857</v>
      </c>
      <c r="D126" s="3174" t="s">
        <v>4104</v>
      </c>
      <c r="E126" s="3172" t="s">
        <v>4105</v>
      </c>
      <c r="F126" s="3179" t="s">
        <v>3324</v>
      </c>
      <c r="G126" s="3171">
        <v>-109</v>
      </c>
      <c r="H126" s="3174">
        <v>41.37</v>
      </c>
      <c r="I126" s="3175">
        <v>1447950</v>
      </c>
      <c r="J126" s="3176" t="s">
        <v>3453</v>
      </c>
      <c r="K126" s="3163"/>
      <c r="M126" s="3163"/>
    </row>
    <row r="127" spans="1:13" ht="16.5">
      <c r="A127" s="3170">
        <v>125</v>
      </c>
      <c r="B127" s="3171" t="s">
        <v>3821</v>
      </c>
      <c r="C127" s="3172" t="s">
        <v>3857</v>
      </c>
      <c r="D127" s="3174" t="s">
        <v>4106</v>
      </c>
      <c r="E127" s="3172" t="s">
        <v>4107</v>
      </c>
      <c r="F127" s="3179" t="s">
        <v>3324</v>
      </c>
      <c r="G127" s="3171">
        <v>-110</v>
      </c>
      <c r="H127" s="3174">
        <v>56.57</v>
      </c>
      <c r="I127" s="3175">
        <v>1979950</v>
      </c>
      <c r="J127" s="3176" t="s">
        <v>3453</v>
      </c>
      <c r="K127" s="3163"/>
      <c r="M127" s="3163"/>
    </row>
    <row r="128" spans="1:13" ht="16.5">
      <c r="A128" s="3170">
        <v>126</v>
      </c>
      <c r="B128" s="3171" t="s">
        <v>3821</v>
      </c>
      <c r="C128" s="3172" t="s">
        <v>3857</v>
      </c>
      <c r="D128" s="3174" t="s">
        <v>4108</v>
      </c>
      <c r="E128" s="3172" t="s">
        <v>4109</v>
      </c>
      <c r="F128" s="3179" t="s">
        <v>3324</v>
      </c>
      <c r="G128" s="3171">
        <v>-111</v>
      </c>
      <c r="H128" s="3174">
        <v>23.61</v>
      </c>
      <c r="I128" s="3175">
        <v>826350</v>
      </c>
      <c r="J128" s="3176" t="s">
        <v>3453</v>
      </c>
      <c r="K128" s="3163"/>
      <c r="M128" s="3163"/>
    </row>
    <row r="129" spans="1:13" ht="16.5">
      <c r="A129" s="3170">
        <v>127</v>
      </c>
      <c r="B129" s="3171" t="s">
        <v>3821</v>
      </c>
      <c r="C129" s="3172" t="s">
        <v>3857</v>
      </c>
      <c r="D129" s="3174" t="s">
        <v>4110</v>
      </c>
      <c r="E129" s="3172" t="s">
        <v>4111</v>
      </c>
      <c r="F129" s="3179" t="s">
        <v>3324</v>
      </c>
      <c r="G129" s="3171">
        <v>-115</v>
      </c>
      <c r="H129" s="3174">
        <v>41.06</v>
      </c>
      <c r="I129" s="3175">
        <v>1437100</v>
      </c>
      <c r="J129" s="3176" t="s">
        <v>3453</v>
      </c>
      <c r="K129" s="3163"/>
      <c r="M129" s="3163"/>
    </row>
    <row r="130" spans="1:13" ht="16.5">
      <c r="A130" s="3170">
        <v>128</v>
      </c>
      <c r="B130" s="3171" t="s">
        <v>3821</v>
      </c>
      <c r="C130" s="3172" t="s">
        <v>3857</v>
      </c>
      <c r="D130" s="3174" t="s">
        <v>4112</v>
      </c>
      <c r="E130" s="3172" t="s">
        <v>4113</v>
      </c>
      <c r="F130" s="3179" t="s">
        <v>3324</v>
      </c>
      <c r="G130" s="3171">
        <v>-116</v>
      </c>
      <c r="H130" s="3174">
        <v>56.57</v>
      </c>
      <c r="I130" s="3175">
        <v>1979950</v>
      </c>
      <c r="J130" s="3176" t="s">
        <v>3453</v>
      </c>
      <c r="K130" s="3163"/>
      <c r="M130" s="3163"/>
    </row>
    <row r="131" spans="1:13" ht="16.5">
      <c r="A131" s="3170">
        <v>129</v>
      </c>
      <c r="B131" s="3171" t="s">
        <v>3821</v>
      </c>
      <c r="C131" s="3172" t="s">
        <v>3857</v>
      </c>
      <c r="D131" s="3174" t="s">
        <v>4114</v>
      </c>
      <c r="E131" s="3172" t="s">
        <v>4115</v>
      </c>
      <c r="F131" s="3179" t="s">
        <v>3324</v>
      </c>
      <c r="G131" s="3171">
        <v>-117</v>
      </c>
      <c r="H131" s="3174">
        <v>23.61</v>
      </c>
      <c r="I131" s="3175">
        <v>826350</v>
      </c>
      <c r="J131" s="3176" t="s">
        <v>3453</v>
      </c>
      <c r="K131" s="3163"/>
      <c r="M131" s="3163"/>
    </row>
    <row r="132" spans="1:13" ht="16.5">
      <c r="A132" s="3170">
        <v>130</v>
      </c>
      <c r="B132" s="3171" t="s">
        <v>3821</v>
      </c>
      <c r="C132" s="3172" t="s">
        <v>3857</v>
      </c>
      <c r="D132" s="3174" t="s">
        <v>4116</v>
      </c>
      <c r="E132" s="3172" t="s">
        <v>4117</v>
      </c>
      <c r="F132" s="3179" t="s">
        <v>3324</v>
      </c>
      <c r="G132" s="3171">
        <v>-118</v>
      </c>
      <c r="H132" s="3174">
        <v>23.61</v>
      </c>
      <c r="I132" s="3175">
        <v>826350</v>
      </c>
      <c r="J132" s="3176" t="s">
        <v>3453</v>
      </c>
      <c r="K132" s="3163"/>
      <c r="M132" s="3163"/>
    </row>
    <row r="133" spans="1:13" ht="16.5">
      <c r="A133" s="3170">
        <v>131</v>
      </c>
      <c r="B133" s="3171" t="s">
        <v>3821</v>
      </c>
      <c r="C133" s="3172" t="s">
        <v>3857</v>
      </c>
      <c r="D133" s="3174" t="s">
        <v>4118</v>
      </c>
      <c r="E133" s="3172" t="s">
        <v>4119</v>
      </c>
      <c r="F133" s="3179" t="s">
        <v>3324</v>
      </c>
      <c r="G133" s="3171">
        <v>-119</v>
      </c>
      <c r="H133" s="3174">
        <v>49.55</v>
      </c>
      <c r="I133" s="3175">
        <v>1734250</v>
      </c>
      <c r="J133" s="3176" t="s">
        <v>3453</v>
      </c>
      <c r="K133" s="3163"/>
      <c r="M133" s="3163"/>
    </row>
    <row r="134" spans="1:13" ht="16.5">
      <c r="A134" s="3170">
        <v>132</v>
      </c>
      <c r="B134" s="3171" t="s">
        <v>3821</v>
      </c>
      <c r="C134" s="3172" t="s">
        <v>3857</v>
      </c>
      <c r="D134" s="3174" t="s">
        <v>4120</v>
      </c>
      <c r="E134" s="3172" t="s">
        <v>4121</v>
      </c>
      <c r="F134" s="3179" t="s">
        <v>3324</v>
      </c>
      <c r="G134" s="3171">
        <v>-120</v>
      </c>
      <c r="H134" s="3174">
        <v>47.92</v>
      </c>
      <c r="I134" s="3175">
        <v>1677200</v>
      </c>
      <c r="J134" s="3176" t="s">
        <v>3453</v>
      </c>
      <c r="K134" s="3163"/>
      <c r="M134" s="3163"/>
    </row>
    <row r="135" spans="1:13" ht="16.5">
      <c r="A135" s="3170">
        <v>133</v>
      </c>
      <c r="B135" s="3171" t="s">
        <v>3821</v>
      </c>
      <c r="C135" s="3172" t="s">
        <v>3857</v>
      </c>
      <c r="D135" s="3174" t="s">
        <v>4122</v>
      </c>
      <c r="E135" s="3172" t="s">
        <v>4123</v>
      </c>
      <c r="F135" s="3179" t="s">
        <v>3324</v>
      </c>
      <c r="G135" s="3171">
        <v>-121</v>
      </c>
      <c r="H135" s="3174">
        <v>22.78</v>
      </c>
      <c r="I135" s="3175">
        <v>797300</v>
      </c>
      <c r="J135" s="3176" t="s">
        <v>3453</v>
      </c>
      <c r="K135" s="3163"/>
      <c r="M135" s="3163"/>
    </row>
    <row r="136" spans="1:13" ht="16.5">
      <c r="A136" s="3170">
        <v>134</v>
      </c>
      <c r="B136" s="3171" t="s">
        <v>3821</v>
      </c>
      <c r="C136" s="3172" t="s">
        <v>3857</v>
      </c>
      <c r="D136" s="3174" t="s">
        <v>4124</v>
      </c>
      <c r="E136" s="3172" t="s">
        <v>4125</v>
      </c>
      <c r="F136" s="3179" t="s">
        <v>3324</v>
      </c>
      <c r="G136" s="3171">
        <v>-122</v>
      </c>
      <c r="H136" s="3174">
        <v>27.95</v>
      </c>
      <c r="I136" s="3175">
        <v>978250</v>
      </c>
      <c r="J136" s="3176" t="s">
        <v>3453</v>
      </c>
      <c r="K136" s="3163"/>
      <c r="M136" s="3163"/>
    </row>
    <row r="137" spans="1:13" ht="16.5">
      <c r="A137" s="3170">
        <v>135</v>
      </c>
      <c r="B137" s="3171" t="s">
        <v>3821</v>
      </c>
      <c r="C137" s="3172" t="s">
        <v>3857</v>
      </c>
      <c r="D137" s="3174" t="s">
        <v>4126</v>
      </c>
      <c r="E137" s="3172" t="s">
        <v>4127</v>
      </c>
      <c r="F137" s="3179" t="s">
        <v>3324</v>
      </c>
      <c r="G137" s="3171">
        <v>-123</v>
      </c>
      <c r="H137" s="3174">
        <v>27.59</v>
      </c>
      <c r="I137" s="3175">
        <v>965650</v>
      </c>
      <c r="J137" s="3176" t="s">
        <v>3453</v>
      </c>
      <c r="K137" s="3163"/>
      <c r="M137" s="3163"/>
    </row>
    <row r="138" spans="1:13" ht="16.5">
      <c r="A138" s="3170">
        <v>136</v>
      </c>
      <c r="B138" s="3171" t="s">
        <v>3821</v>
      </c>
      <c r="C138" s="3172" t="s">
        <v>3857</v>
      </c>
      <c r="D138" s="3174" t="s">
        <v>4128</v>
      </c>
      <c r="E138" s="3172" t="s">
        <v>4129</v>
      </c>
      <c r="F138" s="3179" t="s">
        <v>3324</v>
      </c>
      <c r="G138" s="3171">
        <v>-124</v>
      </c>
      <c r="H138" s="3174">
        <v>19.13</v>
      </c>
      <c r="I138" s="3175">
        <v>669550</v>
      </c>
      <c r="J138" s="3176" t="s">
        <v>3453</v>
      </c>
      <c r="K138" s="3163"/>
      <c r="M138" s="3163"/>
    </row>
    <row r="139" spans="1:13" ht="16.5">
      <c r="A139" s="3170">
        <v>137</v>
      </c>
      <c r="B139" s="3171" t="s">
        <v>3821</v>
      </c>
      <c r="C139" s="3172" t="s">
        <v>3857</v>
      </c>
      <c r="D139" s="3174" t="s">
        <v>4130</v>
      </c>
      <c r="E139" s="3172" t="s">
        <v>4131</v>
      </c>
      <c r="F139" s="3179" t="s">
        <v>3324</v>
      </c>
      <c r="G139" s="3171">
        <v>-126</v>
      </c>
      <c r="H139" s="3174">
        <v>27.77</v>
      </c>
      <c r="I139" s="3175">
        <v>971950</v>
      </c>
      <c r="J139" s="3176" t="s">
        <v>3453</v>
      </c>
      <c r="K139" s="3163"/>
      <c r="M139" s="3163"/>
    </row>
    <row r="140" spans="1:13" ht="16.5">
      <c r="A140" s="3170">
        <v>138</v>
      </c>
      <c r="B140" s="3171" t="s">
        <v>3821</v>
      </c>
      <c r="C140" s="3172" t="s">
        <v>3857</v>
      </c>
      <c r="D140" s="3174" t="s">
        <v>4132</v>
      </c>
      <c r="E140" s="3172" t="s">
        <v>4133</v>
      </c>
      <c r="F140" s="3179" t="s">
        <v>3324</v>
      </c>
      <c r="G140" s="3171">
        <v>-127</v>
      </c>
      <c r="H140" s="3174">
        <v>27.59</v>
      </c>
      <c r="I140" s="3175">
        <v>965650</v>
      </c>
      <c r="J140" s="3176" t="s">
        <v>3453</v>
      </c>
      <c r="K140" s="3163"/>
      <c r="M140" s="3163"/>
    </row>
    <row r="141" spans="1:13" ht="16.5">
      <c r="A141" s="3170">
        <v>139</v>
      </c>
      <c r="B141" s="3171" t="s">
        <v>3821</v>
      </c>
      <c r="C141" s="3172" t="s">
        <v>3857</v>
      </c>
      <c r="D141" s="3174" t="s">
        <v>4134</v>
      </c>
      <c r="E141" s="3172" t="s">
        <v>4135</v>
      </c>
      <c r="F141" s="3179" t="s">
        <v>3324</v>
      </c>
      <c r="G141" s="3171">
        <v>-128</v>
      </c>
      <c r="H141" s="3174">
        <v>19.77</v>
      </c>
      <c r="I141" s="3175">
        <v>691950</v>
      </c>
      <c r="J141" s="3176" t="s">
        <v>3453</v>
      </c>
      <c r="K141" s="3163"/>
      <c r="M141" s="3163"/>
    </row>
    <row r="142" spans="1:13" ht="16.5">
      <c r="A142" s="3170">
        <v>140</v>
      </c>
      <c r="B142" s="3171" t="s">
        <v>3821</v>
      </c>
      <c r="C142" s="3172" t="s">
        <v>3857</v>
      </c>
      <c r="D142" s="3174" t="s">
        <v>4136</v>
      </c>
      <c r="E142" s="3172" t="s">
        <v>4137</v>
      </c>
      <c r="F142" s="3179" t="s">
        <v>3324</v>
      </c>
      <c r="G142" s="3171">
        <v>-202</v>
      </c>
      <c r="H142" s="3174">
        <v>16.329999999999998</v>
      </c>
      <c r="I142" s="3175">
        <v>571550</v>
      </c>
      <c r="J142" s="3176" t="s">
        <v>3453</v>
      </c>
      <c r="K142" s="3163"/>
      <c r="M142" s="3163"/>
    </row>
    <row r="143" spans="1:13" ht="16.5">
      <c r="A143" s="3170">
        <v>141</v>
      </c>
      <c r="B143" s="3171" t="s">
        <v>3821</v>
      </c>
      <c r="C143" s="3172" t="s">
        <v>3857</v>
      </c>
      <c r="D143" s="3174" t="s">
        <v>4138</v>
      </c>
      <c r="E143" s="3172" t="s">
        <v>4139</v>
      </c>
      <c r="F143" s="3179" t="s">
        <v>3324</v>
      </c>
      <c r="G143" s="3171">
        <v>-203</v>
      </c>
      <c r="H143" s="3174">
        <v>12.38</v>
      </c>
      <c r="I143" s="3175">
        <v>433300</v>
      </c>
      <c r="J143" s="3176" t="s">
        <v>3453</v>
      </c>
      <c r="K143" s="3163"/>
      <c r="M143" s="3163"/>
    </row>
    <row r="144" spans="1:13" ht="16.5">
      <c r="A144" s="3170">
        <v>142</v>
      </c>
      <c r="B144" s="3171" t="s">
        <v>3821</v>
      </c>
      <c r="C144" s="3172" t="s">
        <v>3857</v>
      </c>
      <c r="D144" s="3174" t="s">
        <v>4140</v>
      </c>
      <c r="E144" s="3172" t="s">
        <v>4141</v>
      </c>
      <c r="F144" s="3179" t="s">
        <v>3324</v>
      </c>
      <c r="G144" s="3171">
        <v>-205</v>
      </c>
      <c r="H144" s="3174">
        <v>12.38</v>
      </c>
      <c r="I144" s="3175">
        <v>433300</v>
      </c>
      <c r="J144" s="3176" t="s">
        <v>3453</v>
      </c>
      <c r="K144" s="3163"/>
      <c r="M144" s="3163"/>
    </row>
    <row r="145" spans="1:13" ht="16.5">
      <c r="A145" s="3170">
        <v>143</v>
      </c>
      <c r="B145" s="3171" t="s">
        <v>3821</v>
      </c>
      <c r="C145" s="3172" t="s">
        <v>3857</v>
      </c>
      <c r="D145" s="3174" t="s">
        <v>4142</v>
      </c>
      <c r="E145" s="3172" t="s">
        <v>4143</v>
      </c>
      <c r="F145" s="3179" t="s">
        <v>3324</v>
      </c>
      <c r="G145" s="3171">
        <v>-206</v>
      </c>
      <c r="H145" s="3174">
        <v>17</v>
      </c>
      <c r="I145" s="3175">
        <v>595000</v>
      </c>
      <c r="J145" s="3176" t="s">
        <v>3453</v>
      </c>
      <c r="K145" s="3163"/>
      <c r="M145" s="3163"/>
    </row>
    <row r="146" spans="1:13" ht="16.5">
      <c r="A146" s="3170">
        <v>144</v>
      </c>
      <c r="B146" s="3171" t="s">
        <v>3834</v>
      </c>
      <c r="C146" s="3172" t="s">
        <v>3857</v>
      </c>
      <c r="D146" s="3173" t="s">
        <v>4144</v>
      </c>
      <c r="E146" s="3172" t="s">
        <v>4145</v>
      </c>
      <c r="F146" s="3179" t="s">
        <v>3324</v>
      </c>
      <c r="G146" s="3171">
        <v>-101</v>
      </c>
      <c r="H146" s="3174">
        <v>30.98</v>
      </c>
      <c r="I146" s="3175">
        <v>1084300</v>
      </c>
      <c r="J146" s="3176" t="s">
        <v>3453</v>
      </c>
      <c r="K146" s="3163"/>
      <c r="M146" s="3163"/>
    </row>
    <row r="147" spans="1:13" ht="16.5">
      <c r="A147" s="3170">
        <v>145</v>
      </c>
      <c r="B147" s="3171" t="s">
        <v>3834</v>
      </c>
      <c r="C147" s="3172" t="s">
        <v>3857</v>
      </c>
      <c r="D147" s="3173" t="s">
        <v>4146</v>
      </c>
      <c r="E147" s="3172" t="s">
        <v>4147</v>
      </c>
      <c r="F147" s="3179" t="s">
        <v>3324</v>
      </c>
      <c r="G147" s="3171">
        <v>-102</v>
      </c>
      <c r="H147" s="3174">
        <v>16.059999999999999</v>
      </c>
      <c r="I147" s="3175">
        <v>562100</v>
      </c>
      <c r="J147" s="3176" t="s">
        <v>3453</v>
      </c>
      <c r="K147" s="3163"/>
      <c r="M147" s="3163"/>
    </row>
    <row r="148" spans="1:13" ht="16.5">
      <c r="A148" s="3170">
        <v>146</v>
      </c>
      <c r="B148" s="3171" t="s">
        <v>3834</v>
      </c>
      <c r="C148" s="3172" t="s">
        <v>3857</v>
      </c>
      <c r="D148" s="3173" t="s">
        <v>4148</v>
      </c>
      <c r="E148" s="3172" t="s">
        <v>4149</v>
      </c>
      <c r="F148" s="3179" t="s">
        <v>3324</v>
      </c>
      <c r="G148" s="3171">
        <v>-103</v>
      </c>
      <c r="H148" s="3174">
        <v>46.48</v>
      </c>
      <c r="I148" s="3175">
        <v>1626800</v>
      </c>
      <c r="J148" s="3176" t="s">
        <v>3453</v>
      </c>
      <c r="K148" s="3163"/>
      <c r="M148" s="3163"/>
    </row>
    <row r="149" spans="1:13" ht="16.5">
      <c r="A149" s="3170">
        <v>147</v>
      </c>
      <c r="B149" s="3171" t="s">
        <v>3834</v>
      </c>
      <c r="C149" s="3172" t="s">
        <v>3857</v>
      </c>
      <c r="D149" s="3173" t="s">
        <v>4150</v>
      </c>
      <c r="E149" s="3172" t="s">
        <v>4151</v>
      </c>
      <c r="F149" s="3179" t="s">
        <v>3324</v>
      </c>
      <c r="G149" s="3171">
        <v>-104</v>
      </c>
      <c r="H149" s="3174">
        <v>53.69</v>
      </c>
      <c r="I149" s="3175">
        <v>1879150</v>
      </c>
      <c r="J149" s="3176" t="s">
        <v>3453</v>
      </c>
      <c r="K149" s="3163"/>
      <c r="M149" s="3163"/>
    </row>
    <row r="150" spans="1:13" ht="16.5">
      <c r="A150" s="3170">
        <v>148</v>
      </c>
      <c r="B150" s="3171" t="s">
        <v>3834</v>
      </c>
      <c r="C150" s="3172" t="s">
        <v>3857</v>
      </c>
      <c r="D150" s="3173" t="s">
        <v>4152</v>
      </c>
      <c r="E150" s="3172" t="s">
        <v>4153</v>
      </c>
      <c r="F150" s="3179" t="s">
        <v>3324</v>
      </c>
      <c r="G150" s="3171">
        <v>-105</v>
      </c>
      <c r="H150" s="3174">
        <v>23.63</v>
      </c>
      <c r="I150" s="3175">
        <v>827050</v>
      </c>
      <c r="J150" s="3176" t="s">
        <v>3453</v>
      </c>
      <c r="K150" s="3163"/>
      <c r="M150" s="3163"/>
    </row>
    <row r="151" spans="1:13" ht="16.5">
      <c r="A151" s="3170">
        <v>149</v>
      </c>
      <c r="B151" s="3171" t="s">
        <v>3834</v>
      </c>
      <c r="C151" s="3172" t="s">
        <v>3857</v>
      </c>
      <c r="D151" s="3173" t="s">
        <v>4154</v>
      </c>
      <c r="E151" s="3172" t="s">
        <v>4155</v>
      </c>
      <c r="F151" s="3179" t="s">
        <v>3324</v>
      </c>
      <c r="G151" s="3171">
        <v>-106</v>
      </c>
      <c r="H151" s="3174">
        <v>23.66</v>
      </c>
      <c r="I151" s="3175">
        <v>828100</v>
      </c>
      <c r="J151" s="3176" t="s">
        <v>3453</v>
      </c>
      <c r="K151" s="3163"/>
      <c r="M151" s="3163"/>
    </row>
    <row r="152" spans="1:13" ht="16.5">
      <c r="A152" s="3170">
        <v>150</v>
      </c>
      <c r="B152" s="3171" t="s">
        <v>3834</v>
      </c>
      <c r="C152" s="3172" t="s">
        <v>3857</v>
      </c>
      <c r="D152" s="3173" t="s">
        <v>4156</v>
      </c>
      <c r="E152" s="3172" t="s">
        <v>4157</v>
      </c>
      <c r="F152" s="3179" t="s">
        <v>3324</v>
      </c>
      <c r="G152" s="3171">
        <v>-107</v>
      </c>
      <c r="H152" s="3174">
        <v>56.65</v>
      </c>
      <c r="I152" s="3175">
        <v>1982750</v>
      </c>
      <c r="J152" s="3176" t="s">
        <v>3453</v>
      </c>
      <c r="K152" s="3163"/>
      <c r="M152" s="3163"/>
    </row>
    <row r="153" spans="1:13" ht="16.5">
      <c r="A153" s="3170">
        <v>151</v>
      </c>
      <c r="B153" s="3171" t="s">
        <v>3834</v>
      </c>
      <c r="C153" s="3172" t="s">
        <v>3857</v>
      </c>
      <c r="D153" s="3173" t="s">
        <v>4158</v>
      </c>
      <c r="E153" s="3172" t="s">
        <v>4159</v>
      </c>
      <c r="F153" s="3179" t="s">
        <v>3324</v>
      </c>
      <c r="G153" s="3171">
        <v>-108</v>
      </c>
      <c r="H153" s="3174">
        <v>41.09</v>
      </c>
      <c r="I153" s="3175">
        <v>1438150</v>
      </c>
      <c r="J153" s="3176" t="s">
        <v>3453</v>
      </c>
      <c r="K153" s="3163"/>
      <c r="M153" s="3163"/>
    </row>
    <row r="154" spans="1:13" ht="16.5">
      <c r="A154" s="3170">
        <v>152</v>
      </c>
      <c r="B154" s="3171" t="s">
        <v>3834</v>
      </c>
      <c r="C154" s="3172" t="s">
        <v>3857</v>
      </c>
      <c r="D154" s="3173" t="s">
        <v>4160</v>
      </c>
      <c r="E154" s="3172" t="s">
        <v>4161</v>
      </c>
      <c r="F154" s="3179" t="s">
        <v>3324</v>
      </c>
      <c r="G154" s="3171">
        <v>-109</v>
      </c>
      <c r="H154" s="3174">
        <v>41.09</v>
      </c>
      <c r="I154" s="3175">
        <v>1438150</v>
      </c>
      <c r="J154" s="3176" t="s">
        <v>3453</v>
      </c>
      <c r="K154" s="3163"/>
      <c r="M154" s="3163"/>
    </row>
    <row r="155" spans="1:13" ht="16.5">
      <c r="A155" s="3170">
        <v>153</v>
      </c>
      <c r="B155" s="3171" t="s">
        <v>3834</v>
      </c>
      <c r="C155" s="3172" t="s">
        <v>3857</v>
      </c>
      <c r="D155" s="3173" t="s">
        <v>4162</v>
      </c>
      <c r="E155" s="3172" t="s">
        <v>4163</v>
      </c>
      <c r="F155" s="3179" t="s">
        <v>3324</v>
      </c>
      <c r="G155" s="3171">
        <v>-110</v>
      </c>
      <c r="H155" s="3174">
        <v>56.65</v>
      </c>
      <c r="I155" s="3175">
        <v>1982750</v>
      </c>
      <c r="J155" s="3176" t="s">
        <v>3453</v>
      </c>
      <c r="K155" s="3163"/>
      <c r="M155" s="3163"/>
    </row>
    <row r="156" spans="1:13" ht="16.5">
      <c r="A156" s="3170">
        <v>154</v>
      </c>
      <c r="B156" s="3171" t="s">
        <v>3834</v>
      </c>
      <c r="C156" s="3172" t="s">
        <v>3857</v>
      </c>
      <c r="D156" s="3173" t="s">
        <v>4164</v>
      </c>
      <c r="E156" s="3172" t="s">
        <v>4165</v>
      </c>
      <c r="F156" s="3179" t="s">
        <v>3324</v>
      </c>
      <c r="G156" s="3171">
        <v>-112</v>
      </c>
      <c r="H156" s="3174">
        <v>23.63</v>
      </c>
      <c r="I156" s="3175">
        <v>827050</v>
      </c>
      <c r="J156" s="3176" t="s">
        <v>3453</v>
      </c>
      <c r="K156" s="3163"/>
      <c r="M156" s="3163"/>
    </row>
    <row r="157" spans="1:13" ht="16.5">
      <c r="A157" s="3170">
        <v>155</v>
      </c>
      <c r="B157" s="3171" t="s">
        <v>3834</v>
      </c>
      <c r="C157" s="3172" t="s">
        <v>3857</v>
      </c>
      <c r="D157" s="3173" t="s">
        <v>4166</v>
      </c>
      <c r="E157" s="3172" t="s">
        <v>4167</v>
      </c>
      <c r="F157" s="3179" t="s">
        <v>3324</v>
      </c>
      <c r="G157" s="3171">
        <v>-113</v>
      </c>
      <c r="H157" s="3174">
        <v>49.59</v>
      </c>
      <c r="I157" s="3175">
        <v>1735650</v>
      </c>
      <c r="J157" s="3176" t="s">
        <v>3453</v>
      </c>
      <c r="K157" s="3163"/>
      <c r="M157" s="3163"/>
    </row>
    <row r="158" spans="1:13" ht="16.5">
      <c r="A158" s="3170">
        <v>156</v>
      </c>
      <c r="B158" s="3171" t="s">
        <v>3834</v>
      </c>
      <c r="C158" s="3172" t="s">
        <v>3857</v>
      </c>
      <c r="D158" s="3173" t="s">
        <v>4168</v>
      </c>
      <c r="E158" s="3172" t="s">
        <v>4169</v>
      </c>
      <c r="F158" s="3179" t="s">
        <v>3324</v>
      </c>
      <c r="G158" s="3171">
        <v>-114</v>
      </c>
      <c r="H158" s="3174">
        <v>47.96</v>
      </c>
      <c r="I158" s="3175">
        <v>1678600</v>
      </c>
      <c r="J158" s="3176" t="s">
        <v>3453</v>
      </c>
      <c r="K158" s="3163"/>
      <c r="M158" s="3163"/>
    </row>
    <row r="159" spans="1:13" ht="16.5">
      <c r="A159" s="3170">
        <v>157</v>
      </c>
      <c r="B159" s="3171" t="s">
        <v>3834</v>
      </c>
      <c r="C159" s="3172" t="s">
        <v>3857</v>
      </c>
      <c r="D159" s="3173" t="s">
        <v>4170</v>
      </c>
      <c r="E159" s="3172" t="s">
        <v>4171</v>
      </c>
      <c r="F159" s="3179" t="s">
        <v>3324</v>
      </c>
      <c r="G159" s="3171">
        <v>-115</v>
      </c>
      <c r="H159" s="3174">
        <v>22.62</v>
      </c>
      <c r="I159" s="3175">
        <v>791700</v>
      </c>
      <c r="J159" s="3176" t="s">
        <v>3453</v>
      </c>
      <c r="K159" s="3163"/>
      <c r="M159" s="3163"/>
    </row>
    <row r="160" spans="1:13" ht="16.5">
      <c r="A160" s="3170">
        <v>158</v>
      </c>
      <c r="B160" s="3171" t="s">
        <v>3834</v>
      </c>
      <c r="C160" s="3172" t="s">
        <v>3857</v>
      </c>
      <c r="D160" s="3173" t="s">
        <v>4172</v>
      </c>
      <c r="E160" s="3172" t="s">
        <v>4173</v>
      </c>
      <c r="F160" s="3179" t="s">
        <v>3324</v>
      </c>
      <c r="G160" s="3171">
        <v>-116</v>
      </c>
      <c r="H160" s="3174">
        <v>27.97</v>
      </c>
      <c r="I160" s="3175">
        <v>978950</v>
      </c>
      <c r="J160" s="3176" t="s">
        <v>3453</v>
      </c>
      <c r="K160" s="3163"/>
      <c r="M160" s="3163"/>
    </row>
    <row r="161" spans="1:13" ht="16.5">
      <c r="A161" s="3170">
        <v>159</v>
      </c>
      <c r="B161" s="3171" t="s">
        <v>3834</v>
      </c>
      <c r="C161" s="3172" t="s">
        <v>3857</v>
      </c>
      <c r="D161" s="3173" t="s">
        <v>4174</v>
      </c>
      <c r="E161" s="3172" t="s">
        <v>4175</v>
      </c>
      <c r="F161" s="3179" t="s">
        <v>3324</v>
      </c>
      <c r="G161" s="3171">
        <v>-117</v>
      </c>
      <c r="H161" s="3174">
        <v>27.62</v>
      </c>
      <c r="I161" s="3175">
        <v>966700</v>
      </c>
      <c r="J161" s="3176" t="s">
        <v>3453</v>
      </c>
      <c r="K161" s="3163"/>
      <c r="M161" s="3163"/>
    </row>
    <row r="162" spans="1:13" ht="16.5">
      <c r="A162" s="3170">
        <v>160</v>
      </c>
      <c r="B162" s="3171" t="s">
        <v>3834</v>
      </c>
      <c r="C162" s="3172" t="s">
        <v>3857</v>
      </c>
      <c r="D162" s="3173" t="s">
        <v>4176</v>
      </c>
      <c r="E162" s="3172" t="s">
        <v>4177</v>
      </c>
      <c r="F162" s="3179" t="s">
        <v>3324</v>
      </c>
      <c r="G162" s="3171">
        <v>-118</v>
      </c>
      <c r="H162" s="3174">
        <v>19.149999999999999</v>
      </c>
      <c r="I162" s="3175">
        <v>670250</v>
      </c>
      <c r="J162" s="3176" t="s">
        <v>3453</v>
      </c>
      <c r="K162" s="3163"/>
      <c r="M162" s="3163"/>
    </row>
    <row r="163" spans="1:13" ht="16.5">
      <c r="A163" s="3170">
        <v>161</v>
      </c>
      <c r="B163" s="3171" t="s">
        <v>3834</v>
      </c>
      <c r="C163" s="3172" t="s">
        <v>3857</v>
      </c>
      <c r="D163" s="3173" t="s">
        <v>4178</v>
      </c>
      <c r="E163" s="3172" t="s">
        <v>4179</v>
      </c>
      <c r="F163" s="3179" t="s">
        <v>3324</v>
      </c>
      <c r="G163" s="3171">
        <v>-119</v>
      </c>
      <c r="H163" s="3174">
        <v>19.149999999999999</v>
      </c>
      <c r="I163" s="3175">
        <v>670250</v>
      </c>
      <c r="J163" s="3176" t="s">
        <v>3453</v>
      </c>
      <c r="K163" s="3163"/>
      <c r="M163" s="3163"/>
    </row>
    <row r="164" spans="1:13" ht="16.5">
      <c r="A164" s="3170">
        <v>162</v>
      </c>
      <c r="B164" s="3171" t="s">
        <v>3834</v>
      </c>
      <c r="C164" s="3172" t="s">
        <v>3857</v>
      </c>
      <c r="D164" s="3173" t="s">
        <v>4180</v>
      </c>
      <c r="E164" s="3172" t="s">
        <v>4181</v>
      </c>
      <c r="F164" s="3179" t="s">
        <v>3324</v>
      </c>
      <c r="G164" s="3171">
        <v>-120</v>
      </c>
      <c r="H164" s="3174">
        <v>27.62</v>
      </c>
      <c r="I164" s="3175">
        <v>966700</v>
      </c>
      <c r="J164" s="3176" t="s">
        <v>3453</v>
      </c>
      <c r="K164" s="3163"/>
      <c r="M164" s="3163"/>
    </row>
    <row r="165" spans="1:13" ht="16.5">
      <c r="A165" s="3170">
        <v>163</v>
      </c>
      <c r="B165" s="3171" t="s">
        <v>3834</v>
      </c>
      <c r="C165" s="3172" t="s">
        <v>3857</v>
      </c>
      <c r="D165" s="3173" t="s">
        <v>4182</v>
      </c>
      <c r="E165" s="3172" t="s">
        <v>4183</v>
      </c>
      <c r="F165" s="3179" t="s">
        <v>3324</v>
      </c>
      <c r="G165" s="3171">
        <v>-201</v>
      </c>
      <c r="H165" s="3174">
        <v>18.329999999999998</v>
      </c>
      <c r="I165" s="3175">
        <v>641550</v>
      </c>
      <c r="J165" s="3176" t="s">
        <v>3453</v>
      </c>
      <c r="K165" s="3163"/>
      <c r="M165" s="3163"/>
    </row>
    <row r="166" spans="1:13" ht="16.5">
      <c r="A166" s="3170">
        <v>164</v>
      </c>
      <c r="B166" s="3171" t="s">
        <v>3834</v>
      </c>
      <c r="C166" s="3172" t="s">
        <v>3857</v>
      </c>
      <c r="D166" s="3173" t="s">
        <v>4184</v>
      </c>
      <c r="E166" s="3172" t="s">
        <v>4185</v>
      </c>
      <c r="F166" s="3179" t="s">
        <v>3324</v>
      </c>
      <c r="G166" s="3171">
        <v>-203</v>
      </c>
      <c r="H166" s="3174">
        <v>16.34</v>
      </c>
      <c r="I166" s="3175">
        <v>571900</v>
      </c>
      <c r="J166" s="3176" t="s">
        <v>3453</v>
      </c>
      <c r="K166" s="3163"/>
      <c r="M166" s="3163"/>
    </row>
    <row r="167" spans="1:13" ht="16.5">
      <c r="A167" s="3170">
        <v>165</v>
      </c>
      <c r="B167" s="3171" t="s">
        <v>3834</v>
      </c>
      <c r="C167" s="3172" t="s">
        <v>3857</v>
      </c>
      <c r="D167" s="3173" t="s">
        <v>4186</v>
      </c>
      <c r="E167" s="3172" t="s">
        <v>4187</v>
      </c>
      <c r="F167" s="3179" t="s">
        <v>3324</v>
      </c>
      <c r="G167" s="3171">
        <v>-204</v>
      </c>
      <c r="H167" s="3174">
        <v>17.02</v>
      </c>
      <c r="I167" s="3175">
        <v>595700</v>
      </c>
      <c r="J167" s="3176" t="s">
        <v>3453</v>
      </c>
      <c r="K167" s="3163"/>
      <c r="M167" s="3163"/>
    </row>
    <row r="168" spans="1:13" ht="16.5">
      <c r="A168" s="3170">
        <v>166</v>
      </c>
      <c r="B168" s="3171" t="s">
        <v>3478</v>
      </c>
      <c r="C168" s="3172" t="s">
        <v>3857</v>
      </c>
      <c r="D168" s="3173" t="s">
        <v>4188</v>
      </c>
      <c r="E168" s="3172" t="s">
        <v>4189</v>
      </c>
      <c r="F168" s="3179" t="s">
        <v>3324</v>
      </c>
      <c r="G168" s="3171">
        <v>-101</v>
      </c>
      <c r="H168" s="3174">
        <v>27.99</v>
      </c>
      <c r="I168" s="3175">
        <v>979650</v>
      </c>
      <c r="J168" s="3176" t="s">
        <v>3453</v>
      </c>
      <c r="K168" s="3163"/>
      <c r="M168" s="3163"/>
    </row>
    <row r="169" spans="1:13" ht="16.5">
      <c r="A169" s="3170">
        <v>167</v>
      </c>
      <c r="B169" s="3171" t="s">
        <v>3478</v>
      </c>
      <c r="C169" s="3172" t="s">
        <v>3857</v>
      </c>
      <c r="D169" s="3173" t="s">
        <v>4190</v>
      </c>
      <c r="E169" s="3172" t="s">
        <v>4191</v>
      </c>
      <c r="F169" s="3179" t="s">
        <v>3324</v>
      </c>
      <c r="G169" s="3171">
        <v>-102</v>
      </c>
      <c r="H169" s="3174">
        <v>22.8</v>
      </c>
      <c r="I169" s="3175">
        <v>798000</v>
      </c>
      <c r="J169" s="3176" t="s">
        <v>3453</v>
      </c>
      <c r="K169" s="3163"/>
      <c r="M169" s="3163"/>
    </row>
    <row r="170" spans="1:13" ht="16.5">
      <c r="A170" s="3170">
        <v>168</v>
      </c>
      <c r="B170" s="3171" t="s">
        <v>3478</v>
      </c>
      <c r="C170" s="3172" t="s">
        <v>3857</v>
      </c>
      <c r="D170" s="3173" t="s">
        <v>4192</v>
      </c>
      <c r="E170" s="3172" t="s">
        <v>4193</v>
      </c>
      <c r="F170" s="3179" t="s">
        <v>3324</v>
      </c>
      <c r="G170" s="3171">
        <v>-103</v>
      </c>
      <c r="H170" s="3174">
        <v>47.99</v>
      </c>
      <c r="I170" s="3175">
        <v>1679650</v>
      </c>
      <c r="J170" s="3176" t="s">
        <v>3453</v>
      </c>
      <c r="K170" s="3163"/>
      <c r="M170" s="3163"/>
    </row>
    <row r="171" spans="1:13" ht="16.5">
      <c r="A171" s="3170">
        <v>169</v>
      </c>
      <c r="B171" s="3171" t="s">
        <v>3478</v>
      </c>
      <c r="C171" s="3172" t="s">
        <v>3857</v>
      </c>
      <c r="D171" s="3173" t="s">
        <v>4194</v>
      </c>
      <c r="E171" s="3172" t="s">
        <v>4195</v>
      </c>
      <c r="F171" s="3179" t="s">
        <v>3324</v>
      </c>
      <c r="G171" s="3171">
        <v>-104</v>
      </c>
      <c r="H171" s="3174">
        <v>49.61</v>
      </c>
      <c r="I171" s="3175">
        <v>1736350</v>
      </c>
      <c r="J171" s="3176" t="s">
        <v>3453</v>
      </c>
      <c r="K171" s="3163"/>
      <c r="M171" s="3163"/>
    </row>
    <row r="172" spans="1:13" ht="16.5">
      <c r="A172" s="3170">
        <v>170</v>
      </c>
      <c r="B172" s="3171" t="s">
        <v>3478</v>
      </c>
      <c r="C172" s="3172" t="s">
        <v>3857</v>
      </c>
      <c r="D172" s="3173" t="s">
        <v>4196</v>
      </c>
      <c r="E172" s="3172" t="s">
        <v>4197</v>
      </c>
      <c r="F172" s="3179" t="s">
        <v>3324</v>
      </c>
      <c r="G172" s="3171">
        <v>-105</v>
      </c>
      <c r="H172" s="3174">
        <v>23.64</v>
      </c>
      <c r="I172" s="3175">
        <v>827400</v>
      </c>
      <c r="J172" s="3176" t="s">
        <v>3453</v>
      </c>
      <c r="K172" s="3163"/>
      <c r="M172" s="3163"/>
    </row>
    <row r="173" spans="1:13" ht="16.5">
      <c r="A173" s="3170">
        <v>171</v>
      </c>
      <c r="B173" s="3171" t="s">
        <v>3478</v>
      </c>
      <c r="C173" s="3172" t="s">
        <v>3857</v>
      </c>
      <c r="D173" s="3173" t="s">
        <v>4198</v>
      </c>
      <c r="E173" s="3172" t="s">
        <v>4199</v>
      </c>
      <c r="F173" s="3179" t="s">
        <v>3324</v>
      </c>
      <c r="G173" s="3171">
        <v>-107</v>
      </c>
      <c r="H173" s="3174">
        <v>56.68</v>
      </c>
      <c r="I173" s="3175">
        <v>1983800</v>
      </c>
      <c r="J173" s="3176" t="s">
        <v>3453</v>
      </c>
      <c r="K173" s="3163"/>
      <c r="M173" s="3163"/>
    </row>
    <row r="174" spans="1:13" ht="16.5">
      <c r="A174" s="3170">
        <v>172</v>
      </c>
      <c r="B174" s="3171" t="s">
        <v>3478</v>
      </c>
      <c r="C174" s="3172" t="s">
        <v>3857</v>
      </c>
      <c r="D174" s="3173" t="s">
        <v>4200</v>
      </c>
      <c r="E174" s="3172" t="s">
        <v>4201</v>
      </c>
      <c r="F174" s="3179" t="s">
        <v>3324</v>
      </c>
      <c r="G174" s="3171">
        <v>-108</v>
      </c>
      <c r="H174" s="3174">
        <v>41.11</v>
      </c>
      <c r="I174" s="3175">
        <v>1438850</v>
      </c>
      <c r="J174" s="3176" t="s">
        <v>3453</v>
      </c>
      <c r="K174" s="3163"/>
      <c r="M174" s="3163"/>
    </row>
    <row r="175" spans="1:13" ht="16.5">
      <c r="A175" s="3170">
        <v>173</v>
      </c>
      <c r="B175" s="3171" t="s">
        <v>3478</v>
      </c>
      <c r="C175" s="3172" t="s">
        <v>3857</v>
      </c>
      <c r="D175" s="3173" t="s">
        <v>4202</v>
      </c>
      <c r="E175" s="3172" t="s">
        <v>4203</v>
      </c>
      <c r="F175" s="3179" t="s">
        <v>3324</v>
      </c>
      <c r="G175" s="3171">
        <v>-109</v>
      </c>
      <c r="H175" s="3174">
        <v>41.11</v>
      </c>
      <c r="I175" s="3175">
        <v>1438850</v>
      </c>
      <c r="J175" s="3176" t="s">
        <v>3453</v>
      </c>
      <c r="K175" s="3163"/>
      <c r="M175" s="3163"/>
    </row>
    <row r="176" spans="1:13" ht="16.5">
      <c r="A176" s="3170">
        <v>174</v>
      </c>
      <c r="B176" s="3171" t="s">
        <v>3478</v>
      </c>
      <c r="C176" s="3172" t="s">
        <v>3857</v>
      </c>
      <c r="D176" s="3173" t="s">
        <v>4204</v>
      </c>
      <c r="E176" s="3172" t="s">
        <v>4205</v>
      </c>
      <c r="F176" s="3179" t="s">
        <v>3324</v>
      </c>
      <c r="G176" s="3171">
        <v>-110</v>
      </c>
      <c r="H176" s="3174">
        <v>56.68</v>
      </c>
      <c r="I176" s="3175">
        <v>1983800</v>
      </c>
      <c r="J176" s="3176" t="s">
        <v>3453</v>
      </c>
      <c r="K176" s="3163"/>
      <c r="M176" s="3163"/>
    </row>
    <row r="177" spans="1:13" ht="16.5">
      <c r="A177" s="3170">
        <v>175</v>
      </c>
      <c r="B177" s="3171" t="s">
        <v>3478</v>
      </c>
      <c r="C177" s="3172" t="s">
        <v>3857</v>
      </c>
      <c r="D177" s="3173" t="s">
        <v>4206</v>
      </c>
      <c r="E177" s="3172" t="s">
        <v>4207</v>
      </c>
      <c r="F177" s="3179" t="s">
        <v>3324</v>
      </c>
      <c r="G177" s="3171">
        <v>-112</v>
      </c>
      <c r="H177" s="3174">
        <v>23.64</v>
      </c>
      <c r="I177" s="3175">
        <v>827400</v>
      </c>
      <c r="J177" s="3176" t="s">
        <v>3453</v>
      </c>
      <c r="K177" s="3163"/>
      <c r="M177" s="3163"/>
    </row>
    <row r="178" spans="1:13" ht="16.5">
      <c r="A178" s="3170">
        <v>176</v>
      </c>
      <c r="B178" s="3171" t="s">
        <v>3478</v>
      </c>
      <c r="C178" s="3172" t="s">
        <v>3857</v>
      </c>
      <c r="D178" s="3173" t="s">
        <v>4208</v>
      </c>
      <c r="E178" s="3172" t="s">
        <v>4209</v>
      </c>
      <c r="F178" s="3179" t="s">
        <v>3324</v>
      </c>
      <c r="G178" s="3171">
        <v>-113</v>
      </c>
      <c r="H178" s="3174">
        <v>53.72</v>
      </c>
      <c r="I178" s="3175">
        <v>1880200</v>
      </c>
      <c r="J178" s="3176" t="s">
        <v>3453</v>
      </c>
      <c r="K178" s="3163"/>
      <c r="M178" s="3163"/>
    </row>
    <row r="179" spans="1:13" ht="16.5">
      <c r="A179" s="3170">
        <v>177</v>
      </c>
      <c r="B179" s="3171" t="s">
        <v>3478</v>
      </c>
      <c r="C179" s="3172" t="s">
        <v>3857</v>
      </c>
      <c r="D179" s="3173" t="s">
        <v>4210</v>
      </c>
      <c r="E179" s="3172" t="s">
        <v>4211</v>
      </c>
      <c r="F179" s="3179" t="s">
        <v>3324</v>
      </c>
      <c r="G179" s="3171">
        <v>-114</v>
      </c>
      <c r="H179" s="3174">
        <v>46.5</v>
      </c>
      <c r="I179" s="3175">
        <v>1627500</v>
      </c>
      <c r="J179" s="3176" t="s">
        <v>3453</v>
      </c>
      <c r="K179" s="3163"/>
      <c r="M179" s="3163"/>
    </row>
    <row r="180" spans="1:13" ht="16.5">
      <c r="A180" s="3170">
        <v>178</v>
      </c>
      <c r="B180" s="3171" t="s">
        <v>3478</v>
      </c>
      <c r="C180" s="3172" t="s">
        <v>3857</v>
      </c>
      <c r="D180" s="3173" t="s">
        <v>4212</v>
      </c>
      <c r="E180" s="3172" t="s">
        <v>4213</v>
      </c>
      <c r="F180" s="3179" t="s">
        <v>3324</v>
      </c>
      <c r="G180" s="3171">
        <v>-115</v>
      </c>
      <c r="H180" s="3174">
        <v>16.07</v>
      </c>
      <c r="I180" s="3175">
        <v>562450</v>
      </c>
      <c r="J180" s="3176" t="s">
        <v>3453</v>
      </c>
      <c r="K180" s="3163"/>
      <c r="M180" s="3163"/>
    </row>
    <row r="181" spans="1:13" ht="16.5">
      <c r="A181" s="3170">
        <v>179</v>
      </c>
      <c r="B181" s="3171" t="s">
        <v>3478</v>
      </c>
      <c r="C181" s="3172" t="s">
        <v>3857</v>
      </c>
      <c r="D181" s="3173" t="s">
        <v>4214</v>
      </c>
      <c r="E181" s="3172" t="s">
        <v>4215</v>
      </c>
      <c r="F181" s="3179" t="s">
        <v>3324</v>
      </c>
      <c r="G181" s="3171">
        <v>-116</v>
      </c>
      <c r="H181" s="3174">
        <v>31</v>
      </c>
      <c r="I181" s="3175">
        <v>1085000</v>
      </c>
      <c r="J181" s="3176" t="s">
        <v>3453</v>
      </c>
      <c r="K181" s="3163"/>
      <c r="M181" s="3163"/>
    </row>
    <row r="182" spans="1:13" ht="16.5">
      <c r="A182" s="3170">
        <v>180</v>
      </c>
      <c r="B182" s="3171" t="s">
        <v>3478</v>
      </c>
      <c r="C182" s="3172" t="s">
        <v>3857</v>
      </c>
      <c r="D182" s="3173" t="s">
        <v>4216</v>
      </c>
      <c r="E182" s="3172" t="s">
        <v>4217</v>
      </c>
      <c r="F182" s="3179" t="s">
        <v>3324</v>
      </c>
      <c r="G182" s="3171">
        <v>-119</v>
      </c>
      <c r="H182" s="3174">
        <v>19.16</v>
      </c>
      <c r="I182" s="3175">
        <v>670600</v>
      </c>
      <c r="J182" s="3176" t="s">
        <v>3453</v>
      </c>
      <c r="K182" s="3163"/>
      <c r="M182" s="3163"/>
    </row>
    <row r="183" spans="1:13" ht="16.5">
      <c r="A183" s="3170">
        <v>181</v>
      </c>
      <c r="B183" s="3171" t="s">
        <v>3478</v>
      </c>
      <c r="C183" s="3172" t="s">
        <v>3857</v>
      </c>
      <c r="D183" s="3173" t="s">
        <v>4218</v>
      </c>
      <c r="E183" s="3172" t="s">
        <v>4219</v>
      </c>
      <c r="F183" s="3179" t="s">
        <v>3324</v>
      </c>
      <c r="G183" s="3171">
        <v>-120</v>
      </c>
      <c r="H183" s="3174">
        <v>27.63</v>
      </c>
      <c r="I183" s="3175">
        <v>967050</v>
      </c>
      <c r="J183" s="3176" t="s">
        <v>3453</v>
      </c>
      <c r="K183" s="3163"/>
      <c r="M183" s="3163"/>
    </row>
    <row r="184" spans="1:13" ht="16.5">
      <c r="A184" s="3170">
        <v>182</v>
      </c>
      <c r="B184" s="3171" t="s">
        <v>3478</v>
      </c>
      <c r="C184" s="3172" t="s">
        <v>3857</v>
      </c>
      <c r="D184" s="3173" t="s">
        <v>4220</v>
      </c>
      <c r="E184" s="3172" t="s">
        <v>4221</v>
      </c>
      <c r="F184" s="3179" t="s">
        <v>3324</v>
      </c>
      <c r="G184" s="3171">
        <v>-201</v>
      </c>
      <c r="H184" s="3174">
        <v>16.350000000000001</v>
      </c>
      <c r="I184" s="3175">
        <v>572250</v>
      </c>
      <c r="J184" s="3176" t="s">
        <v>3453</v>
      </c>
      <c r="K184" s="3163"/>
      <c r="M184" s="3163"/>
    </row>
    <row r="185" spans="1:13" ht="16.5">
      <c r="A185" s="3170">
        <v>183</v>
      </c>
      <c r="B185" s="3171" t="s">
        <v>3478</v>
      </c>
      <c r="C185" s="3172" t="s">
        <v>3857</v>
      </c>
      <c r="D185" s="3173" t="s">
        <v>4222</v>
      </c>
      <c r="E185" s="3172" t="s">
        <v>4223</v>
      </c>
      <c r="F185" s="3179" t="s">
        <v>3324</v>
      </c>
      <c r="G185" s="3171">
        <v>-203</v>
      </c>
      <c r="H185" s="3174">
        <v>17.78</v>
      </c>
      <c r="I185" s="3175">
        <v>622300</v>
      </c>
      <c r="J185" s="3176" t="s">
        <v>3453</v>
      </c>
      <c r="K185" s="3163"/>
      <c r="M185" s="3163"/>
    </row>
    <row r="186" spans="1:13" ht="16.5">
      <c r="A186" s="3170">
        <v>184</v>
      </c>
      <c r="B186" s="3171" t="s">
        <v>3478</v>
      </c>
      <c r="C186" s="3172" t="s">
        <v>3857</v>
      </c>
      <c r="D186" s="3173" t="s">
        <v>4224</v>
      </c>
      <c r="E186" s="3172" t="s">
        <v>4225</v>
      </c>
      <c r="F186" s="3179" t="s">
        <v>3324</v>
      </c>
      <c r="G186" s="3171">
        <v>-204</v>
      </c>
      <c r="H186" s="3174">
        <v>20.59</v>
      </c>
      <c r="I186" s="3175">
        <v>720650</v>
      </c>
      <c r="J186" s="3176" t="s">
        <v>3453</v>
      </c>
      <c r="K186" s="3163"/>
      <c r="M186" s="3163"/>
    </row>
    <row r="187" spans="1:13" ht="16.5">
      <c r="A187" s="3170">
        <v>185</v>
      </c>
      <c r="B187" s="3171" t="s">
        <v>3487</v>
      </c>
      <c r="C187" s="3172" t="s">
        <v>3857</v>
      </c>
      <c r="D187" s="3173" t="s">
        <v>4226</v>
      </c>
      <c r="E187" s="3172" t="s">
        <v>4227</v>
      </c>
      <c r="F187" s="3179" t="s">
        <v>3324</v>
      </c>
      <c r="G187" s="3171">
        <v>-106</v>
      </c>
      <c r="H187" s="3174">
        <v>23.69</v>
      </c>
      <c r="I187" s="3175">
        <v>829150</v>
      </c>
      <c r="J187" s="3176" t="s">
        <v>3453</v>
      </c>
      <c r="K187" s="3163"/>
      <c r="M187" s="3163"/>
    </row>
    <row r="188" spans="1:13" ht="16.5">
      <c r="A188" s="3170">
        <v>186</v>
      </c>
      <c r="B188" s="3171" t="s">
        <v>3487</v>
      </c>
      <c r="C188" s="3172" t="s">
        <v>3857</v>
      </c>
      <c r="D188" s="3173" t="s">
        <v>4228</v>
      </c>
      <c r="E188" s="3172" t="s">
        <v>4229</v>
      </c>
      <c r="F188" s="3179" t="s">
        <v>3324</v>
      </c>
      <c r="G188" s="3171">
        <v>-107</v>
      </c>
      <c r="H188" s="3174">
        <v>56.77</v>
      </c>
      <c r="I188" s="3175">
        <v>1986950</v>
      </c>
      <c r="J188" s="3176" t="s">
        <v>3453</v>
      </c>
      <c r="K188" s="3163"/>
      <c r="M188" s="3163"/>
    </row>
    <row r="189" spans="1:13" ht="16.5">
      <c r="A189" s="3170">
        <v>187</v>
      </c>
      <c r="B189" s="3171" t="s">
        <v>3487</v>
      </c>
      <c r="C189" s="3172" t="s">
        <v>3857</v>
      </c>
      <c r="D189" s="3173" t="s">
        <v>4230</v>
      </c>
      <c r="E189" s="3172" t="s">
        <v>4231</v>
      </c>
      <c r="F189" s="3179" t="s">
        <v>3324</v>
      </c>
      <c r="G189" s="3171">
        <v>-108</v>
      </c>
      <c r="H189" s="3174">
        <v>41.51</v>
      </c>
      <c r="I189" s="3175">
        <v>1452850</v>
      </c>
      <c r="J189" s="3176" t="s">
        <v>3453</v>
      </c>
      <c r="K189" s="3163"/>
      <c r="M189" s="3163"/>
    </row>
    <row r="190" spans="1:13" ht="16.5">
      <c r="A190" s="3170">
        <v>188</v>
      </c>
      <c r="B190" s="3171" t="s">
        <v>3487</v>
      </c>
      <c r="C190" s="3172" t="s">
        <v>3857</v>
      </c>
      <c r="D190" s="3173" t="s">
        <v>4232</v>
      </c>
      <c r="E190" s="3172" t="s">
        <v>4233</v>
      </c>
      <c r="F190" s="3179" t="s">
        <v>3324</v>
      </c>
      <c r="G190" s="3171">
        <v>-109</v>
      </c>
      <c r="H190" s="3174">
        <v>41.51</v>
      </c>
      <c r="I190" s="3175">
        <v>1452850</v>
      </c>
      <c r="J190" s="3176" t="s">
        <v>3453</v>
      </c>
      <c r="K190" s="3163"/>
      <c r="M190" s="3163"/>
    </row>
    <row r="191" spans="1:13" ht="16.5">
      <c r="A191" s="3170">
        <v>189</v>
      </c>
      <c r="B191" s="3171" t="s">
        <v>3487</v>
      </c>
      <c r="C191" s="3172" t="s">
        <v>3857</v>
      </c>
      <c r="D191" s="3173" t="s">
        <v>4234</v>
      </c>
      <c r="E191" s="3172" t="s">
        <v>4235</v>
      </c>
      <c r="F191" s="3179" t="s">
        <v>3324</v>
      </c>
      <c r="G191" s="3171">
        <v>-110</v>
      </c>
      <c r="H191" s="3174">
        <v>56.77</v>
      </c>
      <c r="I191" s="3175">
        <v>1986950</v>
      </c>
      <c r="J191" s="3176" t="s">
        <v>3453</v>
      </c>
      <c r="K191" s="3163"/>
      <c r="M191" s="3163"/>
    </row>
    <row r="192" spans="1:13" ht="16.5">
      <c r="A192" s="3170">
        <v>190</v>
      </c>
      <c r="B192" s="3171" t="s">
        <v>3487</v>
      </c>
      <c r="C192" s="3172" t="s">
        <v>3857</v>
      </c>
      <c r="D192" s="3173" t="s">
        <v>4236</v>
      </c>
      <c r="E192" s="3172" t="s">
        <v>4237</v>
      </c>
      <c r="F192" s="3179" t="s">
        <v>3324</v>
      </c>
      <c r="G192" s="3171">
        <v>-111</v>
      </c>
      <c r="H192" s="3174">
        <v>23.69</v>
      </c>
      <c r="I192" s="3175">
        <v>829150</v>
      </c>
      <c r="J192" s="3176" t="s">
        <v>3453</v>
      </c>
      <c r="K192" s="3163"/>
      <c r="M192" s="3163"/>
    </row>
    <row r="193" spans="1:13" ht="16.5">
      <c r="A193" s="3170">
        <v>191</v>
      </c>
      <c r="B193" s="3171" t="s">
        <v>3487</v>
      </c>
      <c r="C193" s="3172" t="s">
        <v>3857</v>
      </c>
      <c r="D193" s="3174" t="s">
        <v>4238</v>
      </c>
      <c r="E193" s="3172" t="s">
        <v>4239</v>
      </c>
      <c r="F193" s="3179" t="s">
        <v>3324</v>
      </c>
      <c r="G193" s="3171">
        <v>-115</v>
      </c>
      <c r="H193" s="3174">
        <v>41.21</v>
      </c>
      <c r="I193" s="3175">
        <v>1442350</v>
      </c>
      <c r="J193" s="3176" t="s">
        <v>3453</v>
      </c>
      <c r="K193" s="3163"/>
      <c r="M193" s="3163"/>
    </row>
    <row r="194" spans="1:13" ht="16.5">
      <c r="A194" s="3170">
        <v>192</v>
      </c>
      <c r="B194" s="3171" t="s">
        <v>3487</v>
      </c>
      <c r="C194" s="3172" t="s">
        <v>3857</v>
      </c>
      <c r="D194" s="3174" t="s">
        <v>4240</v>
      </c>
      <c r="E194" s="3172" t="s">
        <v>4241</v>
      </c>
      <c r="F194" s="3179" t="s">
        <v>3324</v>
      </c>
      <c r="G194" s="3171">
        <v>-116</v>
      </c>
      <c r="H194" s="3174">
        <v>56.77</v>
      </c>
      <c r="I194" s="3175">
        <v>1986950</v>
      </c>
      <c r="J194" s="3176" t="s">
        <v>3453</v>
      </c>
      <c r="K194" s="3163"/>
      <c r="M194" s="3163"/>
    </row>
    <row r="195" spans="1:13" ht="16.5">
      <c r="A195" s="3170">
        <v>193</v>
      </c>
      <c r="B195" s="3171" t="s">
        <v>3487</v>
      </c>
      <c r="C195" s="3172" t="s">
        <v>3857</v>
      </c>
      <c r="D195" s="3174" t="s">
        <v>4242</v>
      </c>
      <c r="E195" s="3172" t="s">
        <v>4243</v>
      </c>
      <c r="F195" s="3179" t="s">
        <v>3324</v>
      </c>
      <c r="G195" s="3171">
        <v>-117</v>
      </c>
      <c r="H195" s="3174">
        <v>23.69</v>
      </c>
      <c r="I195" s="3175">
        <v>829150</v>
      </c>
      <c r="J195" s="3176" t="s">
        <v>3453</v>
      </c>
      <c r="K195" s="3163"/>
      <c r="M195" s="3163"/>
    </row>
    <row r="196" spans="1:13" ht="16.5">
      <c r="A196" s="3170">
        <v>194</v>
      </c>
      <c r="B196" s="3171" t="s">
        <v>3487</v>
      </c>
      <c r="C196" s="3172" t="s">
        <v>3857</v>
      </c>
      <c r="D196" s="3174" t="s">
        <v>4244</v>
      </c>
      <c r="E196" s="3172" t="s">
        <v>4245</v>
      </c>
      <c r="F196" s="3179" t="s">
        <v>3324</v>
      </c>
      <c r="G196" s="3171">
        <v>-123</v>
      </c>
      <c r="H196" s="3174">
        <v>27.69</v>
      </c>
      <c r="I196" s="3175">
        <v>969150</v>
      </c>
      <c r="J196" s="3176" t="s">
        <v>3453</v>
      </c>
      <c r="K196" s="3163"/>
      <c r="M196" s="3163"/>
    </row>
    <row r="197" spans="1:13" ht="16.5">
      <c r="A197" s="3170">
        <v>195</v>
      </c>
      <c r="B197" s="3171" t="s">
        <v>3487</v>
      </c>
      <c r="C197" s="3172" t="s">
        <v>3857</v>
      </c>
      <c r="D197" s="3174" t="s">
        <v>4246</v>
      </c>
      <c r="E197" s="3172" t="s">
        <v>4247</v>
      </c>
      <c r="F197" s="3179" t="s">
        <v>3324</v>
      </c>
      <c r="G197" s="3171">
        <v>-124</v>
      </c>
      <c r="H197" s="3174">
        <v>19.2</v>
      </c>
      <c r="I197" s="3175">
        <v>672000</v>
      </c>
      <c r="J197" s="3176" t="s">
        <v>3453</v>
      </c>
      <c r="K197" s="3163"/>
      <c r="M197" s="3163"/>
    </row>
    <row r="198" spans="1:13" ht="16.5">
      <c r="A198" s="3170">
        <v>196</v>
      </c>
      <c r="B198" s="3171" t="s">
        <v>3487</v>
      </c>
      <c r="C198" s="3172" t="s">
        <v>3857</v>
      </c>
      <c r="D198" s="3174" t="s">
        <v>4248</v>
      </c>
      <c r="E198" s="3172" t="s">
        <v>4249</v>
      </c>
      <c r="F198" s="3179" t="s">
        <v>3324</v>
      </c>
      <c r="G198" s="3171">
        <v>-125</v>
      </c>
      <c r="H198" s="3174">
        <v>19.2</v>
      </c>
      <c r="I198" s="3175">
        <v>672000</v>
      </c>
      <c r="J198" s="3176" t="s">
        <v>3453</v>
      </c>
      <c r="K198" s="3163"/>
      <c r="M198" s="3163"/>
    </row>
    <row r="199" spans="1:13" ht="16.5">
      <c r="A199" s="3170">
        <v>197</v>
      </c>
      <c r="B199" s="3171" t="s">
        <v>3487</v>
      </c>
      <c r="C199" s="3172" t="s">
        <v>3857</v>
      </c>
      <c r="D199" s="3174" t="s">
        <v>4250</v>
      </c>
      <c r="E199" s="3172" t="s">
        <v>4251</v>
      </c>
      <c r="F199" s="3179" t="s">
        <v>3324</v>
      </c>
      <c r="G199" s="3171">
        <v>-127</v>
      </c>
      <c r="H199" s="3174">
        <v>27.69</v>
      </c>
      <c r="I199" s="3175">
        <v>969150</v>
      </c>
      <c r="J199" s="3176" t="s">
        <v>3453</v>
      </c>
      <c r="K199" s="3163"/>
      <c r="M199" s="3163"/>
    </row>
    <row r="200" spans="1:13" ht="16.5">
      <c r="A200" s="3170">
        <v>198</v>
      </c>
      <c r="B200" s="3171" t="s">
        <v>3487</v>
      </c>
      <c r="C200" s="3172" t="s">
        <v>3857</v>
      </c>
      <c r="D200" s="3174" t="s">
        <v>4252</v>
      </c>
      <c r="E200" s="3172" t="s">
        <v>4253</v>
      </c>
      <c r="F200" s="3179" t="s">
        <v>3324</v>
      </c>
      <c r="G200" s="3171">
        <v>-128</v>
      </c>
      <c r="H200" s="3174">
        <v>19.84</v>
      </c>
      <c r="I200" s="3175">
        <v>694400</v>
      </c>
      <c r="J200" s="3176" t="s">
        <v>3453</v>
      </c>
      <c r="K200" s="3163"/>
      <c r="M200" s="3163"/>
    </row>
    <row r="201" spans="1:13" ht="16.5">
      <c r="A201" s="3170">
        <v>199</v>
      </c>
      <c r="B201" s="3171" t="s">
        <v>3487</v>
      </c>
      <c r="C201" s="3172" t="s">
        <v>3857</v>
      </c>
      <c r="D201" s="3174" t="s">
        <v>4254</v>
      </c>
      <c r="E201" s="3172" t="s">
        <v>4255</v>
      </c>
      <c r="F201" s="3179" t="s">
        <v>3324</v>
      </c>
      <c r="G201" s="3171">
        <v>-129</v>
      </c>
      <c r="H201" s="3174">
        <v>19.84</v>
      </c>
      <c r="I201" s="3175">
        <v>694400</v>
      </c>
      <c r="J201" s="3176" t="s">
        <v>3453</v>
      </c>
      <c r="K201" s="3163"/>
      <c r="M201" s="3163"/>
    </row>
    <row r="202" spans="1:13" ht="16.5">
      <c r="A202" s="3170">
        <v>200</v>
      </c>
      <c r="B202" s="3171" t="s">
        <v>3487</v>
      </c>
      <c r="C202" s="3172" t="s">
        <v>3857</v>
      </c>
      <c r="D202" s="3174" t="s">
        <v>4256</v>
      </c>
      <c r="E202" s="3172" t="s">
        <v>4257</v>
      </c>
      <c r="F202" s="3179" t="s">
        <v>3324</v>
      </c>
      <c r="G202" s="3171">
        <v>-130</v>
      </c>
      <c r="H202" s="3174">
        <v>27.69</v>
      </c>
      <c r="I202" s="3175">
        <v>969150</v>
      </c>
      <c r="J202" s="3176" t="s">
        <v>3453</v>
      </c>
      <c r="K202" s="3163"/>
      <c r="M202" s="3163"/>
    </row>
    <row r="203" spans="1:13" ht="16.5">
      <c r="A203" s="3170">
        <v>201</v>
      </c>
      <c r="B203" s="3171" t="s">
        <v>3487</v>
      </c>
      <c r="C203" s="3172" t="s">
        <v>3857</v>
      </c>
      <c r="D203" s="3173" t="s">
        <v>4258</v>
      </c>
      <c r="E203" s="3172" t="s">
        <v>4259</v>
      </c>
      <c r="F203" s="3179" t="s">
        <v>3324</v>
      </c>
      <c r="G203" s="3171">
        <v>-202</v>
      </c>
      <c r="H203" s="3174">
        <v>16.39</v>
      </c>
      <c r="I203" s="3175">
        <v>573650</v>
      </c>
      <c r="J203" s="3176" t="s">
        <v>3453</v>
      </c>
      <c r="K203" s="3163"/>
      <c r="M203" s="3163"/>
    </row>
    <row r="204" spans="1:13" ht="16.5">
      <c r="A204" s="3170">
        <v>202</v>
      </c>
      <c r="B204" s="3171" t="s">
        <v>3487</v>
      </c>
      <c r="C204" s="3172" t="s">
        <v>3857</v>
      </c>
      <c r="D204" s="3173" t="s">
        <v>4260</v>
      </c>
      <c r="E204" s="3172" t="s">
        <v>4261</v>
      </c>
      <c r="F204" s="3179" t="s">
        <v>3324</v>
      </c>
      <c r="G204" s="3171">
        <v>-203</v>
      </c>
      <c r="H204" s="3174">
        <v>12.42</v>
      </c>
      <c r="I204" s="3175">
        <v>434700</v>
      </c>
      <c r="J204" s="3176" t="s">
        <v>3453</v>
      </c>
      <c r="K204" s="3163"/>
      <c r="M204" s="3163"/>
    </row>
    <row r="205" spans="1:13" ht="16.5">
      <c r="A205" s="3170">
        <v>203</v>
      </c>
      <c r="B205" s="3171" t="s">
        <v>3487</v>
      </c>
      <c r="C205" s="3172" t="s">
        <v>3857</v>
      </c>
      <c r="D205" s="3173" t="s">
        <v>4262</v>
      </c>
      <c r="E205" s="3172" t="s">
        <v>4263</v>
      </c>
      <c r="F205" s="3179" t="s">
        <v>3324</v>
      </c>
      <c r="G205" s="3171">
        <v>-205</v>
      </c>
      <c r="H205" s="3174">
        <v>16.39</v>
      </c>
      <c r="I205" s="3175">
        <v>573650</v>
      </c>
      <c r="J205" s="3176" t="s">
        <v>3453</v>
      </c>
      <c r="K205" s="3163"/>
      <c r="M205" s="3163"/>
    </row>
    <row r="206" spans="1:13" ht="16.5">
      <c r="A206" s="3170">
        <v>204</v>
      </c>
      <c r="B206" s="3171" t="s">
        <v>3500</v>
      </c>
      <c r="C206" s="3172" t="s">
        <v>3857</v>
      </c>
      <c r="D206" s="3174" t="s">
        <v>4264</v>
      </c>
      <c r="E206" s="3172" t="s">
        <v>4265</v>
      </c>
      <c r="F206" s="3179" t="s">
        <v>3324</v>
      </c>
      <c r="G206" s="3171">
        <v>-106</v>
      </c>
      <c r="H206" s="3174">
        <v>34.1</v>
      </c>
      <c r="I206" s="3175">
        <v>1193500</v>
      </c>
      <c r="J206" s="3176" t="s">
        <v>3453</v>
      </c>
      <c r="K206" s="3163"/>
      <c r="M206" s="3163"/>
    </row>
    <row r="207" spans="1:13" ht="16.5">
      <c r="A207" s="3170">
        <v>205</v>
      </c>
      <c r="B207" s="3171" t="s">
        <v>3500</v>
      </c>
      <c r="C207" s="3172" t="s">
        <v>3857</v>
      </c>
      <c r="D207" s="3174" t="s">
        <v>4266</v>
      </c>
      <c r="E207" s="3172" t="s">
        <v>4267</v>
      </c>
      <c r="F207" s="3179" t="s">
        <v>3324</v>
      </c>
      <c r="G207" s="3171">
        <v>-107</v>
      </c>
      <c r="H207" s="3174">
        <v>62.51</v>
      </c>
      <c r="I207" s="3175">
        <v>2187850</v>
      </c>
      <c r="J207" s="3176" t="s">
        <v>3453</v>
      </c>
      <c r="K207" s="3163"/>
      <c r="M207" s="3163"/>
    </row>
    <row r="208" spans="1:13" ht="16.5">
      <c r="A208" s="3170">
        <v>206</v>
      </c>
      <c r="B208" s="3171" t="s">
        <v>3500</v>
      </c>
      <c r="C208" s="3172" t="s">
        <v>3857</v>
      </c>
      <c r="D208" s="3174" t="s">
        <v>4268</v>
      </c>
      <c r="E208" s="3172" t="s">
        <v>4269</v>
      </c>
      <c r="F208" s="3179" t="s">
        <v>3324</v>
      </c>
      <c r="G208" s="3171">
        <v>-108</v>
      </c>
      <c r="H208" s="3174">
        <v>47.4</v>
      </c>
      <c r="I208" s="3175">
        <v>1659000</v>
      </c>
      <c r="J208" s="3176" t="s">
        <v>3453</v>
      </c>
      <c r="K208" s="3163"/>
      <c r="M208" s="3163"/>
    </row>
    <row r="209" spans="1:13" ht="16.5">
      <c r="A209" s="3170">
        <v>207</v>
      </c>
      <c r="B209" s="3171" t="s">
        <v>3500</v>
      </c>
      <c r="C209" s="3172" t="s">
        <v>3857</v>
      </c>
      <c r="D209" s="3174" t="s">
        <v>4270</v>
      </c>
      <c r="E209" s="3172" t="s">
        <v>4271</v>
      </c>
      <c r="F209" s="3179" t="s">
        <v>3324</v>
      </c>
      <c r="G209" s="3171">
        <v>-109</v>
      </c>
      <c r="H209" s="3174">
        <v>47.4</v>
      </c>
      <c r="I209" s="3175">
        <v>1659000</v>
      </c>
      <c r="J209" s="3176" t="s">
        <v>3453</v>
      </c>
      <c r="K209" s="3163"/>
      <c r="M209" s="3163"/>
    </row>
    <row r="210" spans="1:13" ht="16.5">
      <c r="A210" s="3170">
        <v>208</v>
      </c>
      <c r="B210" s="3171" t="s">
        <v>3500</v>
      </c>
      <c r="C210" s="3172" t="s">
        <v>3857</v>
      </c>
      <c r="D210" s="3174" t="s">
        <v>4272</v>
      </c>
      <c r="E210" s="3172" t="s">
        <v>4273</v>
      </c>
      <c r="F210" s="3179" t="s">
        <v>3324</v>
      </c>
      <c r="G210" s="3171">
        <v>-110</v>
      </c>
      <c r="H210" s="3174">
        <v>62.51</v>
      </c>
      <c r="I210" s="3175">
        <v>2187850</v>
      </c>
      <c r="J210" s="3176" t="s">
        <v>3453</v>
      </c>
      <c r="K210" s="3163"/>
      <c r="M210" s="3163"/>
    </row>
    <row r="211" spans="1:13" ht="16.5">
      <c r="A211" s="3170">
        <v>209</v>
      </c>
      <c r="B211" s="3171" t="s">
        <v>3500</v>
      </c>
      <c r="C211" s="3172" t="s">
        <v>3857</v>
      </c>
      <c r="D211" s="3174" t="s">
        <v>4274</v>
      </c>
      <c r="E211" s="3172" t="s">
        <v>4275</v>
      </c>
      <c r="F211" s="3179" t="s">
        <v>3324</v>
      </c>
      <c r="G211" s="3171">
        <v>-111</v>
      </c>
      <c r="H211" s="3174">
        <v>34.1</v>
      </c>
      <c r="I211" s="3175">
        <v>1193500</v>
      </c>
      <c r="J211" s="3176" t="s">
        <v>3453</v>
      </c>
      <c r="K211" s="3163"/>
      <c r="M211" s="3163"/>
    </row>
    <row r="212" spans="1:13" ht="16.5">
      <c r="A212" s="3170">
        <v>210</v>
      </c>
      <c r="B212" s="3171" t="s">
        <v>3500</v>
      </c>
      <c r="C212" s="3172" t="s">
        <v>3857</v>
      </c>
      <c r="D212" s="3174" t="s">
        <v>4276</v>
      </c>
      <c r="E212" s="3172" t="s">
        <v>4277</v>
      </c>
      <c r="F212" s="3179" t="s">
        <v>3324</v>
      </c>
      <c r="G212" s="3171">
        <v>-112</v>
      </c>
      <c r="H212" s="3174">
        <v>34.1</v>
      </c>
      <c r="I212" s="3175">
        <v>1193500</v>
      </c>
      <c r="J212" s="3176" t="s">
        <v>3453</v>
      </c>
      <c r="K212" s="3163"/>
      <c r="M212" s="3163"/>
    </row>
    <row r="213" spans="1:13" ht="16.5">
      <c r="A213" s="3170">
        <v>211</v>
      </c>
      <c r="B213" s="3171" t="s">
        <v>3500</v>
      </c>
      <c r="C213" s="3172" t="s">
        <v>3857</v>
      </c>
      <c r="D213" s="3174" t="s">
        <v>4278</v>
      </c>
      <c r="E213" s="3172" t="s">
        <v>4279</v>
      </c>
      <c r="F213" s="3179" t="s">
        <v>3324</v>
      </c>
      <c r="G213" s="3171">
        <v>-113</v>
      </c>
      <c r="H213" s="3174">
        <v>62.51</v>
      </c>
      <c r="I213" s="3175">
        <v>2187850</v>
      </c>
      <c r="J213" s="3176" t="s">
        <v>3453</v>
      </c>
      <c r="K213" s="3163"/>
      <c r="M213" s="3163"/>
    </row>
    <row r="214" spans="1:13" ht="16.5">
      <c r="A214" s="3170">
        <v>212</v>
      </c>
      <c r="B214" s="3171" t="s">
        <v>3500</v>
      </c>
      <c r="C214" s="3172" t="s">
        <v>3857</v>
      </c>
      <c r="D214" s="3174" t="s">
        <v>4280</v>
      </c>
      <c r="E214" s="3172" t="s">
        <v>4281</v>
      </c>
      <c r="F214" s="3179" t="s">
        <v>3324</v>
      </c>
      <c r="G214" s="3171">
        <v>-114</v>
      </c>
      <c r="H214" s="3174">
        <v>47.06</v>
      </c>
      <c r="I214" s="3175">
        <v>1647100</v>
      </c>
      <c r="J214" s="3176" t="s">
        <v>3453</v>
      </c>
      <c r="K214" s="3163"/>
      <c r="M214" s="3163"/>
    </row>
    <row r="215" spans="1:13" ht="16.5">
      <c r="A215" s="3170">
        <v>213</v>
      </c>
      <c r="B215" s="3171" t="s">
        <v>3500</v>
      </c>
      <c r="C215" s="3172" t="s">
        <v>3857</v>
      </c>
      <c r="D215" s="3174" t="s">
        <v>4282</v>
      </c>
      <c r="E215" s="3172" t="s">
        <v>4283</v>
      </c>
      <c r="F215" s="3179" t="s">
        <v>3324</v>
      </c>
      <c r="G215" s="3171">
        <v>-115</v>
      </c>
      <c r="H215" s="3174">
        <v>47.06</v>
      </c>
      <c r="I215" s="3175">
        <v>1647100</v>
      </c>
      <c r="J215" s="3176" t="s">
        <v>3453</v>
      </c>
      <c r="K215" s="3163"/>
      <c r="M215" s="3163"/>
    </row>
    <row r="216" spans="1:13" ht="16.5">
      <c r="A216" s="3170">
        <v>214</v>
      </c>
      <c r="B216" s="3171" t="s">
        <v>3500</v>
      </c>
      <c r="C216" s="3172" t="s">
        <v>3857</v>
      </c>
      <c r="D216" s="3174" t="s">
        <v>4284</v>
      </c>
      <c r="E216" s="3172" t="s">
        <v>4285</v>
      </c>
      <c r="F216" s="3179" t="s">
        <v>3324</v>
      </c>
      <c r="G216" s="3171">
        <v>-116</v>
      </c>
      <c r="H216" s="3174">
        <v>62.51</v>
      </c>
      <c r="I216" s="3175">
        <v>2187850</v>
      </c>
      <c r="J216" s="3176" t="s">
        <v>3453</v>
      </c>
      <c r="K216" s="3163"/>
      <c r="M216" s="3163"/>
    </row>
    <row r="217" spans="1:13" ht="16.5">
      <c r="A217" s="3170">
        <v>215</v>
      </c>
      <c r="B217" s="3171" t="s">
        <v>3500</v>
      </c>
      <c r="C217" s="3172" t="s">
        <v>3857</v>
      </c>
      <c r="D217" s="3174" t="s">
        <v>4286</v>
      </c>
      <c r="E217" s="3172" t="s">
        <v>4287</v>
      </c>
      <c r="F217" s="3179" t="s">
        <v>3324</v>
      </c>
      <c r="G217" s="3171">
        <v>-117</v>
      </c>
      <c r="H217" s="3174">
        <v>34.1</v>
      </c>
      <c r="I217" s="3175">
        <v>1193500</v>
      </c>
      <c r="J217" s="3176" t="s">
        <v>3453</v>
      </c>
      <c r="K217" s="3163"/>
      <c r="M217" s="3163"/>
    </row>
    <row r="218" spans="1:13" ht="16.5">
      <c r="A218" s="3170">
        <v>216</v>
      </c>
      <c r="B218" s="3171" t="s">
        <v>3500</v>
      </c>
      <c r="C218" s="3172" t="s">
        <v>3857</v>
      </c>
      <c r="D218" s="3174" t="s">
        <v>4288</v>
      </c>
      <c r="E218" s="3172" t="s">
        <v>4289</v>
      </c>
      <c r="F218" s="3179" t="s">
        <v>3324</v>
      </c>
      <c r="G218" s="3171">
        <v>-118</v>
      </c>
      <c r="H218" s="3174">
        <v>34.1</v>
      </c>
      <c r="I218" s="3175">
        <v>1193500</v>
      </c>
      <c r="J218" s="3176" t="s">
        <v>3453</v>
      </c>
      <c r="K218" s="3163"/>
      <c r="M218" s="3163"/>
    </row>
    <row r="219" spans="1:13" ht="16.5">
      <c r="A219" s="3170">
        <v>217</v>
      </c>
      <c r="B219" s="3171" t="s">
        <v>3500</v>
      </c>
      <c r="C219" s="3172" t="s">
        <v>3857</v>
      </c>
      <c r="D219" s="3174" t="s">
        <v>4290</v>
      </c>
      <c r="E219" s="3172" t="s">
        <v>4291</v>
      </c>
      <c r="F219" s="3179" t="s">
        <v>3324</v>
      </c>
      <c r="G219" s="3171">
        <v>-119</v>
      </c>
      <c r="H219" s="3174">
        <v>62.51</v>
      </c>
      <c r="I219" s="3175">
        <v>2187850</v>
      </c>
      <c r="J219" s="3176" t="s">
        <v>3453</v>
      </c>
      <c r="K219" s="3163"/>
      <c r="M219" s="3163"/>
    </row>
    <row r="220" spans="1:13" ht="16.5">
      <c r="A220" s="3170">
        <v>218</v>
      </c>
      <c r="B220" s="3171" t="s">
        <v>3500</v>
      </c>
      <c r="C220" s="3172" t="s">
        <v>3857</v>
      </c>
      <c r="D220" s="3174" t="s">
        <v>4292</v>
      </c>
      <c r="E220" s="3172" t="s">
        <v>4293</v>
      </c>
      <c r="F220" s="3179" t="s">
        <v>3324</v>
      </c>
      <c r="G220" s="3171">
        <v>-120</v>
      </c>
      <c r="H220" s="3174">
        <v>55.87</v>
      </c>
      <c r="I220" s="3175">
        <v>1955450</v>
      </c>
      <c r="J220" s="3176" t="s">
        <v>3453</v>
      </c>
      <c r="K220" s="3163"/>
      <c r="M220" s="3163"/>
    </row>
    <row r="221" spans="1:13" ht="16.5">
      <c r="A221" s="3170">
        <v>219</v>
      </c>
      <c r="B221" s="3171" t="s">
        <v>3500</v>
      </c>
      <c r="C221" s="3172" t="s">
        <v>3857</v>
      </c>
      <c r="D221" s="3174" t="s">
        <v>4294</v>
      </c>
      <c r="E221" s="3172" t="s">
        <v>4295</v>
      </c>
      <c r="F221" s="3179" t="s">
        <v>3324</v>
      </c>
      <c r="G221" s="3171">
        <v>-121</v>
      </c>
      <c r="H221" s="3174">
        <v>28.64</v>
      </c>
      <c r="I221" s="3175">
        <v>1002400</v>
      </c>
      <c r="J221" s="3176" t="s">
        <v>3453</v>
      </c>
      <c r="K221" s="3163"/>
      <c r="M221" s="3163"/>
    </row>
    <row r="222" spans="1:13" ht="16.5">
      <c r="A222" s="3170">
        <v>220</v>
      </c>
      <c r="B222" s="3171" t="s">
        <v>3500</v>
      </c>
      <c r="C222" s="3172" t="s">
        <v>3857</v>
      </c>
      <c r="D222" s="3174" t="s">
        <v>4296</v>
      </c>
      <c r="E222" s="3172" t="s">
        <v>4297</v>
      </c>
      <c r="F222" s="3179" t="s">
        <v>3324</v>
      </c>
      <c r="G222" s="3171">
        <v>-122</v>
      </c>
      <c r="H222" s="3174">
        <v>22.65</v>
      </c>
      <c r="I222" s="3175">
        <v>792750</v>
      </c>
      <c r="J222" s="3176" t="s">
        <v>3453</v>
      </c>
      <c r="K222" s="3163"/>
      <c r="M222" s="3163"/>
    </row>
    <row r="223" spans="1:13" ht="16.5">
      <c r="A223" s="3170">
        <v>221</v>
      </c>
      <c r="B223" s="3171" t="s">
        <v>3500</v>
      </c>
      <c r="C223" s="3172" t="s">
        <v>3857</v>
      </c>
      <c r="D223" s="3174" t="s">
        <v>4298</v>
      </c>
      <c r="E223" s="3172" t="s">
        <v>4299</v>
      </c>
      <c r="F223" s="3179" t="s">
        <v>3324</v>
      </c>
      <c r="G223" s="3171">
        <v>-123</v>
      </c>
      <c r="H223" s="3174">
        <v>28.58</v>
      </c>
      <c r="I223" s="3175">
        <v>1000300</v>
      </c>
      <c r="J223" s="3176" t="s">
        <v>3453</v>
      </c>
      <c r="K223" s="3163"/>
      <c r="M223" s="3163"/>
    </row>
    <row r="224" spans="1:13" ht="16.5">
      <c r="A224" s="3170">
        <v>222</v>
      </c>
      <c r="B224" s="3171" t="s">
        <v>3500</v>
      </c>
      <c r="C224" s="3172" t="s">
        <v>3857</v>
      </c>
      <c r="D224" s="3174" t="s">
        <v>4300</v>
      </c>
      <c r="E224" s="3172" t="s">
        <v>4301</v>
      </c>
      <c r="F224" s="3179" t="s">
        <v>3324</v>
      </c>
      <c r="G224" s="3171">
        <v>-124</v>
      </c>
      <c r="H224" s="3174">
        <v>28.58</v>
      </c>
      <c r="I224" s="3175">
        <v>1000300</v>
      </c>
      <c r="J224" s="3176" t="s">
        <v>3453</v>
      </c>
      <c r="K224" s="3163"/>
      <c r="M224" s="3163"/>
    </row>
    <row r="225" spans="1:13" ht="16.5">
      <c r="A225" s="3170">
        <v>223</v>
      </c>
      <c r="B225" s="3171" t="s">
        <v>3500</v>
      </c>
      <c r="C225" s="3172" t="s">
        <v>3857</v>
      </c>
      <c r="D225" s="3174" t="s">
        <v>4302</v>
      </c>
      <c r="E225" s="3172" t="s">
        <v>4303</v>
      </c>
      <c r="F225" s="3179" t="s">
        <v>3324</v>
      </c>
      <c r="G225" s="3171">
        <v>-126</v>
      </c>
      <c r="H225" s="3174">
        <v>43.21</v>
      </c>
      <c r="I225" s="3175">
        <v>1512350</v>
      </c>
      <c r="J225" s="3176" t="s">
        <v>3453</v>
      </c>
      <c r="K225" s="3163"/>
      <c r="M225" s="3163"/>
    </row>
    <row r="226" spans="1:13" ht="16.5">
      <c r="A226" s="3170">
        <v>224</v>
      </c>
      <c r="B226" s="3171" t="s">
        <v>3500</v>
      </c>
      <c r="C226" s="3172" t="s">
        <v>3857</v>
      </c>
      <c r="D226" s="3174" t="s">
        <v>4304</v>
      </c>
      <c r="E226" s="3172" t="s">
        <v>4305</v>
      </c>
      <c r="F226" s="3179" t="s">
        <v>3324</v>
      </c>
      <c r="G226" s="3171">
        <v>-127</v>
      </c>
      <c r="H226" s="3174">
        <v>43.12</v>
      </c>
      <c r="I226" s="3175">
        <v>1509200</v>
      </c>
      <c r="J226" s="3176" t="s">
        <v>3453</v>
      </c>
      <c r="K226" s="3163"/>
      <c r="M226" s="3163"/>
    </row>
    <row r="227" spans="1:13" ht="16.5">
      <c r="A227" s="3170">
        <v>225</v>
      </c>
      <c r="B227" s="3171" t="s">
        <v>3500</v>
      </c>
      <c r="C227" s="3172" t="s">
        <v>3857</v>
      </c>
      <c r="D227" s="3174" t="s">
        <v>4306</v>
      </c>
      <c r="E227" s="3172" t="s">
        <v>4307</v>
      </c>
      <c r="F227" s="3179" t="s">
        <v>3324</v>
      </c>
      <c r="G227" s="3171">
        <v>-202</v>
      </c>
      <c r="H227" s="3174">
        <v>19.97</v>
      </c>
      <c r="I227" s="3175">
        <v>698950</v>
      </c>
      <c r="J227" s="3176" t="s">
        <v>3453</v>
      </c>
      <c r="K227" s="3163"/>
      <c r="M227" s="3163"/>
    </row>
    <row r="228" spans="1:13" ht="16.5">
      <c r="A228" s="3170">
        <v>226</v>
      </c>
      <c r="B228" s="3171" t="s">
        <v>3500</v>
      </c>
      <c r="C228" s="3172" t="s">
        <v>3857</v>
      </c>
      <c r="D228" s="3174" t="s">
        <v>4308</v>
      </c>
      <c r="E228" s="3172" t="s">
        <v>4309</v>
      </c>
      <c r="F228" s="3179" t="s">
        <v>3324</v>
      </c>
      <c r="G228" s="3171">
        <v>-203</v>
      </c>
      <c r="H228" s="3174">
        <v>19.97</v>
      </c>
      <c r="I228" s="3175">
        <v>698950</v>
      </c>
      <c r="J228" s="3176" t="s">
        <v>3453</v>
      </c>
      <c r="K228" s="3163"/>
      <c r="M228" s="3163"/>
    </row>
    <row r="229" spans="1:13" ht="16.5">
      <c r="A229" s="3170">
        <v>227</v>
      </c>
      <c r="B229" s="3171" t="s">
        <v>3500</v>
      </c>
      <c r="C229" s="3172" t="s">
        <v>3857</v>
      </c>
      <c r="D229" s="3174" t="s">
        <v>4310</v>
      </c>
      <c r="E229" s="3172" t="s">
        <v>4311</v>
      </c>
      <c r="F229" s="3179" t="s">
        <v>3324</v>
      </c>
      <c r="G229" s="3171">
        <v>-204</v>
      </c>
      <c r="H229" s="3174">
        <v>19.97</v>
      </c>
      <c r="I229" s="3175">
        <v>698950</v>
      </c>
      <c r="J229" s="3176" t="s">
        <v>3453</v>
      </c>
      <c r="K229" s="3163"/>
      <c r="M229" s="3163"/>
    </row>
    <row r="230" spans="1:13" ht="16.5">
      <c r="A230" s="3170">
        <v>228</v>
      </c>
      <c r="B230" s="3171" t="s">
        <v>3500</v>
      </c>
      <c r="C230" s="3172" t="s">
        <v>3857</v>
      </c>
      <c r="D230" s="3174" t="s">
        <v>4312</v>
      </c>
      <c r="E230" s="3172" t="s">
        <v>4313</v>
      </c>
      <c r="F230" s="3179" t="s">
        <v>3324</v>
      </c>
      <c r="G230" s="3171">
        <v>-205</v>
      </c>
      <c r="H230" s="3174">
        <v>19.97</v>
      </c>
      <c r="I230" s="3175">
        <v>698950</v>
      </c>
      <c r="J230" s="3176" t="s">
        <v>3453</v>
      </c>
      <c r="K230" s="3163"/>
      <c r="M230" s="3163"/>
    </row>
    <row r="231" spans="1:13" ht="16.5">
      <c r="A231" s="3170">
        <v>229</v>
      </c>
      <c r="B231" s="3171" t="s">
        <v>3500</v>
      </c>
      <c r="C231" s="3172" t="s">
        <v>3857</v>
      </c>
      <c r="D231" s="3174" t="s">
        <v>4314</v>
      </c>
      <c r="E231" s="3172" t="s">
        <v>4315</v>
      </c>
      <c r="F231" s="3179" t="s">
        <v>3324</v>
      </c>
      <c r="G231" s="3171">
        <v>-206</v>
      </c>
      <c r="H231" s="3174">
        <v>19.97</v>
      </c>
      <c r="I231" s="3175">
        <v>698950</v>
      </c>
      <c r="J231" s="3176" t="s">
        <v>3453</v>
      </c>
      <c r="K231" s="3163"/>
      <c r="M231" s="3163"/>
    </row>
    <row r="232" spans="1:13" ht="16.5">
      <c r="A232" s="3170">
        <v>230</v>
      </c>
      <c r="B232" s="3171" t="s">
        <v>3541</v>
      </c>
      <c r="C232" s="3172" t="s">
        <v>3857</v>
      </c>
      <c r="D232" s="3173" t="s">
        <v>4316</v>
      </c>
      <c r="E232" s="3172" t="s">
        <v>4317</v>
      </c>
      <c r="F232" s="3179" t="s">
        <v>3324</v>
      </c>
      <c r="G232" s="3171">
        <v>-102</v>
      </c>
      <c r="H232" s="3174">
        <v>42.4</v>
      </c>
      <c r="I232" s="3175">
        <v>1484000</v>
      </c>
      <c r="J232" s="3176" t="s">
        <v>3453</v>
      </c>
      <c r="K232" s="3163"/>
      <c r="M232" s="3163"/>
    </row>
    <row r="233" spans="1:13" ht="16.5">
      <c r="A233" s="3170">
        <v>231</v>
      </c>
      <c r="B233" s="3171" t="s">
        <v>3541</v>
      </c>
      <c r="C233" s="3172" t="s">
        <v>3857</v>
      </c>
      <c r="D233" s="3173" t="s">
        <v>4318</v>
      </c>
      <c r="E233" s="3172" t="s">
        <v>4319</v>
      </c>
      <c r="F233" s="3179" t="s">
        <v>3324</v>
      </c>
      <c r="G233" s="3171">
        <v>-103</v>
      </c>
      <c r="H233" s="3174">
        <v>47.18</v>
      </c>
      <c r="I233" s="3175">
        <v>1651300</v>
      </c>
      <c r="J233" s="3176" t="s">
        <v>3453</v>
      </c>
      <c r="K233" s="3163"/>
      <c r="M233" s="3163"/>
    </row>
    <row r="234" spans="1:13" ht="16.5">
      <c r="A234" s="3170">
        <v>232</v>
      </c>
      <c r="B234" s="3171" t="s">
        <v>3541</v>
      </c>
      <c r="C234" s="3172" t="s">
        <v>3857</v>
      </c>
      <c r="D234" s="3173" t="s">
        <v>4320</v>
      </c>
      <c r="E234" s="3172" t="s">
        <v>4321</v>
      </c>
      <c r="F234" s="3179" t="s">
        <v>3324</v>
      </c>
      <c r="G234" s="3171">
        <v>-104</v>
      </c>
      <c r="H234" s="3174">
        <v>62.35</v>
      </c>
      <c r="I234" s="3175">
        <v>2182250</v>
      </c>
      <c r="J234" s="3176" t="s">
        <v>3453</v>
      </c>
      <c r="K234" s="3163"/>
      <c r="M234" s="3163"/>
    </row>
    <row r="235" spans="1:13" ht="16.5">
      <c r="A235" s="3170">
        <v>233</v>
      </c>
      <c r="B235" s="3171" t="s">
        <v>3541</v>
      </c>
      <c r="C235" s="3172" t="s">
        <v>3857</v>
      </c>
      <c r="D235" s="3173" t="s">
        <v>4322</v>
      </c>
      <c r="E235" s="3172" t="s">
        <v>4323</v>
      </c>
      <c r="F235" s="3179" t="s">
        <v>3324</v>
      </c>
      <c r="G235" s="3171">
        <v>-105</v>
      </c>
      <c r="H235" s="3174">
        <v>61.39</v>
      </c>
      <c r="I235" s="3175">
        <v>2148650</v>
      </c>
      <c r="J235" s="3176" t="s">
        <v>3453</v>
      </c>
      <c r="K235" s="3163"/>
      <c r="M235" s="3163"/>
    </row>
    <row r="236" spans="1:13" ht="16.5">
      <c r="A236" s="3170">
        <v>234</v>
      </c>
      <c r="B236" s="3171" t="s">
        <v>3541</v>
      </c>
      <c r="C236" s="3172" t="s">
        <v>3857</v>
      </c>
      <c r="D236" s="3173" t="s">
        <v>4324</v>
      </c>
      <c r="E236" s="3172" t="s">
        <v>4325</v>
      </c>
      <c r="F236" s="3179" t="s">
        <v>3324</v>
      </c>
      <c r="G236" s="3171">
        <v>-106</v>
      </c>
      <c r="H236" s="3174">
        <v>61.39</v>
      </c>
      <c r="I236" s="3175">
        <v>2148650</v>
      </c>
      <c r="J236" s="3176" t="s">
        <v>3453</v>
      </c>
      <c r="K236" s="3163"/>
      <c r="M236" s="3163"/>
    </row>
    <row r="237" spans="1:13" ht="16.5">
      <c r="A237" s="3170">
        <v>235</v>
      </c>
      <c r="B237" s="3171" t="s">
        <v>3541</v>
      </c>
      <c r="C237" s="3172" t="s">
        <v>3857</v>
      </c>
      <c r="D237" s="3173" t="s">
        <v>4326</v>
      </c>
      <c r="E237" s="3172" t="s">
        <v>4327</v>
      </c>
      <c r="F237" s="3179" t="s">
        <v>3324</v>
      </c>
      <c r="G237" s="3171">
        <v>-107</v>
      </c>
      <c r="H237" s="3174">
        <v>62.35</v>
      </c>
      <c r="I237" s="3175">
        <v>2182250</v>
      </c>
      <c r="J237" s="3176" t="s">
        <v>3453</v>
      </c>
      <c r="K237" s="3163"/>
      <c r="M237" s="3163"/>
    </row>
    <row r="238" spans="1:13" ht="16.5">
      <c r="A238" s="3170">
        <v>236</v>
      </c>
      <c r="B238" s="3171" t="s">
        <v>3541</v>
      </c>
      <c r="C238" s="3172" t="s">
        <v>3857</v>
      </c>
      <c r="D238" s="3173" t="s">
        <v>4328</v>
      </c>
      <c r="E238" s="3172" t="s">
        <v>4329</v>
      </c>
      <c r="F238" s="3179" t="s">
        <v>3324</v>
      </c>
      <c r="G238" s="3171">
        <v>-108</v>
      </c>
      <c r="H238" s="3174">
        <v>47.18</v>
      </c>
      <c r="I238" s="3175">
        <v>1651300</v>
      </c>
      <c r="J238" s="3176" t="s">
        <v>3453</v>
      </c>
      <c r="K238" s="3163"/>
      <c r="M238" s="3163"/>
    </row>
    <row r="239" spans="1:13" ht="16.5">
      <c r="A239" s="3170">
        <v>237</v>
      </c>
      <c r="B239" s="3171" t="s">
        <v>3541</v>
      </c>
      <c r="C239" s="3172" t="s">
        <v>3857</v>
      </c>
      <c r="D239" s="3173" t="s">
        <v>4330</v>
      </c>
      <c r="E239" s="3172" t="s">
        <v>4331</v>
      </c>
      <c r="F239" s="3179" t="s">
        <v>3324</v>
      </c>
      <c r="G239" s="3171">
        <v>-109</v>
      </c>
      <c r="H239" s="3174">
        <v>42.77</v>
      </c>
      <c r="I239" s="3175">
        <v>1496950</v>
      </c>
      <c r="J239" s="3176" t="s">
        <v>3453</v>
      </c>
      <c r="K239" s="3163"/>
      <c r="M239" s="3163"/>
    </row>
    <row r="240" spans="1:13" ht="16.5">
      <c r="A240" s="3170">
        <v>238</v>
      </c>
      <c r="B240" s="3171" t="s">
        <v>3541</v>
      </c>
      <c r="C240" s="3172" t="s">
        <v>3857</v>
      </c>
      <c r="D240" s="3173" t="s">
        <v>4332</v>
      </c>
      <c r="E240" s="3172" t="s">
        <v>4333</v>
      </c>
      <c r="F240" s="3179" t="s">
        <v>3324</v>
      </c>
      <c r="G240" s="3171">
        <v>-110</v>
      </c>
      <c r="H240" s="3174">
        <v>42.77</v>
      </c>
      <c r="I240" s="3175">
        <v>1496950</v>
      </c>
      <c r="J240" s="3176" t="s">
        <v>3453</v>
      </c>
      <c r="K240" s="3163"/>
      <c r="M240" s="3163"/>
    </row>
    <row r="241" spans="1:13" ht="16.5">
      <c r="A241" s="3170">
        <v>239</v>
      </c>
      <c r="B241" s="3171" t="s">
        <v>3541</v>
      </c>
      <c r="C241" s="3172" t="s">
        <v>3857</v>
      </c>
      <c r="D241" s="3173" t="s">
        <v>4334</v>
      </c>
      <c r="E241" s="3172" t="s">
        <v>4335</v>
      </c>
      <c r="F241" s="3179" t="s">
        <v>3324</v>
      </c>
      <c r="G241" s="3171">
        <v>-111</v>
      </c>
      <c r="H241" s="3174">
        <v>47.18</v>
      </c>
      <c r="I241" s="3175">
        <v>1651300</v>
      </c>
      <c r="J241" s="3176" t="s">
        <v>3453</v>
      </c>
      <c r="K241" s="3163"/>
      <c r="M241" s="3163"/>
    </row>
    <row r="242" spans="1:13" ht="16.5">
      <c r="A242" s="3170">
        <v>240</v>
      </c>
      <c r="B242" s="3171" t="s">
        <v>3541</v>
      </c>
      <c r="C242" s="3172" t="s">
        <v>3857</v>
      </c>
      <c r="D242" s="3173" t="s">
        <v>4336</v>
      </c>
      <c r="E242" s="3172" t="s">
        <v>4337</v>
      </c>
      <c r="F242" s="3179" t="s">
        <v>3324</v>
      </c>
      <c r="G242" s="3171">
        <v>-112</v>
      </c>
      <c r="H242" s="3174">
        <v>62.35</v>
      </c>
      <c r="I242" s="3175">
        <v>2182250</v>
      </c>
      <c r="J242" s="3176" t="s">
        <v>3453</v>
      </c>
      <c r="K242" s="3163"/>
      <c r="M242" s="3163"/>
    </row>
    <row r="243" spans="1:13" ht="16.5">
      <c r="A243" s="3170">
        <v>241</v>
      </c>
      <c r="B243" s="3171" t="s">
        <v>3541</v>
      </c>
      <c r="C243" s="3172" t="s">
        <v>3857</v>
      </c>
      <c r="D243" s="3173" t="s">
        <v>4338</v>
      </c>
      <c r="E243" s="3172" t="s">
        <v>4339</v>
      </c>
      <c r="F243" s="3179" t="s">
        <v>3324</v>
      </c>
      <c r="G243" s="3171">
        <v>-113</v>
      </c>
      <c r="H243" s="3174">
        <v>61.39</v>
      </c>
      <c r="I243" s="3175">
        <v>2148650</v>
      </c>
      <c r="J243" s="3176" t="s">
        <v>3453</v>
      </c>
      <c r="K243" s="3163"/>
      <c r="M243" s="3163"/>
    </row>
    <row r="244" spans="1:13" ht="16.5">
      <c r="A244" s="3170">
        <v>242</v>
      </c>
      <c r="B244" s="3171" t="s">
        <v>3541</v>
      </c>
      <c r="C244" s="3172" t="s">
        <v>3857</v>
      </c>
      <c r="D244" s="3173" t="s">
        <v>4340</v>
      </c>
      <c r="E244" s="3172" t="s">
        <v>4341</v>
      </c>
      <c r="F244" s="3179" t="s">
        <v>3324</v>
      </c>
      <c r="G244" s="3171">
        <v>-114</v>
      </c>
      <c r="H244" s="3174">
        <v>61.39</v>
      </c>
      <c r="I244" s="3175">
        <v>2148650</v>
      </c>
      <c r="J244" s="3176" t="s">
        <v>3453</v>
      </c>
      <c r="K244" s="3163"/>
      <c r="M244" s="3163"/>
    </row>
    <row r="245" spans="1:13" ht="16.5">
      <c r="A245" s="3170">
        <v>243</v>
      </c>
      <c r="B245" s="3171" t="s">
        <v>3541</v>
      </c>
      <c r="C245" s="3172" t="s">
        <v>3857</v>
      </c>
      <c r="D245" s="3173" t="s">
        <v>4342</v>
      </c>
      <c r="E245" s="3172" t="s">
        <v>4343</v>
      </c>
      <c r="F245" s="3179" t="s">
        <v>3324</v>
      </c>
      <c r="G245" s="3171">
        <v>-115</v>
      </c>
      <c r="H245" s="3174">
        <v>62.35</v>
      </c>
      <c r="I245" s="3175">
        <v>2182250</v>
      </c>
      <c r="J245" s="3176" t="s">
        <v>3453</v>
      </c>
      <c r="K245" s="3163"/>
      <c r="M245" s="3163"/>
    </row>
    <row r="246" spans="1:13" ht="16.5">
      <c r="A246" s="3170">
        <v>244</v>
      </c>
      <c r="B246" s="3171" t="s">
        <v>3541</v>
      </c>
      <c r="C246" s="3172" t="s">
        <v>3857</v>
      </c>
      <c r="D246" s="3173" t="s">
        <v>4344</v>
      </c>
      <c r="E246" s="3172" t="s">
        <v>4345</v>
      </c>
      <c r="F246" s="3179" t="s">
        <v>3324</v>
      </c>
      <c r="G246" s="3171">
        <v>-116</v>
      </c>
      <c r="H246" s="3174">
        <v>47.18</v>
      </c>
      <c r="I246" s="3175">
        <v>1651300</v>
      </c>
      <c r="J246" s="3176" t="s">
        <v>3453</v>
      </c>
      <c r="K246" s="3163"/>
      <c r="M246" s="3163"/>
    </row>
    <row r="247" spans="1:13" ht="16.5">
      <c r="A247" s="3170">
        <v>245</v>
      </c>
      <c r="B247" s="3171" t="s">
        <v>3541</v>
      </c>
      <c r="C247" s="3172" t="s">
        <v>3857</v>
      </c>
      <c r="D247" s="3173" t="s">
        <v>4346</v>
      </c>
      <c r="E247" s="3172" t="s">
        <v>4347</v>
      </c>
      <c r="F247" s="3179" t="s">
        <v>3324</v>
      </c>
      <c r="G247" s="3171">
        <v>-117</v>
      </c>
      <c r="H247" s="3174">
        <v>54.43</v>
      </c>
      <c r="I247" s="3175">
        <v>1905050</v>
      </c>
      <c r="J247" s="3176" t="s">
        <v>3453</v>
      </c>
      <c r="K247" s="3163"/>
      <c r="M247" s="3163"/>
    </row>
    <row r="248" spans="1:13" ht="16.5">
      <c r="A248" s="3170">
        <v>246</v>
      </c>
      <c r="B248" s="3171" t="s">
        <v>3541</v>
      </c>
      <c r="C248" s="3172" t="s">
        <v>3857</v>
      </c>
      <c r="D248" s="3173" t="s">
        <v>4348</v>
      </c>
      <c r="E248" s="3172" t="s">
        <v>4349</v>
      </c>
      <c r="F248" s="3179" t="s">
        <v>3324</v>
      </c>
      <c r="G248" s="3171">
        <v>-118</v>
      </c>
      <c r="H248" s="3174">
        <v>15.15</v>
      </c>
      <c r="I248" s="3175">
        <v>530250</v>
      </c>
      <c r="J248" s="3176" t="s">
        <v>3453</v>
      </c>
      <c r="K248" s="3163"/>
      <c r="M248" s="3163"/>
    </row>
    <row r="249" spans="1:13" ht="16.5">
      <c r="A249" s="3170">
        <v>247</v>
      </c>
      <c r="B249" s="3171" t="s">
        <v>3541</v>
      </c>
      <c r="C249" s="3172" t="s">
        <v>3857</v>
      </c>
      <c r="D249" s="3173" t="s">
        <v>4350</v>
      </c>
      <c r="E249" s="3172" t="s">
        <v>4351</v>
      </c>
      <c r="F249" s="3179" t="s">
        <v>3324</v>
      </c>
      <c r="G249" s="3171">
        <v>-119</v>
      </c>
      <c r="H249" s="3174">
        <v>14.91</v>
      </c>
      <c r="I249" s="3175">
        <v>521850</v>
      </c>
      <c r="J249" s="3176" t="s">
        <v>3453</v>
      </c>
      <c r="K249" s="3163"/>
      <c r="M249" s="3163"/>
    </row>
    <row r="250" spans="1:13" ht="16.5">
      <c r="A250" s="3170">
        <v>248</v>
      </c>
      <c r="B250" s="3171" t="s">
        <v>3541</v>
      </c>
      <c r="C250" s="3172" t="s">
        <v>3857</v>
      </c>
      <c r="D250" s="3173" t="s">
        <v>4352</v>
      </c>
      <c r="E250" s="3172" t="s">
        <v>4353</v>
      </c>
      <c r="F250" s="3179" t="s">
        <v>3324</v>
      </c>
      <c r="G250" s="3171">
        <v>-201</v>
      </c>
      <c r="H250" s="3174">
        <v>22.9</v>
      </c>
      <c r="I250" s="3175">
        <v>801500</v>
      </c>
      <c r="J250" s="3176" t="s">
        <v>3453</v>
      </c>
      <c r="K250" s="3163"/>
      <c r="M250" s="3163"/>
    </row>
    <row r="251" spans="1:13" ht="16.5">
      <c r="A251" s="3170">
        <v>249</v>
      </c>
      <c r="B251" s="3171" t="s">
        <v>3541</v>
      </c>
      <c r="C251" s="3172" t="s">
        <v>3857</v>
      </c>
      <c r="D251" s="3173" t="s">
        <v>4354</v>
      </c>
      <c r="E251" s="3172" t="s">
        <v>4355</v>
      </c>
      <c r="F251" s="3179" t="s">
        <v>3324</v>
      </c>
      <c r="G251" s="3171">
        <v>-202</v>
      </c>
      <c r="H251" s="3174">
        <v>22.9</v>
      </c>
      <c r="I251" s="3175">
        <v>801500</v>
      </c>
      <c r="J251" s="3176" t="s">
        <v>3453</v>
      </c>
      <c r="K251" s="3163"/>
      <c r="M251" s="3163"/>
    </row>
    <row r="252" spans="1:13" ht="16.5">
      <c r="A252" s="3170">
        <v>250</v>
      </c>
      <c r="B252" s="3171" t="s">
        <v>3541</v>
      </c>
      <c r="C252" s="3172" t="s">
        <v>3857</v>
      </c>
      <c r="D252" s="3173" t="s">
        <v>4356</v>
      </c>
      <c r="E252" s="3172" t="s">
        <v>4357</v>
      </c>
      <c r="F252" s="3179" t="s">
        <v>3324</v>
      </c>
      <c r="G252" s="3171">
        <v>-203</v>
      </c>
      <c r="H252" s="3174">
        <v>22.9</v>
      </c>
      <c r="I252" s="3175">
        <v>801500</v>
      </c>
      <c r="J252" s="3176" t="s">
        <v>3453</v>
      </c>
      <c r="K252" s="3163"/>
      <c r="M252" s="3163"/>
    </row>
    <row r="253" spans="1:13" ht="16.5">
      <c r="A253" s="3170">
        <v>251</v>
      </c>
      <c r="B253" s="3171" t="s">
        <v>3541</v>
      </c>
      <c r="C253" s="3172" t="s">
        <v>3857</v>
      </c>
      <c r="D253" s="3173" t="s">
        <v>4358</v>
      </c>
      <c r="E253" s="3172" t="s">
        <v>4359</v>
      </c>
      <c r="F253" s="3179" t="s">
        <v>3324</v>
      </c>
      <c r="G253" s="3171">
        <v>-204</v>
      </c>
      <c r="H253" s="3174">
        <v>21.51</v>
      </c>
      <c r="I253" s="3175">
        <v>752850</v>
      </c>
      <c r="J253" s="3176" t="s">
        <v>3453</v>
      </c>
      <c r="K253" s="3163"/>
      <c r="M253" s="3163"/>
    </row>
    <row r="254" spans="1:13" ht="16.5">
      <c r="A254" s="3170">
        <v>252</v>
      </c>
      <c r="B254" s="3171" t="s">
        <v>3566</v>
      </c>
      <c r="C254" s="3172" t="s">
        <v>3857</v>
      </c>
      <c r="D254" s="3174" t="s">
        <v>4360</v>
      </c>
      <c r="E254" s="3172" t="s">
        <v>4361</v>
      </c>
      <c r="F254" s="3179" t="s">
        <v>3324</v>
      </c>
      <c r="G254" s="3171">
        <v>-109</v>
      </c>
      <c r="H254" s="3174">
        <v>29.78</v>
      </c>
      <c r="I254" s="3175">
        <v>1042300</v>
      </c>
      <c r="J254" s="3176" t="s">
        <v>3453</v>
      </c>
      <c r="K254" s="3163"/>
      <c r="M254" s="3163"/>
    </row>
    <row r="255" spans="1:13" ht="16.5">
      <c r="A255" s="3170">
        <v>253</v>
      </c>
      <c r="B255" s="3171" t="s">
        <v>3566</v>
      </c>
      <c r="C255" s="3172" t="s">
        <v>3857</v>
      </c>
      <c r="D255" s="3174" t="s">
        <v>4362</v>
      </c>
      <c r="E255" s="3172" t="s">
        <v>4363</v>
      </c>
      <c r="F255" s="3179" t="s">
        <v>3324</v>
      </c>
      <c r="G255" s="3171">
        <v>-202</v>
      </c>
      <c r="H255" s="3174">
        <v>30.16</v>
      </c>
      <c r="I255" s="3175">
        <v>1055600</v>
      </c>
      <c r="J255" s="3176" t="s">
        <v>3453</v>
      </c>
      <c r="K255" s="3163"/>
      <c r="M255" s="3163"/>
    </row>
    <row r="256" spans="1:13" ht="16.5">
      <c r="A256" s="3170">
        <v>254</v>
      </c>
      <c r="B256" s="3171" t="s">
        <v>3573</v>
      </c>
      <c r="C256" s="3172" t="s">
        <v>3857</v>
      </c>
      <c r="D256" s="3174" t="s">
        <v>4364</v>
      </c>
      <c r="E256" s="3172" t="s">
        <v>4365</v>
      </c>
      <c r="F256" s="3179" t="s">
        <v>3324</v>
      </c>
      <c r="G256" s="3171">
        <v>-106</v>
      </c>
      <c r="H256" s="3174">
        <v>61.69</v>
      </c>
      <c r="I256" s="3175">
        <v>2159150</v>
      </c>
      <c r="J256" s="3176" t="s">
        <v>3453</v>
      </c>
      <c r="K256" s="3163"/>
      <c r="M256" s="3163"/>
    </row>
    <row r="257" spans="1:13" ht="16.5">
      <c r="A257" s="3170">
        <v>255</v>
      </c>
      <c r="B257" s="3171" t="s">
        <v>3573</v>
      </c>
      <c r="C257" s="3172" t="s">
        <v>3857</v>
      </c>
      <c r="D257" s="3174" t="s">
        <v>4366</v>
      </c>
      <c r="E257" s="3172" t="s">
        <v>4367</v>
      </c>
      <c r="F257" s="3179" t="s">
        <v>3324</v>
      </c>
      <c r="G257" s="3171">
        <v>-107</v>
      </c>
      <c r="H257" s="3174">
        <v>62.66</v>
      </c>
      <c r="I257" s="3175">
        <v>2193100</v>
      </c>
      <c r="J257" s="3176" t="s">
        <v>3453</v>
      </c>
      <c r="K257" s="3163"/>
      <c r="M257" s="3163"/>
    </row>
    <row r="258" spans="1:13" ht="16.5">
      <c r="A258" s="3170">
        <v>256</v>
      </c>
      <c r="B258" s="3171" t="s">
        <v>3573</v>
      </c>
      <c r="C258" s="3172" t="s">
        <v>3857</v>
      </c>
      <c r="D258" s="3174" t="s">
        <v>4368</v>
      </c>
      <c r="E258" s="3172" t="s">
        <v>4369</v>
      </c>
      <c r="F258" s="3179" t="s">
        <v>3324</v>
      </c>
      <c r="G258" s="3171">
        <v>-108</v>
      </c>
      <c r="H258" s="3174">
        <v>47.41</v>
      </c>
      <c r="I258" s="3175">
        <v>1659350</v>
      </c>
      <c r="J258" s="3176" t="s">
        <v>3453</v>
      </c>
      <c r="K258" s="3163"/>
      <c r="M258" s="3163"/>
    </row>
    <row r="259" spans="1:13" ht="16.5">
      <c r="A259" s="3170">
        <v>257</v>
      </c>
      <c r="B259" s="3171" t="s">
        <v>3573</v>
      </c>
      <c r="C259" s="3172" t="s">
        <v>3857</v>
      </c>
      <c r="D259" s="3174" t="s">
        <v>4370</v>
      </c>
      <c r="E259" s="3172" t="s">
        <v>4371</v>
      </c>
      <c r="F259" s="3179" t="s">
        <v>3324</v>
      </c>
      <c r="G259" s="3171">
        <v>-109</v>
      </c>
      <c r="H259" s="3174">
        <v>42.6</v>
      </c>
      <c r="I259" s="3175">
        <v>1491000</v>
      </c>
      <c r="J259" s="3176" t="s">
        <v>3453</v>
      </c>
      <c r="K259" s="3163"/>
      <c r="M259" s="3163"/>
    </row>
    <row r="260" spans="1:13" ht="16.5">
      <c r="A260" s="3170">
        <v>258</v>
      </c>
      <c r="B260" s="3171" t="s">
        <v>3573</v>
      </c>
      <c r="C260" s="3172" t="s">
        <v>3857</v>
      </c>
      <c r="D260" s="3174" t="s">
        <v>4372</v>
      </c>
      <c r="E260" s="3172" t="s">
        <v>4373</v>
      </c>
      <c r="F260" s="3179" t="s">
        <v>3324</v>
      </c>
      <c r="G260" s="3171">
        <v>-202</v>
      </c>
      <c r="H260" s="3174">
        <v>23.01</v>
      </c>
      <c r="I260" s="3175">
        <v>805350</v>
      </c>
      <c r="J260" s="3176" t="s">
        <v>3453</v>
      </c>
      <c r="K260" s="3163"/>
      <c r="M260" s="3163"/>
    </row>
    <row r="261" spans="1:13" ht="16.5">
      <c r="A261" s="3170">
        <v>259</v>
      </c>
      <c r="B261" s="3171" t="s">
        <v>3578</v>
      </c>
      <c r="C261" s="3172" t="s">
        <v>3857</v>
      </c>
      <c r="D261" s="3173" t="s">
        <v>4374</v>
      </c>
      <c r="E261" s="3172" t="s">
        <v>4375</v>
      </c>
      <c r="F261" s="3179" t="s">
        <v>3324</v>
      </c>
      <c r="G261" s="3171">
        <v>-101</v>
      </c>
      <c r="H261" s="3174">
        <v>12.98</v>
      </c>
      <c r="I261" s="3175">
        <v>454300</v>
      </c>
      <c r="J261" s="3176" t="s">
        <v>3453</v>
      </c>
      <c r="K261" s="3163"/>
      <c r="M261" s="3163"/>
    </row>
    <row r="262" spans="1:13" ht="16.5">
      <c r="A262" s="3170">
        <v>260</v>
      </c>
      <c r="B262" s="3171" t="s">
        <v>3578</v>
      </c>
      <c r="C262" s="3172" t="s">
        <v>3857</v>
      </c>
      <c r="D262" s="3173" t="s">
        <v>4376</v>
      </c>
      <c r="E262" s="3172" t="s">
        <v>4377</v>
      </c>
      <c r="F262" s="3179" t="s">
        <v>3324</v>
      </c>
      <c r="G262" s="3171">
        <v>-102</v>
      </c>
      <c r="H262" s="3174">
        <v>38.93</v>
      </c>
      <c r="I262" s="3175">
        <v>1362550</v>
      </c>
      <c r="J262" s="3176" t="s">
        <v>3453</v>
      </c>
      <c r="K262" s="3163"/>
      <c r="M262" s="3163"/>
    </row>
    <row r="263" spans="1:13" ht="16.5">
      <c r="A263" s="3170">
        <v>261</v>
      </c>
      <c r="B263" s="3171" t="s">
        <v>3578</v>
      </c>
      <c r="C263" s="3172" t="s">
        <v>3857</v>
      </c>
      <c r="D263" s="3173" t="s">
        <v>4378</v>
      </c>
      <c r="E263" s="3172" t="s">
        <v>4379</v>
      </c>
      <c r="F263" s="3179" t="s">
        <v>3324</v>
      </c>
      <c r="G263" s="3171">
        <v>-103</v>
      </c>
      <c r="H263" s="3174">
        <v>47.03</v>
      </c>
      <c r="I263" s="3175">
        <v>1646050</v>
      </c>
      <c r="J263" s="3176" t="s">
        <v>3453</v>
      </c>
      <c r="K263" s="3163"/>
      <c r="M263" s="3163"/>
    </row>
    <row r="264" spans="1:13" ht="16.5">
      <c r="A264" s="3170">
        <v>262</v>
      </c>
      <c r="B264" s="3171" t="s">
        <v>3578</v>
      </c>
      <c r="C264" s="3172" t="s">
        <v>3857</v>
      </c>
      <c r="D264" s="3173" t="s">
        <v>4380</v>
      </c>
      <c r="E264" s="3172" t="s">
        <v>4381</v>
      </c>
      <c r="F264" s="3179" t="s">
        <v>3324</v>
      </c>
      <c r="G264" s="3171">
        <v>-104</v>
      </c>
      <c r="H264" s="3174">
        <v>62.16</v>
      </c>
      <c r="I264" s="3175">
        <v>2175600</v>
      </c>
      <c r="J264" s="3176" t="s">
        <v>3453</v>
      </c>
      <c r="K264" s="3163"/>
      <c r="M264" s="3163"/>
    </row>
    <row r="265" spans="1:13" ht="16.5">
      <c r="A265" s="3170">
        <v>263</v>
      </c>
      <c r="B265" s="3171" t="s">
        <v>3578</v>
      </c>
      <c r="C265" s="3172" t="s">
        <v>3857</v>
      </c>
      <c r="D265" s="3173" t="s">
        <v>4382</v>
      </c>
      <c r="E265" s="3172" t="s">
        <v>4383</v>
      </c>
      <c r="F265" s="3179" t="s">
        <v>3324</v>
      </c>
      <c r="G265" s="3171">
        <v>-105</v>
      </c>
      <c r="H265" s="3174">
        <v>61.2</v>
      </c>
      <c r="I265" s="3175">
        <v>2142000</v>
      </c>
      <c r="J265" s="3176" t="s">
        <v>3453</v>
      </c>
      <c r="K265" s="3163"/>
      <c r="M265" s="3163"/>
    </row>
    <row r="266" spans="1:13" ht="16.5">
      <c r="A266" s="3170">
        <v>264</v>
      </c>
      <c r="B266" s="3171" t="s">
        <v>3578</v>
      </c>
      <c r="C266" s="3172" t="s">
        <v>3857</v>
      </c>
      <c r="D266" s="3173" t="s">
        <v>4384</v>
      </c>
      <c r="E266" s="3172" t="s">
        <v>4385</v>
      </c>
      <c r="F266" s="3179" t="s">
        <v>3324</v>
      </c>
      <c r="G266" s="3171">
        <v>-106</v>
      </c>
      <c r="H266" s="3174">
        <v>61.2</v>
      </c>
      <c r="I266" s="3175">
        <v>2142000</v>
      </c>
      <c r="J266" s="3176" t="s">
        <v>3453</v>
      </c>
      <c r="K266" s="3163"/>
      <c r="M266" s="3163"/>
    </row>
    <row r="267" spans="1:13" ht="16.5">
      <c r="A267" s="3170">
        <v>265</v>
      </c>
      <c r="B267" s="3171" t="s">
        <v>3578</v>
      </c>
      <c r="C267" s="3172" t="s">
        <v>3857</v>
      </c>
      <c r="D267" s="3173" t="s">
        <v>4386</v>
      </c>
      <c r="E267" s="3172" t="s">
        <v>4387</v>
      </c>
      <c r="F267" s="3179" t="s">
        <v>3324</v>
      </c>
      <c r="G267" s="3171">
        <v>-107</v>
      </c>
      <c r="H267" s="3174">
        <v>62.16</v>
      </c>
      <c r="I267" s="3175">
        <v>2175600</v>
      </c>
      <c r="J267" s="3176" t="s">
        <v>3453</v>
      </c>
      <c r="K267" s="3163"/>
      <c r="M267" s="3163"/>
    </row>
    <row r="268" spans="1:13" ht="16.5">
      <c r="A268" s="3170">
        <v>266</v>
      </c>
      <c r="B268" s="3171" t="s">
        <v>3578</v>
      </c>
      <c r="C268" s="3172" t="s">
        <v>3857</v>
      </c>
      <c r="D268" s="3173" t="s">
        <v>4388</v>
      </c>
      <c r="E268" s="3172" t="s">
        <v>4389</v>
      </c>
      <c r="F268" s="3179" t="s">
        <v>3324</v>
      </c>
      <c r="G268" s="3171">
        <v>-108</v>
      </c>
      <c r="H268" s="3174">
        <v>47.03</v>
      </c>
      <c r="I268" s="3175">
        <v>1646050</v>
      </c>
      <c r="J268" s="3176" t="s">
        <v>3453</v>
      </c>
      <c r="K268" s="3163"/>
      <c r="M268" s="3163"/>
    </row>
    <row r="269" spans="1:13" ht="16.5">
      <c r="A269" s="3170">
        <v>267</v>
      </c>
      <c r="B269" s="3171" t="s">
        <v>3578</v>
      </c>
      <c r="C269" s="3172" t="s">
        <v>3857</v>
      </c>
      <c r="D269" s="3173" t="s">
        <v>4390</v>
      </c>
      <c r="E269" s="3172" t="s">
        <v>4391</v>
      </c>
      <c r="F269" s="3179" t="s">
        <v>3324</v>
      </c>
      <c r="G269" s="3171">
        <v>-109</v>
      </c>
      <c r="H269" s="3174">
        <v>42.64</v>
      </c>
      <c r="I269" s="3175">
        <v>1492400</v>
      </c>
      <c r="J269" s="3176" t="s">
        <v>3453</v>
      </c>
      <c r="K269" s="3163"/>
      <c r="M269" s="3163"/>
    </row>
    <row r="270" spans="1:13" ht="16.5">
      <c r="A270" s="3170">
        <v>268</v>
      </c>
      <c r="B270" s="3171" t="s">
        <v>3578</v>
      </c>
      <c r="C270" s="3172" t="s">
        <v>3857</v>
      </c>
      <c r="D270" s="3173" t="s">
        <v>4392</v>
      </c>
      <c r="E270" s="3172" t="s">
        <v>4393</v>
      </c>
      <c r="F270" s="3179" t="s">
        <v>3324</v>
      </c>
      <c r="G270" s="3171">
        <v>-110</v>
      </c>
      <c r="H270" s="3174">
        <v>42.64</v>
      </c>
      <c r="I270" s="3175">
        <v>1492400</v>
      </c>
      <c r="J270" s="3176" t="s">
        <v>3453</v>
      </c>
      <c r="K270" s="3163"/>
      <c r="M270" s="3163"/>
    </row>
    <row r="271" spans="1:13" ht="16.5">
      <c r="A271" s="3170">
        <v>269</v>
      </c>
      <c r="B271" s="3171" t="s">
        <v>3578</v>
      </c>
      <c r="C271" s="3172" t="s">
        <v>3857</v>
      </c>
      <c r="D271" s="3173" t="s">
        <v>4394</v>
      </c>
      <c r="E271" s="3172" t="s">
        <v>4395</v>
      </c>
      <c r="F271" s="3179" t="s">
        <v>3324</v>
      </c>
      <c r="G271" s="3171">
        <v>-111</v>
      </c>
      <c r="H271" s="3174">
        <v>47.03</v>
      </c>
      <c r="I271" s="3175">
        <v>1646050</v>
      </c>
      <c r="J271" s="3176" t="s">
        <v>3453</v>
      </c>
      <c r="K271" s="3163"/>
      <c r="M271" s="3163"/>
    </row>
    <row r="272" spans="1:13" ht="16.5">
      <c r="A272" s="3170">
        <v>270</v>
      </c>
      <c r="B272" s="3171" t="s">
        <v>3578</v>
      </c>
      <c r="C272" s="3172" t="s">
        <v>3857</v>
      </c>
      <c r="D272" s="3173" t="s">
        <v>4396</v>
      </c>
      <c r="E272" s="3172" t="s">
        <v>4397</v>
      </c>
      <c r="F272" s="3179" t="s">
        <v>3324</v>
      </c>
      <c r="G272" s="3171">
        <v>-112</v>
      </c>
      <c r="H272" s="3174">
        <v>62.16</v>
      </c>
      <c r="I272" s="3175">
        <v>2175600</v>
      </c>
      <c r="J272" s="3176" t="s">
        <v>3453</v>
      </c>
      <c r="K272" s="3163"/>
      <c r="M272" s="3163"/>
    </row>
    <row r="273" spans="1:13" ht="16.5">
      <c r="A273" s="3170">
        <v>271</v>
      </c>
      <c r="B273" s="3171" t="s">
        <v>3578</v>
      </c>
      <c r="C273" s="3172" t="s">
        <v>3857</v>
      </c>
      <c r="D273" s="3173" t="s">
        <v>4398</v>
      </c>
      <c r="E273" s="3172" t="s">
        <v>4399</v>
      </c>
      <c r="F273" s="3179" t="s">
        <v>3324</v>
      </c>
      <c r="G273" s="3171">
        <v>-113</v>
      </c>
      <c r="H273" s="3174">
        <v>61.2</v>
      </c>
      <c r="I273" s="3175">
        <v>2142000</v>
      </c>
      <c r="J273" s="3176" t="s">
        <v>3453</v>
      </c>
      <c r="K273" s="3163"/>
      <c r="M273" s="3163"/>
    </row>
    <row r="274" spans="1:13" ht="16.5">
      <c r="A274" s="3170">
        <v>272</v>
      </c>
      <c r="B274" s="3171" t="s">
        <v>3578</v>
      </c>
      <c r="C274" s="3172" t="s">
        <v>3857</v>
      </c>
      <c r="D274" s="3173" t="s">
        <v>4400</v>
      </c>
      <c r="E274" s="3172" t="s">
        <v>4401</v>
      </c>
      <c r="F274" s="3179" t="s">
        <v>3324</v>
      </c>
      <c r="G274" s="3171">
        <v>-114</v>
      </c>
      <c r="H274" s="3174">
        <v>61.2</v>
      </c>
      <c r="I274" s="3175">
        <v>2142000</v>
      </c>
      <c r="J274" s="3176" t="s">
        <v>3453</v>
      </c>
      <c r="K274" s="3163"/>
      <c r="M274" s="3163"/>
    </row>
    <row r="275" spans="1:13" ht="16.5">
      <c r="A275" s="3170">
        <v>273</v>
      </c>
      <c r="B275" s="3171" t="s">
        <v>3578</v>
      </c>
      <c r="C275" s="3172" t="s">
        <v>3857</v>
      </c>
      <c r="D275" s="3173" t="s">
        <v>4402</v>
      </c>
      <c r="E275" s="3172" t="s">
        <v>4403</v>
      </c>
      <c r="F275" s="3179" t="s">
        <v>3324</v>
      </c>
      <c r="G275" s="3171">
        <v>-115</v>
      </c>
      <c r="H275" s="3174">
        <v>62.16</v>
      </c>
      <c r="I275" s="3175">
        <v>2175600</v>
      </c>
      <c r="J275" s="3176" t="s">
        <v>3453</v>
      </c>
      <c r="K275" s="3163"/>
      <c r="M275" s="3163"/>
    </row>
    <row r="276" spans="1:13" ht="16.5">
      <c r="A276" s="3170">
        <v>274</v>
      </c>
      <c r="B276" s="3171" t="s">
        <v>3578</v>
      </c>
      <c r="C276" s="3172" t="s">
        <v>3857</v>
      </c>
      <c r="D276" s="3173" t="s">
        <v>4404</v>
      </c>
      <c r="E276" s="3172" t="s">
        <v>4405</v>
      </c>
      <c r="F276" s="3179" t="s">
        <v>3324</v>
      </c>
      <c r="G276" s="3171">
        <v>-116</v>
      </c>
      <c r="H276" s="3174">
        <v>47.03</v>
      </c>
      <c r="I276" s="3175">
        <v>1646050</v>
      </c>
      <c r="J276" s="3176" t="s">
        <v>3453</v>
      </c>
      <c r="K276" s="3163"/>
      <c r="M276" s="3163"/>
    </row>
    <row r="277" spans="1:13" ht="16.5">
      <c r="A277" s="3170">
        <v>275</v>
      </c>
      <c r="B277" s="3171" t="s">
        <v>3578</v>
      </c>
      <c r="C277" s="3172" t="s">
        <v>3857</v>
      </c>
      <c r="D277" s="3173" t="s">
        <v>4406</v>
      </c>
      <c r="E277" s="3172" t="s">
        <v>4407</v>
      </c>
      <c r="F277" s="3179" t="s">
        <v>3324</v>
      </c>
      <c r="G277" s="3171">
        <v>-117</v>
      </c>
      <c r="H277" s="3174">
        <v>54.26</v>
      </c>
      <c r="I277" s="3175">
        <v>1899100</v>
      </c>
      <c r="J277" s="3176" t="s">
        <v>3453</v>
      </c>
      <c r="K277" s="3163"/>
      <c r="M277" s="3163"/>
    </row>
    <row r="278" spans="1:13" ht="16.5">
      <c r="A278" s="3170">
        <v>276</v>
      </c>
      <c r="B278" s="3171" t="s">
        <v>3578</v>
      </c>
      <c r="C278" s="3172" t="s">
        <v>3857</v>
      </c>
      <c r="D278" s="3173" t="s">
        <v>4408</v>
      </c>
      <c r="E278" s="3172" t="s">
        <v>4409</v>
      </c>
      <c r="F278" s="3179" t="s">
        <v>3324</v>
      </c>
      <c r="G278" s="3171">
        <v>-118</v>
      </c>
      <c r="H278" s="3174">
        <v>15.1</v>
      </c>
      <c r="I278" s="3175">
        <v>528500</v>
      </c>
      <c r="J278" s="3176" t="s">
        <v>3453</v>
      </c>
      <c r="K278" s="3163"/>
      <c r="M278" s="3163"/>
    </row>
    <row r="279" spans="1:13" ht="16.5">
      <c r="A279" s="3170">
        <v>277</v>
      </c>
      <c r="B279" s="3171" t="s">
        <v>3578</v>
      </c>
      <c r="C279" s="3172" t="s">
        <v>3857</v>
      </c>
      <c r="D279" s="3173" t="s">
        <v>4410</v>
      </c>
      <c r="E279" s="3172" t="s">
        <v>4411</v>
      </c>
      <c r="F279" s="3179" t="s">
        <v>3324</v>
      </c>
      <c r="G279" s="3171">
        <v>-201</v>
      </c>
      <c r="H279" s="3174">
        <v>22.83</v>
      </c>
      <c r="I279" s="3175">
        <v>799050</v>
      </c>
      <c r="J279" s="3176" t="s">
        <v>3453</v>
      </c>
      <c r="K279" s="3163"/>
      <c r="M279" s="3163"/>
    </row>
    <row r="280" spans="1:13" ht="16.5">
      <c r="A280" s="3170">
        <v>278</v>
      </c>
      <c r="B280" s="3171" t="s">
        <v>3578</v>
      </c>
      <c r="C280" s="3172" t="s">
        <v>3857</v>
      </c>
      <c r="D280" s="3173" t="s">
        <v>4412</v>
      </c>
      <c r="E280" s="3172" t="s">
        <v>4413</v>
      </c>
      <c r="F280" s="3179" t="s">
        <v>3324</v>
      </c>
      <c r="G280" s="3171">
        <v>-202</v>
      </c>
      <c r="H280" s="3174">
        <v>22.83</v>
      </c>
      <c r="I280" s="3175">
        <v>799050</v>
      </c>
      <c r="J280" s="3176" t="s">
        <v>3453</v>
      </c>
      <c r="K280" s="3163"/>
      <c r="M280" s="3163"/>
    </row>
    <row r="281" spans="1:13" ht="16.5">
      <c r="A281" s="3170">
        <v>279</v>
      </c>
      <c r="B281" s="3171" t="s">
        <v>3578</v>
      </c>
      <c r="C281" s="3172" t="s">
        <v>3857</v>
      </c>
      <c r="D281" s="3173" t="s">
        <v>4414</v>
      </c>
      <c r="E281" s="3172" t="s">
        <v>4415</v>
      </c>
      <c r="F281" s="3179" t="s">
        <v>3324</v>
      </c>
      <c r="G281" s="3171">
        <v>-203</v>
      </c>
      <c r="H281" s="3174">
        <v>23.27</v>
      </c>
      <c r="I281" s="3175">
        <v>814450</v>
      </c>
      <c r="J281" s="3176" t="s">
        <v>3453</v>
      </c>
      <c r="K281" s="3163"/>
      <c r="M281" s="3163"/>
    </row>
    <row r="282" spans="1:13" ht="16.5">
      <c r="A282" s="3170">
        <v>280</v>
      </c>
      <c r="B282" s="3171" t="s">
        <v>3578</v>
      </c>
      <c r="C282" s="3172" t="s">
        <v>3857</v>
      </c>
      <c r="D282" s="3173" t="s">
        <v>4416</v>
      </c>
      <c r="E282" s="3172" t="s">
        <v>4417</v>
      </c>
      <c r="F282" s="3179" t="s">
        <v>3324</v>
      </c>
      <c r="G282" s="3171">
        <v>-204</v>
      </c>
      <c r="H282" s="3174">
        <v>23.49</v>
      </c>
      <c r="I282" s="3175">
        <v>822150</v>
      </c>
      <c r="J282" s="3176" t="s">
        <v>3453</v>
      </c>
      <c r="K282" s="3163"/>
      <c r="M282" s="3163"/>
    </row>
    <row r="283" spans="1:13" ht="16.5">
      <c r="A283" s="3170">
        <v>281</v>
      </c>
      <c r="B283" s="3171" t="s">
        <v>3597</v>
      </c>
      <c r="C283" s="3172" t="s">
        <v>3857</v>
      </c>
      <c r="D283" s="3173" t="s">
        <v>4418</v>
      </c>
      <c r="E283" s="3172" t="s">
        <v>4419</v>
      </c>
      <c r="F283" s="3179" t="s">
        <v>3324</v>
      </c>
      <c r="G283" s="3171">
        <v>-109</v>
      </c>
      <c r="H283" s="3174">
        <v>40.76</v>
      </c>
      <c r="I283" s="3175">
        <v>1426600</v>
      </c>
      <c r="J283" s="3176" t="s">
        <v>3453</v>
      </c>
      <c r="K283" s="3163"/>
      <c r="M283" s="3163"/>
    </row>
    <row r="284" spans="1:13" ht="16.5">
      <c r="A284" s="3170">
        <v>282</v>
      </c>
      <c r="B284" s="3171" t="s">
        <v>3597</v>
      </c>
      <c r="C284" s="3172" t="s">
        <v>3857</v>
      </c>
      <c r="D284" s="3173" t="s">
        <v>4420</v>
      </c>
      <c r="E284" s="3172" t="s">
        <v>4421</v>
      </c>
      <c r="F284" s="3179" t="s">
        <v>3324</v>
      </c>
      <c r="G284" s="3171">
        <v>-110</v>
      </c>
      <c r="H284" s="3174">
        <v>55.74</v>
      </c>
      <c r="I284" s="3175">
        <v>1950900</v>
      </c>
      <c r="J284" s="3176" t="s">
        <v>3453</v>
      </c>
      <c r="K284" s="3163"/>
      <c r="M284" s="3163"/>
    </row>
    <row r="285" spans="1:13" ht="16.5">
      <c r="A285" s="3170">
        <v>283</v>
      </c>
      <c r="B285" s="3171" t="s">
        <v>3597</v>
      </c>
      <c r="C285" s="3172" t="s">
        <v>3857</v>
      </c>
      <c r="D285" s="3173" t="s">
        <v>4422</v>
      </c>
      <c r="E285" s="3172" t="s">
        <v>4423</v>
      </c>
      <c r="F285" s="3179" t="s">
        <v>3324</v>
      </c>
      <c r="G285" s="3171">
        <v>-111</v>
      </c>
      <c r="H285" s="3174">
        <v>23.26</v>
      </c>
      <c r="I285" s="3175">
        <v>814100</v>
      </c>
      <c r="J285" s="3176" t="s">
        <v>3453</v>
      </c>
      <c r="K285" s="3163"/>
      <c r="M285" s="3163"/>
    </row>
    <row r="286" spans="1:13" ht="16.5">
      <c r="A286" s="3170">
        <v>284</v>
      </c>
      <c r="B286" s="3171" t="s">
        <v>3597</v>
      </c>
      <c r="C286" s="3172" t="s">
        <v>3857</v>
      </c>
      <c r="D286" s="3173" t="s">
        <v>4424</v>
      </c>
      <c r="E286" s="3172" t="s">
        <v>4425</v>
      </c>
      <c r="F286" s="3179" t="s">
        <v>3324</v>
      </c>
      <c r="G286" s="3171">
        <v>-115</v>
      </c>
      <c r="H286" s="3174">
        <v>40.46</v>
      </c>
      <c r="I286" s="3175">
        <v>1416100</v>
      </c>
      <c r="J286" s="3176" t="s">
        <v>3453</v>
      </c>
      <c r="K286" s="3163"/>
      <c r="M286" s="3163"/>
    </row>
    <row r="287" spans="1:13" ht="16.5">
      <c r="A287" s="3170">
        <v>285</v>
      </c>
      <c r="B287" s="3171" t="s">
        <v>3597</v>
      </c>
      <c r="C287" s="3172" t="s">
        <v>3857</v>
      </c>
      <c r="D287" s="3173" t="s">
        <v>4426</v>
      </c>
      <c r="E287" s="3172" t="s">
        <v>4427</v>
      </c>
      <c r="F287" s="3179" t="s">
        <v>3324</v>
      </c>
      <c r="G287" s="3171">
        <v>-116</v>
      </c>
      <c r="H287" s="3174">
        <v>55.74</v>
      </c>
      <c r="I287" s="3175">
        <v>1950900</v>
      </c>
      <c r="J287" s="3176" t="s">
        <v>3453</v>
      </c>
      <c r="K287" s="3163"/>
      <c r="M287" s="3163"/>
    </row>
    <row r="288" spans="1:13" ht="16.5">
      <c r="A288" s="3170">
        <v>286</v>
      </c>
      <c r="B288" s="3171" t="s">
        <v>3597</v>
      </c>
      <c r="C288" s="3172" t="s">
        <v>3857</v>
      </c>
      <c r="D288" s="3173" t="s">
        <v>4428</v>
      </c>
      <c r="E288" s="3172" t="s">
        <v>4429</v>
      </c>
      <c r="F288" s="3179" t="s">
        <v>3324</v>
      </c>
      <c r="G288" s="3171">
        <v>-117</v>
      </c>
      <c r="H288" s="3174">
        <v>23.26</v>
      </c>
      <c r="I288" s="3175">
        <v>814100</v>
      </c>
      <c r="J288" s="3176" t="s">
        <v>3453</v>
      </c>
      <c r="K288" s="3163"/>
      <c r="M288" s="3163"/>
    </row>
    <row r="289" spans="1:13" ht="16.5">
      <c r="A289" s="3170">
        <v>287</v>
      </c>
      <c r="B289" s="3171" t="s">
        <v>3597</v>
      </c>
      <c r="C289" s="3172" t="s">
        <v>3857</v>
      </c>
      <c r="D289" s="3173" t="s">
        <v>4430</v>
      </c>
      <c r="E289" s="3172" t="s">
        <v>4431</v>
      </c>
      <c r="F289" s="3179" t="s">
        <v>3324</v>
      </c>
      <c r="G289" s="3171">
        <v>-118</v>
      </c>
      <c r="H289" s="3174">
        <v>23.26</v>
      </c>
      <c r="I289" s="3175">
        <v>814100</v>
      </c>
      <c r="J289" s="3176" t="s">
        <v>3453</v>
      </c>
      <c r="K289" s="3163"/>
      <c r="M289" s="3163"/>
    </row>
    <row r="290" spans="1:13" ht="16.5">
      <c r="A290" s="3170">
        <v>288</v>
      </c>
      <c r="B290" s="3171" t="s">
        <v>3597</v>
      </c>
      <c r="C290" s="3172" t="s">
        <v>3857</v>
      </c>
      <c r="D290" s="3173" t="s">
        <v>4432</v>
      </c>
      <c r="E290" s="3172" t="s">
        <v>4433</v>
      </c>
      <c r="F290" s="3179" t="s">
        <v>3324</v>
      </c>
      <c r="G290" s="3171">
        <v>-119</v>
      </c>
      <c r="H290" s="3174">
        <v>52.86</v>
      </c>
      <c r="I290" s="3175">
        <v>1850100</v>
      </c>
      <c r="J290" s="3176" t="s">
        <v>3453</v>
      </c>
      <c r="K290" s="3163"/>
      <c r="M290" s="3163"/>
    </row>
    <row r="291" spans="1:13" ht="16.5">
      <c r="A291" s="3170">
        <v>289</v>
      </c>
      <c r="B291" s="3171" t="s">
        <v>3597</v>
      </c>
      <c r="C291" s="3172" t="s">
        <v>3857</v>
      </c>
      <c r="D291" s="3173" t="s">
        <v>4434</v>
      </c>
      <c r="E291" s="3172" t="s">
        <v>4435</v>
      </c>
      <c r="F291" s="3179" t="s">
        <v>3324</v>
      </c>
      <c r="G291" s="3171">
        <v>-120</v>
      </c>
      <c r="H291" s="3174">
        <v>45.76</v>
      </c>
      <c r="I291" s="3175">
        <v>1601600</v>
      </c>
      <c r="J291" s="3176" t="s">
        <v>3453</v>
      </c>
      <c r="K291" s="3163"/>
      <c r="M291" s="3163"/>
    </row>
    <row r="292" spans="1:13" ht="16.5">
      <c r="A292" s="3170">
        <v>290</v>
      </c>
      <c r="B292" s="3171" t="s">
        <v>3597</v>
      </c>
      <c r="C292" s="3172" t="s">
        <v>3857</v>
      </c>
      <c r="D292" s="3173" t="s">
        <v>4436</v>
      </c>
      <c r="E292" s="3172" t="s">
        <v>4437</v>
      </c>
      <c r="F292" s="3179" t="s">
        <v>3324</v>
      </c>
      <c r="G292" s="3171">
        <v>-121</v>
      </c>
      <c r="H292" s="3174">
        <v>16.02</v>
      </c>
      <c r="I292" s="3175">
        <v>560700</v>
      </c>
      <c r="J292" s="3176" t="s">
        <v>3453</v>
      </c>
      <c r="K292" s="3163"/>
      <c r="M292" s="3163"/>
    </row>
    <row r="293" spans="1:13" ht="16.5">
      <c r="A293" s="3170">
        <v>291</v>
      </c>
      <c r="B293" s="3171" t="s">
        <v>3597</v>
      </c>
      <c r="C293" s="3172" t="s">
        <v>3857</v>
      </c>
      <c r="D293" s="3173" t="s">
        <v>4438</v>
      </c>
      <c r="E293" s="3172" t="s">
        <v>4439</v>
      </c>
      <c r="F293" s="3179" t="s">
        <v>3324</v>
      </c>
      <c r="G293" s="3171">
        <v>-122</v>
      </c>
      <c r="H293" s="3174">
        <v>30.5</v>
      </c>
      <c r="I293" s="3175">
        <v>1067500</v>
      </c>
      <c r="J293" s="3176" t="s">
        <v>3453</v>
      </c>
      <c r="K293" s="3163"/>
      <c r="M293" s="3163"/>
    </row>
    <row r="294" spans="1:13" ht="16.5">
      <c r="A294" s="3170">
        <v>292</v>
      </c>
      <c r="B294" s="3171" t="s">
        <v>3597</v>
      </c>
      <c r="C294" s="3172" t="s">
        <v>3857</v>
      </c>
      <c r="D294" s="3173" t="s">
        <v>4440</v>
      </c>
      <c r="E294" s="3172" t="s">
        <v>4441</v>
      </c>
      <c r="F294" s="3179" t="s">
        <v>3324</v>
      </c>
      <c r="G294" s="3171">
        <v>-123</v>
      </c>
      <c r="H294" s="3174">
        <v>15.08</v>
      </c>
      <c r="I294" s="3175">
        <v>527800</v>
      </c>
      <c r="J294" s="3176" t="s">
        <v>3453</v>
      </c>
      <c r="K294" s="3163"/>
      <c r="M294" s="3163"/>
    </row>
    <row r="295" spans="1:13" ht="16.5">
      <c r="A295" s="3170">
        <v>293</v>
      </c>
      <c r="B295" s="3171" t="s">
        <v>3597</v>
      </c>
      <c r="C295" s="3172" t="s">
        <v>3857</v>
      </c>
      <c r="D295" s="3173" t="s">
        <v>4442</v>
      </c>
      <c r="E295" s="3172" t="s">
        <v>4443</v>
      </c>
      <c r="F295" s="3179" t="s">
        <v>3324</v>
      </c>
      <c r="G295" s="3171">
        <v>-125</v>
      </c>
      <c r="H295" s="3174">
        <v>18.850000000000001</v>
      </c>
      <c r="I295" s="3175">
        <v>659750</v>
      </c>
      <c r="J295" s="3176" t="s">
        <v>3453</v>
      </c>
      <c r="K295" s="3163"/>
      <c r="M295" s="3163"/>
    </row>
    <row r="296" spans="1:13" ht="16.5">
      <c r="A296" s="3170">
        <v>294</v>
      </c>
      <c r="B296" s="3171" t="s">
        <v>3597</v>
      </c>
      <c r="C296" s="3172" t="s">
        <v>3857</v>
      </c>
      <c r="D296" s="3173" t="s">
        <v>4444</v>
      </c>
      <c r="E296" s="3172" t="s">
        <v>4445</v>
      </c>
      <c r="F296" s="3179" t="s">
        <v>3324</v>
      </c>
      <c r="G296" s="3171">
        <v>-126</v>
      </c>
      <c r="H296" s="3174">
        <v>15.08</v>
      </c>
      <c r="I296" s="3175">
        <v>527800</v>
      </c>
      <c r="J296" s="3176" t="s">
        <v>3453</v>
      </c>
      <c r="K296" s="3163"/>
      <c r="M296" s="3163"/>
    </row>
    <row r="297" spans="1:13" ht="16.5">
      <c r="A297" s="3170">
        <v>295</v>
      </c>
      <c r="B297" s="3171" t="s">
        <v>3597</v>
      </c>
      <c r="C297" s="3172" t="s">
        <v>3857</v>
      </c>
      <c r="D297" s="3173" t="s">
        <v>4446</v>
      </c>
      <c r="E297" s="3172" t="s">
        <v>4447</v>
      </c>
      <c r="F297" s="3179" t="s">
        <v>3324</v>
      </c>
      <c r="G297" s="3171">
        <v>-127</v>
      </c>
      <c r="H297" s="3174">
        <v>27.19</v>
      </c>
      <c r="I297" s="3175">
        <v>951650</v>
      </c>
      <c r="J297" s="3176" t="s">
        <v>3453</v>
      </c>
      <c r="K297" s="3163"/>
      <c r="M297" s="3163"/>
    </row>
    <row r="298" spans="1:13" ht="16.5">
      <c r="A298" s="3170">
        <v>296</v>
      </c>
      <c r="B298" s="3171" t="s">
        <v>3597</v>
      </c>
      <c r="C298" s="3172" t="s">
        <v>3857</v>
      </c>
      <c r="D298" s="3173" t="s">
        <v>4448</v>
      </c>
      <c r="E298" s="3172" t="s">
        <v>4449</v>
      </c>
      <c r="F298" s="3179" t="s">
        <v>3324</v>
      </c>
      <c r="G298" s="3171">
        <v>-128</v>
      </c>
      <c r="H298" s="3174">
        <v>19.48</v>
      </c>
      <c r="I298" s="3175">
        <v>681800</v>
      </c>
      <c r="J298" s="3176" t="s">
        <v>3453</v>
      </c>
      <c r="K298" s="3163"/>
      <c r="M298" s="3163"/>
    </row>
    <row r="299" spans="1:13" ht="16.5">
      <c r="A299" s="3170">
        <v>297</v>
      </c>
      <c r="B299" s="3171" t="s">
        <v>3597</v>
      </c>
      <c r="C299" s="3172" t="s">
        <v>3857</v>
      </c>
      <c r="D299" s="3173" t="s">
        <v>4450</v>
      </c>
      <c r="E299" s="3172" t="s">
        <v>4451</v>
      </c>
      <c r="F299" s="3179" t="s">
        <v>3324</v>
      </c>
      <c r="G299" s="3171">
        <v>-130</v>
      </c>
      <c r="H299" s="3174">
        <v>15.08</v>
      </c>
      <c r="I299" s="3175">
        <v>527800</v>
      </c>
      <c r="J299" s="3176" t="s">
        <v>3453</v>
      </c>
      <c r="K299" s="3163"/>
      <c r="M299" s="3163"/>
    </row>
    <row r="300" spans="1:13" ht="16.5">
      <c r="A300" s="3170">
        <v>298</v>
      </c>
      <c r="B300" s="3171" t="s">
        <v>3597</v>
      </c>
      <c r="C300" s="3172" t="s">
        <v>3857</v>
      </c>
      <c r="D300" s="3173" t="s">
        <v>4452</v>
      </c>
      <c r="E300" s="3172" t="s">
        <v>4453</v>
      </c>
      <c r="F300" s="3179" t="s">
        <v>3324</v>
      </c>
      <c r="G300" s="3171">
        <v>-203</v>
      </c>
      <c r="H300" s="3174">
        <v>16.489999999999998</v>
      </c>
      <c r="I300" s="3175">
        <v>577150</v>
      </c>
      <c r="J300" s="3176" t="s">
        <v>3453</v>
      </c>
      <c r="K300" s="3163"/>
      <c r="M300" s="3163"/>
    </row>
    <row r="301" spans="1:13" ht="16.5">
      <c r="A301" s="3170">
        <v>299</v>
      </c>
      <c r="B301" s="3171" t="s">
        <v>3597</v>
      </c>
      <c r="C301" s="3172" t="s">
        <v>3857</v>
      </c>
      <c r="D301" s="3173" t="s">
        <v>4454</v>
      </c>
      <c r="E301" s="3172" t="s">
        <v>4455</v>
      </c>
      <c r="F301" s="3179" t="s">
        <v>3324</v>
      </c>
      <c r="G301" s="3171">
        <v>-210</v>
      </c>
      <c r="H301" s="3174">
        <v>19.71</v>
      </c>
      <c r="I301" s="3175">
        <v>689850</v>
      </c>
      <c r="J301" s="3176" t="s">
        <v>3453</v>
      </c>
      <c r="K301" s="3163"/>
      <c r="M301" s="3163"/>
    </row>
    <row r="302" spans="1:13" ht="16.5">
      <c r="A302" s="3170">
        <v>300</v>
      </c>
      <c r="B302" s="3171" t="s">
        <v>3597</v>
      </c>
      <c r="C302" s="3172" t="s">
        <v>3857</v>
      </c>
      <c r="D302" s="3173" t="s">
        <v>4456</v>
      </c>
      <c r="E302" s="3172" t="s">
        <v>4457</v>
      </c>
      <c r="F302" s="3179" t="s">
        <v>3324</v>
      </c>
      <c r="G302" s="3171">
        <v>-211</v>
      </c>
      <c r="H302" s="3174">
        <v>17.079999999999998</v>
      </c>
      <c r="I302" s="3175">
        <v>597800</v>
      </c>
      <c r="J302" s="3176" t="s">
        <v>3453</v>
      </c>
      <c r="K302" s="3163"/>
      <c r="M302" s="3163"/>
    </row>
    <row r="303" spans="1:13" ht="16.5">
      <c r="A303" s="3170">
        <v>301</v>
      </c>
      <c r="B303" s="3171" t="s">
        <v>3597</v>
      </c>
      <c r="C303" s="3172" t="s">
        <v>3857</v>
      </c>
      <c r="D303" s="3173" t="s">
        <v>4458</v>
      </c>
      <c r="E303" s="3172" t="s">
        <v>4459</v>
      </c>
      <c r="F303" s="3179" t="s">
        <v>3324</v>
      </c>
      <c r="G303" s="3171">
        <v>-212</v>
      </c>
      <c r="H303" s="3174">
        <v>19.04</v>
      </c>
      <c r="I303" s="3175">
        <v>666400</v>
      </c>
      <c r="J303" s="3176" t="s">
        <v>3453</v>
      </c>
      <c r="K303" s="3163"/>
      <c r="M303" s="3163"/>
    </row>
    <row r="304" spans="1:13" ht="16.5">
      <c r="A304" s="3170">
        <v>302</v>
      </c>
      <c r="B304" s="3171" t="s">
        <v>3597</v>
      </c>
      <c r="C304" s="3172" t="s">
        <v>3857</v>
      </c>
      <c r="D304" s="3173" t="s">
        <v>4460</v>
      </c>
      <c r="E304" s="3172" t="s">
        <v>4461</v>
      </c>
      <c r="F304" s="3179" t="s">
        <v>3324</v>
      </c>
      <c r="G304" s="3171">
        <v>-213</v>
      </c>
      <c r="H304" s="3174">
        <v>16.489999999999998</v>
      </c>
      <c r="I304" s="3175">
        <v>577150</v>
      </c>
      <c r="J304" s="3176" t="s">
        <v>3453</v>
      </c>
      <c r="K304" s="3163"/>
      <c r="M304" s="3163"/>
    </row>
    <row r="305" spans="1:13" ht="16.5">
      <c r="A305" s="3170">
        <v>303</v>
      </c>
      <c r="B305" s="3171" t="s">
        <v>3606</v>
      </c>
      <c r="C305" s="3172" t="s">
        <v>3857</v>
      </c>
      <c r="D305" s="3173" t="s">
        <v>4462</v>
      </c>
      <c r="E305" s="3172" t="s">
        <v>4463</v>
      </c>
      <c r="F305" s="3179" t="s">
        <v>3324</v>
      </c>
      <c r="G305" s="3171">
        <v>-102</v>
      </c>
      <c r="H305" s="3174">
        <v>42.57</v>
      </c>
      <c r="I305" s="3175">
        <v>1489950</v>
      </c>
      <c r="J305" s="3176" t="s">
        <v>3453</v>
      </c>
      <c r="K305" s="3163"/>
      <c r="M305" s="3163"/>
    </row>
    <row r="306" spans="1:13" ht="16.5">
      <c r="A306" s="3170">
        <v>304</v>
      </c>
      <c r="B306" s="3171" t="s">
        <v>3606</v>
      </c>
      <c r="C306" s="3172" t="s">
        <v>3857</v>
      </c>
      <c r="D306" s="3173" t="s">
        <v>4464</v>
      </c>
      <c r="E306" s="3172" t="s">
        <v>4465</v>
      </c>
      <c r="F306" s="3179" t="s">
        <v>3324</v>
      </c>
      <c r="G306" s="3171">
        <v>-103</v>
      </c>
      <c r="H306" s="3174">
        <v>47.19</v>
      </c>
      <c r="I306" s="3175">
        <v>1651650</v>
      </c>
      <c r="J306" s="3176" t="s">
        <v>3453</v>
      </c>
      <c r="K306" s="3163"/>
      <c r="M306" s="3163"/>
    </row>
    <row r="307" spans="1:13" ht="16.5">
      <c r="A307" s="3170">
        <v>305</v>
      </c>
      <c r="B307" s="3171" t="s">
        <v>3606</v>
      </c>
      <c r="C307" s="3172" t="s">
        <v>3857</v>
      </c>
      <c r="D307" s="3173" t="s">
        <v>4466</v>
      </c>
      <c r="E307" s="3172" t="s">
        <v>4467</v>
      </c>
      <c r="F307" s="3179" t="s">
        <v>3324</v>
      </c>
      <c r="G307" s="3171">
        <v>-104</v>
      </c>
      <c r="H307" s="3174">
        <v>62.37</v>
      </c>
      <c r="I307" s="3175">
        <v>2182950</v>
      </c>
      <c r="J307" s="3176" t="s">
        <v>3453</v>
      </c>
      <c r="K307" s="3163"/>
      <c r="M307" s="3163"/>
    </row>
    <row r="308" spans="1:13" ht="16.5">
      <c r="A308" s="3170">
        <v>306</v>
      </c>
      <c r="B308" s="3171" t="s">
        <v>3606</v>
      </c>
      <c r="C308" s="3172" t="s">
        <v>3857</v>
      </c>
      <c r="D308" s="3173" t="s">
        <v>4468</v>
      </c>
      <c r="E308" s="3172" t="s">
        <v>4469</v>
      </c>
      <c r="F308" s="3179" t="s">
        <v>3324</v>
      </c>
      <c r="G308" s="3171">
        <v>-105</v>
      </c>
      <c r="H308" s="3174">
        <v>61.41</v>
      </c>
      <c r="I308" s="3175">
        <v>2149350</v>
      </c>
      <c r="J308" s="3176" t="s">
        <v>3453</v>
      </c>
      <c r="K308" s="3163"/>
      <c r="M308" s="3163"/>
    </row>
    <row r="309" spans="1:13" ht="16.5">
      <c r="A309" s="3170">
        <v>307</v>
      </c>
      <c r="B309" s="3171" t="s">
        <v>3606</v>
      </c>
      <c r="C309" s="3172" t="s">
        <v>3857</v>
      </c>
      <c r="D309" s="3173" t="s">
        <v>4470</v>
      </c>
      <c r="E309" s="3172" t="s">
        <v>4471</v>
      </c>
      <c r="F309" s="3179" t="s">
        <v>3324</v>
      </c>
      <c r="G309" s="3171">
        <v>-106</v>
      </c>
      <c r="H309" s="3174">
        <v>61.41</v>
      </c>
      <c r="I309" s="3175">
        <v>2149350</v>
      </c>
      <c r="J309" s="3176" t="s">
        <v>3453</v>
      </c>
      <c r="K309" s="3163"/>
      <c r="M309" s="3163"/>
    </row>
    <row r="310" spans="1:13" ht="16.5">
      <c r="A310" s="3170">
        <v>308</v>
      </c>
      <c r="B310" s="3171" t="s">
        <v>3606</v>
      </c>
      <c r="C310" s="3172" t="s">
        <v>3857</v>
      </c>
      <c r="D310" s="3173" t="s">
        <v>4472</v>
      </c>
      <c r="E310" s="3172" t="s">
        <v>4473</v>
      </c>
      <c r="F310" s="3179" t="s">
        <v>3324</v>
      </c>
      <c r="G310" s="3171">
        <v>-107</v>
      </c>
      <c r="H310" s="3174">
        <v>62.37</v>
      </c>
      <c r="I310" s="3175">
        <v>2182950</v>
      </c>
      <c r="J310" s="3176" t="s">
        <v>3453</v>
      </c>
      <c r="K310" s="3163"/>
      <c r="M310" s="3163"/>
    </row>
    <row r="311" spans="1:13" ht="16.5">
      <c r="A311" s="3170">
        <v>309</v>
      </c>
      <c r="B311" s="3171" t="s">
        <v>3606</v>
      </c>
      <c r="C311" s="3172" t="s">
        <v>3857</v>
      </c>
      <c r="D311" s="3173" t="s">
        <v>4474</v>
      </c>
      <c r="E311" s="3172" t="s">
        <v>4475</v>
      </c>
      <c r="F311" s="3179" t="s">
        <v>3324</v>
      </c>
      <c r="G311" s="3171">
        <v>-108</v>
      </c>
      <c r="H311" s="3174">
        <v>47.19</v>
      </c>
      <c r="I311" s="3175">
        <v>1651650</v>
      </c>
      <c r="J311" s="3176" t="s">
        <v>3453</v>
      </c>
      <c r="K311" s="3163"/>
      <c r="M311" s="3163"/>
    </row>
    <row r="312" spans="1:13" ht="16.5">
      <c r="A312" s="3170">
        <v>310</v>
      </c>
      <c r="B312" s="3171" t="s">
        <v>3606</v>
      </c>
      <c r="C312" s="3172" t="s">
        <v>3857</v>
      </c>
      <c r="D312" s="3173" t="s">
        <v>4476</v>
      </c>
      <c r="E312" s="3172" t="s">
        <v>4477</v>
      </c>
      <c r="F312" s="3179" t="s">
        <v>3324</v>
      </c>
      <c r="G312" s="3171">
        <v>-109</v>
      </c>
      <c r="H312" s="3174">
        <v>42.78</v>
      </c>
      <c r="I312" s="3175">
        <v>1497300</v>
      </c>
      <c r="J312" s="3176" t="s">
        <v>3453</v>
      </c>
      <c r="K312" s="3163"/>
      <c r="M312" s="3163"/>
    </row>
    <row r="313" spans="1:13" ht="16.5">
      <c r="A313" s="3170">
        <v>311</v>
      </c>
      <c r="B313" s="3171" t="s">
        <v>3606</v>
      </c>
      <c r="C313" s="3172" t="s">
        <v>3857</v>
      </c>
      <c r="D313" s="3173" t="s">
        <v>4478</v>
      </c>
      <c r="E313" s="3172" t="s">
        <v>4479</v>
      </c>
      <c r="F313" s="3179" t="s">
        <v>3324</v>
      </c>
      <c r="G313" s="3171">
        <v>-110</v>
      </c>
      <c r="H313" s="3174">
        <v>42.78</v>
      </c>
      <c r="I313" s="3175">
        <v>1497300</v>
      </c>
      <c r="J313" s="3176" t="s">
        <v>3453</v>
      </c>
      <c r="K313" s="3163"/>
      <c r="M313" s="3163"/>
    </row>
    <row r="314" spans="1:13" ht="16.5">
      <c r="A314" s="3170">
        <v>312</v>
      </c>
      <c r="B314" s="3171" t="s">
        <v>3606</v>
      </c>
      <c r="C314" s="3172" t="s">
        <v>3857</v>
      </c>
      <c r="D314" s="3173" t="s">
        <v>4480</v>
      </c>
      <c r="E314" s="3172" t="s">
        <v>4481</v>
      </c>
      <c r="F314" s="3179" t="s">
        <v>3324</v>
      </c>
      <c r="G314" s="3171">
        <v>-111</v>
      </c>
      <c r="H314" s="3174">
        <v>47.19</v>
      </c>
      <c r="I314" s="3175">
        <v>1651650</v>
      </c>
      <c r="J314" s="3176" t="s">
        <v>3453</v>
      </c>
      <c r="K314" s="3163"/>
      <c r="M314" s="3163"/>
    </row>
    <row r="315" spans="1:13" ht="16.5">
      <c r="A315" s="3170">
        <v>313</v>
      </c>
      <c r="B315" s="3171" t="s">
        <v>3606</v>
      </c>
      <c r="C315" s="3172" t="s">
        <v>3857</v>
      </c>
      <c r="D315" s="3173" t="s">
        <v>4482</v>
      </c>
      <c r="E315" s="3172" t="s">
        <v>4483</v>
      </c>
      <c r="F315" s="3179" t="s">
        <v>3324</v>
      </c>
      <c r="G315" s="3171">
        <v>-112</v>
      </c>
      <c r="H315" s="3174">
        <v>62.37</v>
      </c>
      <c r="I315" s="3175">
        <v>2182950</v>
      </c>
      <c r="J315" s="3176" t="s">
        <v>3453</v>
      </c>
      <c r="K315" s="3163"/>
      <c r="M315" s="3163"/>
    </row>
    <row r="316" spans="1:13" ht="16.5">
      <c r="A316" s="3170">
        <v>314</v>
      </c>
      <c r="B316" s="3171" t="s">
        <v>3606</v>
      </c>
      <c r="C316" s="3172" t="s">
        <v>3857</v>
      </c>
      <c r="D316" s="3173" t="s">
        <v>4484</v>
      </c>
      <c r="E316" s="3172" t="s">
        <v>4485</v>
      </c>
      <c r="F316" s="3179" t="s">
        <v>3324</v>
      </c>
      <c r="G316" s="3171">
        <v>-113</v>
      </c>
      <c r="H316" s="3174">
        <v>61.41</v>
      </c>
      <c r="I316" s="3175">
        <v>2149350</v>
      </c>
      <c r="J316" s="3176" t="s">
        <v>3453</v>
      </c>
      <c r="K316" s="3163"/>
      <c r="M316" s="3163"/>
    </row>
    <row r="317" spans="1:13" ht="16.5">
      <c r="A317" s="3170">
        <v>315</v>
      </c>
      <c r="B317" s="3171" t="s">
        <v>3606</v>
      </c>
      <c r="C317" s="3172" t="s">
        <v>3857</v>
      </c>
      <c r="D317" s="3173" t="s">
        <v>4486</v>
      </c>
      <c r="E317" s="3172" t="s">
        <v>4487</v>
      </c>
      <c r="F317" s="3179" t="s">
        <v>3324</v>
      </c>
      <c r="G317" s="3171">
        <v>-120</v>
      </c>
      <c r="H317" s="3174">
        <v>14.91</v>
      </c>
      <c r="I317" s="3175">
        <v>521850</v>
      </c>
      <c r="J317" s="3176" t="s">
        <v>3453</v>
      </c>
      <c r="K317" s="3163"/>
      <c r="M317" s="3163"/>
    </row>
    <row r="318" spans="1:13" ht="16.5">
      <c r="A318" s="3170">
        <v>316</v>
      </c>
      <c r="B318" s="3171" t="s">
        <v>3606</v>
      </c>
      <c r="C318" s="3172" t="s">
        <v>3857</v>
      </c>
      <c r="D318" s="3173" t="s">
        <v>4488</v>
      </c>
      <c r="E318" s="3172" t="s">
        <v>4489</v>
      </c>
      <c r="F318" s="3179" t="s">
        <v>3324</v>
      </c>
      <c r="G318" s="3171">
        <v>-201</v>
      </c>
      <c r="H318" s="3174">
        <v>22.9</v>
      </c>
      <c r="I318" s="3175">
        <v>801500</v>
      </c>
      <c r="J318" s="3176" t="s">
        <v>3453</v>
      </c>
      <c r="K318" s="3163"/>
      <c r="M318" s="3163"/>
    </row>
    <row r="319" spans="1:13" ht="16.5">
      <c r="A319" s="3170">
        <v>317</v>
      </c>
      <c r="B319" s="3171" t="s">
        <v>3606</v>
      </c>
      <c r="C319" s="3172" t="s">
        <v>3857</v>
      </c>
      <c r="D319" s="3173" t="s">
        <v>4490</v>
      </c>
      <c r="E319" s="3172" t="s">
        <v>4491</v>
      </c>
      <c r="F319" s="3179" t="s">
        <v>3324</v>
      </c>
      <c r="G319" s="3171">
        <v>-202</v>
      </c>
      <c r="H319" s="3174">
        <v>22.9</v>
      </c>
      <c r="I319" s="3175">
        <v>801500</v>
      </c>
      <c r="J319" s="3176" t="s">
        <v>3453</v>
      </c>
      <c r="K319" s="3163"/>
      <c r="M319" s="3163"/>
    </row>
    <row r="320" spans="1:13" ht="16.5">
      <c r="A320" s="3170">
        <v>318</v>
      </c>
      <c r="B320" s="3171" t="s">
        <v>3606</v>
      </c>
      <c r="C320" s="3172" t="s">
        <v>3857</v>
      </c>
      <c r="D320" s="3173" t="s">
        <v>4492</v>
      </c>
      <c r="E320" s="3172" t="s">
        <v>4493</v>
      </c>
      <c r="F320" s="3179" t="s">
        <v>3324</v>
      </c>
      <c r="G320" s="3171">
        <v>-203</v>
      </c>
      <c r="H320" s="3174">
        <v>22.9</v>
      </c>
      <c r="I320" s="3175">
        <v>801500</v>
      </c>
      <c r="J320" s="3176" t="s">
        <v>3453</v>
      </c>
      <c r="K320" s="3163"/>
      <c r="M320" s="3163"/>
    </row>
    <row r="321" spans="1:13" ht="16.5">
      <c r="A321" s="3170">
        <v>319</v>
      </c>
      <c r="B321" s="3171" t="s">
        <v>3648</v>
      </c>
      <c r="C321" s="3172" t="s">
        <v>3857</v>
      </c>
      <c r="D321" s="3173" t="s">
        <v>4494</v>
      </c>
      <c r="E321" s="3172" t="s">
        <v>4495</v>
      </c>
      <c r="F321" s="3179" t="s">
        <v>3324</v>
      </c>
      <c r="G321" s="3171">
        <v>-106</v>
      </c>
      <c r="H321" s="3174">
        <v>34.520000000000003</v>
      </c>
      <c r="I321" s="3175">
        <v>1208200</v>
      </c>
      <c r="J321" s="3176" t="s">
        <v>3453</v>
      </c>
      <c r="K321" s="3163"/>
      <c r="M321" s="3163"/>
    </row>
    <row r="322" spans="1:13" ht="16.5">
      <c r="A322" s="3170">
        <v>320</v>
      </c>
      <c r="B322" s="3171" t="s">
        <v>3648</v>
      </c>
      <c r="C322" s="3172" t="s">
        <v>3857</v>
      </c>
      <c r="D322" s="3173" t="s">
        <v>4496</v>
      </c>
      <c r="E322" s="3172" t="s">
        <v>4497</v>
      </c>
      <c r="F322" s="3179" t="s">
        <v>3324</v>
      </c>
      <c r="G322" s="3171">
        <v>-107</v>
      </c>
      <c r="H322" s="3174">
        <v>63.28</v>
      </c>
      <c r="I322" s="3175">
        <v>2214800</v>
      </c>
      <c r="J322" s="3176" t="s">
        <v>3453</v>
      </c>
      <c r="K322" s="3163"/>
      <c r="M322" s="3163"/>
    </row>
    <row r="323" spans="1:13" ht="16.5">
      <c r="A323" s="3170">
        <v>321</v>
      </c>
      <c r="B323" s="3171" t="s">
        <v>3648</v>
      </c>
      <c r="C323" s="3172" t="s">
        <v>3857</v>
      </c>
      <c r="D323" s="3173" t="s">
        <v>4498</v>
      </c>
      <c r="E323" s="3172" t="s">
        <v>4499</v>
      </c>
      <c r="F323" s="3179" t="s">
        <v>3324</v>
      </c>
      <c r="G323" s="3171">
        <v>-108</v>
      </c>
      <c r="H323" s="3174">
        <v>47.64</v>
      </c>
      <c r="I323" s="3175">
        <v>1667400</v>
      </c>
      <c r="J323" s="3176" t="s">
        <v>3453</v>
      </c>
      <c r="K323" s="3163"/>
      <c r="M323" s="3163"/>
    </row>
    <row r="324" spans="1:13" ht="16.5">
      <c r="A324" s="3170">
        <v>322</v>
      </c>
      <c r="B324" s="3171" t="s">
        <v>3648</v>
      </c>
      <c r="C324" s="3172" t="s">
        <v>3857</v>
      </c>
      <c r="D324" s="3173" t="s">
        <v>4500</v>
      </c>
      <c r="E324" s="3172" t="s">
        <v>4501</v>
      </c>
      <c r="F324" s="3179" t="s">
        <v>3324</v>
      </c>
      <c r="G324" s="3171">
        <v>-109</v>
      </c>
      <c r="H324" s="3174">
        <v>47.64</v>
      </c>
      <c r="I324" s="3175">
        <v>1667400</v>
      </c>
      <c r="J324" s="3176" t="s">
        <v>3453</v>
      </c>
      <c r="K324" s="3163"/>
      <c r="M324" s="3163"/>
    </row>
    <row r="325" spans="1:13" ht="16.5">
      <c r="A325" s="3170">
        <v>323</v>
      </c>
      <c r="B325" s="3171" t="s">
        <v>3648</v>
      </c>
      <c r="C325" s="3172" t="s">
        <v>3857</v>
      </c>
      <c r="D325" s="3173" t="s">
        <v>4502</v>
      </c>
      <c r="E325" s="3172" t="s">
        <v>4503</v>
      </c>
      <c r="F325" s="3179" t="s">
        <v>3324</v>
      </c>
      <c r="G325" s="3171">
        <v>-110</v>
      </c>
      <c r="H325" s="3174">
        <v>63.28</v>
      </c>
      <c r="I325" s="3175">
        <v>2214800</v>
      </c>
      <c r="J325" s="3176" t="s">
        <v>3453</v>
      </c>
      <c r="K325" s="3163"/>
      <c r="M325" s="3163"/>
    </row>
    <row r="326" spans="1:13" ht="16.5">
      <c r="A326" s="3170">
        <v>324</v>
      </c>
      <c r="B326" s="3171" t="s">
        <v>3648</v>
      </c>
      <c r="C326" s="3172" t="s">
        <v>3857</v>
      </c>
      <c r="D326" s="3173" t="s">
        <v>4504</v>
      </c>
      <c r="E326" s="3172" t="s">
        <v>4505</v>
      </c>
      <c r="F326" s="3179" t="s">
        <v>3324</v>
      </c>
      <c r="G326" s="3171">
        <v>-111</v>
      </c>
      <c r="H326" s="3174">
        <v>34.520000000000003</v>
      </c>
      <c r="I326" s="3175">
        <v>1208200</v>
      </c>
      <c r="J326" s="3176" t="s">
        <v>3453</v>
      </c>
      <c r="K326" s="3163"/>
      <c r="M326" s="3163"/>
    </row>
    <row r="327" spans="1:13" ht="16.5">
      <c r="A327" s="3170">
        <v>325</v>
      </c>
      <c r="B327" s="3171" t="s">
        <v>3648</v>
      </c>
      <c r="C327" s="3172" t="s">
        <v>3857</v>
      </c>
      <c r="D327" s="3173" t="s">
        <v>4506</v>
      </c>
      <c r="E327" s="3172" t="s">
        <v>4507</v>
      </c>
      <c r="F327" s="3179" t="s">
        <v>3324</v>
      </c>
      <c r="G327" s="3171">
        <v>-112</v>
      </c>
      <c r="H327" s="3174">
        <v>34.520000000000003</v>
      </c>
      <c r="I327" s="3175">
        <v>1208200</v>
      </c>
      <c r="J327" s="3176" t="s">
        <v>3453</v>
      </c>
      <c r="K327" s="3163"/>
      <c r="M327" s="3163"/>
    </row>
    <row r="328" spans="1:13" ht="16.5">
      <c r="A328" s="3170">
        <v>326</v>
      </c>
      <c r="B328" s="3171" t="s">
        <v>3648</v>
      </c>
      <c r="C328" s="3172" t="s">
        <v>3857</v>
      </c>
      <c r="D328" s="3173" t="s">
        <v>4508</v>
      </c>
      <c r="E328" s="3172" t="s">
        <v>4509</v>
      </c>
      <c r="F328" s="3179" t="s">
        <v>3324</v>
      </c>
      <c r="G328" s="3171">
        <v>-113</v>
      </c>
      <c r="H328" s="3174">
        <v>63.57</v>
      </c>
      <c r="I328" s="3175">
        <v>2224950</v>
      </c>
      <c r="J328" s="3176" t="s">
        <v>3453</v>
      </c>
      <c r="K328" s="3163"/>
      <c r="M328" s="3163"/>
    </row>
    <row r="329" spans="1:13" ht="16.5">
      <c r="A329" s="3170">
        <v>327</v>
      </c>
      <c r="B329" s="3171" t="s">
        <v>3648</v>
      </c>
      <c r="C329" s="3172" t="s">
        <v>3857</v>
      </c>
      <c r="D329" s="3173" t="s">
        <v>4510</v>
      </c>
      <c r="E329" s="3172" t="s">
        <v>4511</v>
      </c>
      <c r="F329" s="3179" t="s">
        <v>3324</v>
      </c>
      <c r="G329" s="3171">
        <v>-114</v>
      </c>
      <c r="H329" s="3174">
        <v>57.85</v>
      </c>
      <c r="I329" s="3175">
        <v>2024750</v>
      </c>
      <c r="J329" s="3176" t="s">
        <v>3453</v>
      </c>
      <c r="K329" s="3163"/>
      <c r="M329" s="3163"/>
    </row>
    <row r="330" spans="1:13" ht="16.5">
      <c r="A330" s="3170">
        <v>328</v>
      </c>
      <c r="B330" s="3171" t="s">
        <v>3648</v>
      </c>
      <c r="C330" s="3172" t="s">
        <v>3857</v>
      </c>
      <c r="D330" s="3173" t="s">
        <v>4512</v>
      </c>
      <c r="E330" s="3172" t="s">
        <v>4513</v>
      </c>
      <c r="F330" s="3179" t="s">
        <v>3324</v>
      </c>
      <c r="G330" s="3171">
        <v>-115</v>
      </c>
      <c r="H330" s="3174">
        <v>30.97</v>
      </c>
      <c r="I330" s="3175">
        <v>1083950</v>
      </c>
      <c r="J330" s="3176" t="s">
        <v>3453</v>
      </c>
      <c r="K330" s="3163"/>
      <c r="M330" s="3163"/>
    </row>
    <row r="331" spans="1:13" ht="16.5">
      <c r="A331" s="3170">
        <v>329</v>
      </c>
      <c r="B331" s="3171" t="s">
        <v>3648</v>
      </c>
      <c r="C331" s="3172" t="s">
        <v>3857</v>
      </c>
      <c r="D331" s="3173" t="s">
        <v>4514</v>
      </c>
      <c r="E331" s="3172" t="s">
        <v>4515</v>
      </c>
      <c r="F331" s="3179" t="s">
        <v>3324</v>
      </c>
      <c r="G331" s="3171">
        <v>-116</v>
      </c>
      <c r="H331" s="3174">
        <v>25.56</v>
      </c>
      <c r="I331" s="3175">
        <v>894600</v>
      </c>
      <c r="J331" s="3176" t="s">
        <v>3453</v>
      </c>
      <c r="K331" s="3163"/>
      <c r="M331" s="3163"/>
    </row>
    <row r="332" spans="1:13" ht="16.5">
      <c r="A332" s="3170">
        <v>330</v>
      </c>
      <c r="B332" s="3171" t="s">
        <v>3648</v>
      </c>
      <c r="C332" s="3172" t="s">
        <v>3857</v>
      </c>
      <c r="D332" s="3173" t="s">
        <v>4516</v>
      </c>
      <c r="E332" s="3172" t="s">
        <v>4517</v>
      </c>
      <c r="F332" s="3179" t="s">
        <v>3324</v>
      </c>
      <c r="G332" s="3171">
        <v>-202</v>
      </c>
      <c r="H332" s="3174">
        <v>20.2</v>
      </c>
      <c r="I332" s="3175">
        <v>707000</v>
      </c>
      <c r="J332" s="3176" t="s">
        <v>3453</v>
      </c>
      <c r="K332" s="3163"/>
      <c r="M332" s="3163"/>
    </row>
    <row r="333" spans="1:13" ht="16.5">
      <c r="A333" s="3170">
        <v>331</v>
      </c>
      <c r="B333" s="3171" t="s">
        <v>3648</v>
      </c>
      <c r="C333" s="3172" t="s">
        <v>3857</v>
      </c>
      <c r="D333" s="3173" t="s">
        <v>4518</v>
      </c>
      <c r="E333" s="3172" t="s">
        <v>4519</v>
      </c>
      <c r="F333" s="3179" t="s">
        <v>3324</v>
      </c>
      <c r="G333" s="3171">
        <v>-203</v>
      </c>
      <c r="H333" s="3174">
        <v>17.68</v>
      </c>
      <c r="I333" s="3175">
        <v>618800</v>
      </c>
      <c r="J333" s="3176" t="s">
        <v>3453</v>
      </c>
      <c r="K333" s="3163"/>
      <c r="M333" s="3163"/>
    </row>
    <row r="334" spans="1:13" ht="16.5">
      <c r="A334" s="3170">
        <v>332</v>
      </c>
      <c r="B334" s="3171" t="s">
        <v>3648</v>
      </c>
      <c r="C334" s="3172" t="s">
        <v>3857</v>
      </c>
      <c r="D334" s="3173" t="s">
        <v>4520</v>
      </c>
      <c r="E334" s="3172" t="s">
        <v>4521</v>
      </c>
      <c r="F334" s="3179" t="s">
        <v>3324</v>
      </c>
      <c r="G334" s="3171">
        <v>-204</v>
      </c>
      <c r="H334" s="3174">
        <v>20.22</v>
      </c>
      <c r="I334" s="3175">
        <v>707700</v>
      </c>
      <c r="J334" s="3176" t="s">
        <v>3453</v>
      </c>
      <c r="K334" s="3163"/>
      <c r="M334" s="3163"/>
    </row>
    <row r="335" spans="1:13" ht="16.5">
      <c r="A335" s="3170">
        <v>333</v>
      </c>
      <c r="B335" s="3171" t="s">
        <v>3661</v>
      </c>
      <c r="C335" s="3172" t="s">
        <v>3857</v>
      </c>
      <c r="D335" s="3173" t="s">
        <v>4522</v>
      </c>
      <c r="E335" s="3172" t="s">
        <v>4523</v>
      </c>
      <c r="F335" s="3179" t="s">
        <v>3324</v>
      </c>
      <c r="G335" s="3171">
        <v>-106</v>
      </c>
      <c r="H335" s="3174">
        <v>34.020000000000003</v>
      </c>
      <c r="I335" s="3175">
        <v>1190700</v>
      </c>
      <c r="J335" s="3176" t="s">
        <v>3453</v>
      </c>
      <c r="K335" s="3163"/>
      <c r="M335" s="3163"/>
    </row>
    <row r="336" spans="1:13" ht="16.5">
      <c r="A336" s="3170">
        <v>334</v>
      </c>
      <c r="B336" s="3171" t="s">
        <v>3661</v>
      </c>
      <c r="C336" s="3172" t="s">
        <v>3857</v>
      </c>
      <c r="D336" s="3173" t="s">
        <v>4524</v>
      </c>
      <c r="E336" s="3172" t="s">
        <v>4525</v>
      </c>
      <c r="F336" s="3179" t="s">
        <v>3324</v>
      </c>
      <c r="G336" s="3171">
        <v>-107</v>
      </c>
      <c r="H336" s="3174">
        <v>62.35</v>
      </c>
      <c r="I336" s="3175">
        <v>2182250</v>
      </c>
      <c r="J336" s="3176" t="s">
        <v>3453</v>
      </c>
      <c r="K336" s="3163"/>
      <c r="M336" s="3163"/>
    </row>
    <row r="337" spans="1:13" ht="16.5">
      <c r="A337" s="3170">
        <v>335</v>
      </c>
      <c r="B337" s="3171" t="s">
        <v>3661</v>
      </c>
      <c r="C337" s="3172" t="s">
        <v>3857</v>
      </c>
      <c r="D337" s="3173" t="s">
        <v>4526</v>
      </c>
      <c r="E337" s="3172" t="s">
        <v>4527</v>
      </c>
      <c r="F337" s="3179" t="s">
        <v>3324</v>
      </c>
      <c r="G337" s="3171">
        <v>-108</v>
      </c>
      <c r="H337" s="3174">
        <v>47.28</v>
      </c>
      <c r="I337" s="3175">
        <v>1654800</v>
      </c>
      <c r="J337" s="3176" t="s">
        <v>3453</v>
      </c>
      <c r="K337" s="3163"/>
      <c r="M337" s="3163"/>
    </row>
    <row r="338" spans="1:13" ht="16.5">
      <c r="A338" s="3170">
        <v>336</v>
      </c>
      <c r="B338" s="3171" t="s">
        <v>3661</v>
      </c>
      <c r="C338" s="3172" t="s">
        <v>3857</v>
      </c>
      <c r="D338" s="3173" t="s">
        <v>4528</v>
      </c>
      <c r="E338" s="3172" t="s">
        <v>4529</v>
      </c>
      <c r="F338" s="3179" t="s">
        <v>3324</v>
      </c>
      <c r="G338" s="3171">
        <v>-112</v>
      </c>
      <c r="H338" s="3174">
        <v>34.020000000000003</v>
      </c>
      <c r="I338" s="3175">
        <v>1190700</v>
      </c>
      <c r="J338" s="3176" t="s">
        <v>3453</v>
      </c>
      <c r="K338" s="3163"/>
      <c r="M338" s="3163"/>
    </row>
    <row r="339" spans="1:13" ht="16.5">
      <c r="A339" s="3170">
        <v>337</v>
      </c>
      <c r="B339" s="3171" t="s">
        <v>3661</v>
      </c>
      <c r="C339" s="3172" t="s">
        <v>3857</v>
      </c>
      <c r="D339" s="3173" t="s">
        <v>4530</v>
      </c>
      <c r="E339" s="3172" t="s">
        <v>4531</v>
      </c>
      <c r="F339" s="3179" t="s">
        <v>3324</v>
      </c>
      <c r="G339" s="3171">
        <v>-113</v>
      </c>
      <c r="H339" s="3174">
        <v>62.35</v>
      </c>
      <c r="I339" s="3175">
        <v>2182250</v>
      </c>
      <c r="J339" s="3176" t="s">
        <v>3453</v>
      </c>
      <c r="K339" s="3163"/>
      <c r="M339" s="3163"/>
    </row>
    <row r="340" spans="1:13" ht="16.5">
      <c r="A340" s="3170">
        <v>338</v>
      </c>
      <c r="B340" s="3171" t="s">
        <v>3661</v>
      </c>
      <c r="C340" s="3172" t="s">
        <v>3857</v>
      </c>
      <c r="D340" s="3173" t="s">
        <v>4532</v>
      </c>
      <c r="E340" s="3172" t="s">
        <v>4533</v>
      </c>
      <c r="F340" s="3179" t="s">
        <v>3324</v>
      </c>
      <c r="G340" s="3171">
        <v>-114</v>
      </c>
      <c r="H340" s="3174">
        <v>46.95</v>
      </c>
      <c r="I340" s="3175">
        <v>1643250</v>
      </c>
      <c r="J340" s="3176" t="s">
        <v>3453</v>
      </c>
      <c r="K340" s="3163"/>
      <c r="M340" s="3163"/>
    </row>
    <row r="341" spans="1:13" ht="16.5">
      <c r="A341" s="3170">
        <v>339</v>
      </c>
      <c r="B341" s="3171" t="s">
        <v>3661</v>
      </c>
      <c r="C341" s="3172" t="s">
        <v>3857</v>
      </c>
      <c r="D341" s="3173" t="s">
        <v>4534</v>
      </c>
      <c r="E341" s="3172" t="s">
        <v>4535</v>
      </c>
      <c r="F341" s="3179" t="s">
        <v>3324</v>
      </c>
      <c r="G341" s="3171">
        <v>-202</v>
      </c>
      <c r="H341" s="3174">
        <v>19.920000000000002</v>
      </c>
      <c r="I341" s="3175">
        <v>697200</v>
      </c>
      <c r="J341" s="3176" t="s">
        <v>3453</v>
      </c>
      <c r="K341" s="3163"/>
      <c r="M341" s="3163"/>
    </row>
    <row r="342" spans="1:13" ht="16.5">
      <c r="A342" s="3170">
        <v>340</v>
      </c>
      <c r="B342" s="3171" t="s">
        <v>3661</v>
      </c>
      <c r="C342" s="3172" t="s">
        <v>3857</v>
      </c>
      <c r="D342" s="3173" t="s">
        <v>4536</v>
      </c>
      <c r="E342" s="3172" t="s">
        <v>4537</v>
      </c>
      <c r="F342" s="3179" t="s">
        <v>3324</v>
      </c>
      <c r="G342" s="3171">
        <v>-204</v>
      </c>
      <c r="H342" s="3174">
        <v>19.920000000000002</v>
      </c>
      <c r="I342" s="3175">
        <v>697200</v>
      </c>
      <c r="J342" s="3176" t="s">
        <v>3453</v>
      </c>
      <c r="K342" s="3163"/>
      <c r="M342" s="3163"/>
    </row>
    <row r="343" spans="1:13" ht="16.5">
      <c r="A343" s="3170">
        <v>341</v>
      </c>
      <c r="B343" s="3171" t="s">
        <v>3668</v>
      </c>
      <c r="C343" s="3172" t="s">
        <v>3857</v>
      </c>
      <c r="D343" s="3173" t="s">
        <v>4538</v>
      </c>
      <c r="E343" s="3172" t="s">
        <v>4539</v>
      </c>
      <c r="F343" s="3179" t="s">
        <v>3324</v>
      </c>
      <c r="G343" s="3171">
        <v>-101</v>
      </c>
      <c r="H343" s="3174">
        <v>15.2</v>
      </c>
      <c r="I343" s="3175">
        <v>532000</v>
      </c>
      <c r="J343" s="3176" t="s">
        <v>3453</v>
      </c>
      <c r="K343" s="3163"/>
      <c r="M343" s="3163"/>
    </row>
    <row r="344" spans="1:13" ht="16.5">
      <c r="A344" s="3170">
        <v>342</v>
      </c>
      <c r="B344" s="3171" t="s">
        <v>3668</v>
      </c>
      <c r="C344" s="3172" t="s">
        <v>3857</v>
      </c>
      <c r="D344" s="3173" t="s">
        <v>4540</v>
      </c>
      <c r="E344" s="3172" t="s">
        <v>4541</v>
      </c>
      <c r="F344" s="3179" t="s">
        <v>3324</v>
      </c>
      <c r="G344" s="3171">
        <v>-102</v>
      </c>
      <c r="H344" s="3174">
        <v>54.63</v>
      </c>
      <c r="I344" s="3175">
        <v>1912050</v>
      </c>
      <c r="J344" s="3176" t="s">
        <v>3453</v>
      </c>
      <c r="K344" s="3163"/>
      <c r="M344" s="3163"/>
    </row>
    <row r="345" spans="1:13" ht="16.5">
      <c r="A345" s="3170">
        <v>343</v>
      </c>
      <c r="B345" s="3171" t="s">
        <v>3668</v>
      </c>
      <c r="C345" s="3172" t="s">
        <v>3857</v>
      </c>
      <c r="D345" s="3173" t="s">
        <v>4542</v>
      </c>
      <c r="E345" s="3172" t="s">
        <v>4543</v>
      </c>
      <c r="F345" s="3179" t="s">
        <v>3324</v>
      </c>
      <c r="G345" s="3171">
        <v>-103</v>
      </c>
      <c r="H345" s="3174">
        <v>47.35</v>
      </c>
      <c r="I345" s="3175">
        <v>1657250</v>
      </c>
      <c r="J345" s="3176" t="s">
        <v>3453</v>
      </c>
      <c r="K345" s="3163"/>
      <c r="M345" s="3163"/>
    </row>
    <row r="346" spans="1:13" ht="16.5">
      <c r="A346" s="3170">
        <v>344</v>
      </c>
      <c r="B346" s="3171" t="s">
        <v>3668</v>
      </c>
      <c r="C346" s="3172" t="s">
        <v>3857</v>
      </c>
      <c r="D346" s="3173" t="s">
        <v>4544</v>
      </c>
      <c r="E346" s="3172" t="s">
        <v>4545</v>
      </c>
      <c r="F346" s="3179" t="s">
        <v>3324</v>
      </c>
      <c r="G346" s="3171">
        <v>-104</v>
      </c>
      <c r="H346" s="3174">
        <v>62.57</v>
      </c>
      <c r="I346" s="3175">
        <v>2189950</v>
      </c>
      <c r="J346" s="3176" t="s">
        <v>3453</v>
      </c>
      <c r="K346" s="3163"/>
      <c r="M346" s="3163"/>
    </row>
    <row r="347" spans="1:13" ht="16.5">
      <c r="A347" s="3170">
        <v>345</v>
      </c>
      <c r="B347" s="3171" t="s">
        <v>3668</v>
      </c>
      <c r="C347" s="3172" t="s">
        <v>3857</v>
      </c>
      <c r="D347" s="3173" t="s">
        <v>4546</v>
      </c>
      <c r="E347" s="3172" t="s">
        <v>4547</v>
      </c>
      <c r="F347" s="3179" t="s">
        <v>3324</v>
      </c>
      <c r="G347" s="3171">
        <v>-105</v>
      </c>
      <c r="H347" s="3174">
        <v>61.61</v>
      </c>
      <c r="I347" s="3175">
        <v>2156350</v>
      </c>
      <c r="J347" s="3176" t="s">
        <v>3453</v>
      </c>
      <c r="K347" s="3163"/>
      <c r="M347" s="3163"/>
    </row>
    <row r="348" spans="1:13" ht="16.5">
      <c r="A348" s="3170">
        <v>346</v>
      </c>
      <c r="B348" s="3171" t="s">
        <v>3668</v>
      </c>
      <c r="C348" s="3172" t="s">
        <v>3857</v>
      </c>
      <c r="D348" s="3173" t="s">
        <v>4548</v>
      </c>
      <c r="E348" s="3172" t="s">
        <v>4549</v>
      </c>
      <c r="F348" s="3179" t="s">
        <v>3324</v>
      </c>
      <c r="G348" s="3171">
        <v>-106</v>
      </c>
      <c r="H348" s="3174">
        <v>61.61</v>
      </c>
      <c r="I348" s="3175">
        <v>2156350</v>
      </c>
      <c r="J348" s="3176" t="s">
        <v>3453</v>
      </c>
      <c r="K348" s="3163"/>
      <c r="M348" s="3163"/>
    </row>
    <row r="349" spans="1:13" ht="16.5">
      <c r="A349" s="3170">
        <v>347</v>
      </c>
      <c r="B349" s="3171" t="s">
        <v>3668</v>
      </c>
      <c r="C349" s="3172" t="s">
        <v>3857</v>
      </c>
      <c r="D349" s="3173" t="s">
        <v>4550</v>
      </c>
      <c r="E349" s="3172" t="s">
        <v>4551</v>
      </c>
      <c r="F349" s="3179" t="s">
        <v>3324</v>
      </c>
      <c r="G349" s="3171">
        <v>-107</v>
      </c>
      <c r="H349" s="3174">
        <v>62.57</v>
      </c>
      <c r="I349" s="3175">
        <v>2189950</v>
      </c>
      <c r="J349" s="3176" t="s">
        <v>3453</v>
      </c>
      <c r="K349" s="3163"/>
      <c r="M349" s="3163"/>
    </row>
    <row r="350" spans="1:13" ht="16.5">
      <c r="A350" s="3170">
        <v>348</v>
      </c>
      <c r="B350" s="3171" t="s">
        <v>3668</v>
      </c>
      <c r="C350" s="3172" t="s">
        <v>3857</v>
      </c>
      <c r="D350" s="3173" t="s">
        <v>4552</v>
      </c>
      <c r="E350" s="3172" t="s">
        <v>4553</v>
      </c>
      <c r="F350" s="3179" t="s">
        <v>3324</v>
      </c>
      <c r="G350" s="3171">
        <v>-108</v>
      </c>
      <c r="H350" s="3174">
        <v>47.35</v>
      </c>
      <c r="I350" s="3175">
        <v>1657250</v>
      </c>
      <c r="J350" s="3176" t="s">
        <v>3453</v>
      </c>
      <c r="K350" s="3163"/>
      <c r="M350" s="3163"/>
    </row>
    <row r="351" spans="1:13" ht="16.5">
      <c r="A351" s="3170">
        <v>349</v>
      </c>
      <c r="B351" s="3171" t="s">
        <v>3668</v>
      </c>
      <c r="C351" s="3172" t="s">
        <v>3857</v>
      </c>
      <c r="D351" s="3173" t="s">
        <v>4554</v>
      </c>
      <c r="E351" s="3172" t="s">
        <v>4555</v>
      </c>
      <c r="F351" s="3179" t="s">
        <v>3324</v>
      </c>
      <c r="G351" s="3171">
        <v>-109</v>
      </c>
      <c r="H351" s="3174">
        <v>42.93</v>
      </c>
      <c r="I351" s="3175">
        <v>1502550</v>
      </c>
      <c r="J351" s="3176" t="s">
        <v>3453</v>
      </c>
      <c r="K351" s="3163"/>
      <c r="M351" s="3163"/>
    </row>
    <row r="352" spans="1:13" ht="16.5">
      <c r="A352" s="3170">
        <v>350</v>
      </c>
      <c r="B352" s="3171" t="s">
        <v>3668</v>
      </c>
      <c r="C352" s="3172" t="s">
        <v>3857</v>
      </c>
      <c r="D352" s="3173" t="s">
        <v>4556</v>
      </c>
      <c r="E352" s="3172" t="s">
        <v>4557</v>
      </c>
      <c r="F352" s="3179" t="s">
        <v>3324</v>
      </c>
      <c r="G352" s="3171">
        <v>-110</v>
      </c>
      <c r="H352" s="3174">
        <v>42.93</v>
      </c>
      <c r="I352" s="3175">
        <v>1502550</v>
      </c>
      <c r="J352" s="3176" t="s">
        <v>3453</v>
      </c>
      <c r="K352" s="3163"/>
      <c r="M352" s="3163"/>
    </row>
    <row r="353" spans="1:13" ht="16.5">
      <c r="A353" s="3170">
        <v>351</v>
      </c>
      <c r="B353" s="3171" t="s">
        <v>3668</v>
      </c>
      <c r="C353" s="3172" t="s">
        <v>3857</v>
      </c>
      <c r="D353" s="3173" t="s">
        <v>4558</v>
      </c>
      <c r="E353" s="3172" t="s">
        <v>4559</v>
      </c>
      <c r="F353" s="3179" t="s">
        <v>3324</v>
      </c>
      <c r="G353" s="3171">
        <v>-111</v>
      </c>
      <c r="H353" s="3174">
        <v>47.35</v>
      </c>
      <c r="I353" s="3175">
        <v>1657250</v>
      </c>
      <c r="J353" s="3176" t="s">
        <v>3453</v>
      </c>
      <c r="K353" s="3163"/>
      <c r="M353" s="3163"/>
    </row>
    <row r="354" spans="1:13" ht="16.5">
      <c r="A354" s="3170">
        <v>352</v>
      </c>
      <c r="B354" s="3171" t="s">
        <v>3668</v>
      </c>
      <c r="C354" s="3172" t="s">
        <v>3857</v>
      </c>
      <c r="D354" s="3173" t="s">
        <v>4560</v>
      </c>
      <c r="E354" s="3172" t="s">
        <v>4561</v>
      </c>
      <c r="F354" s="3179" t="s">
        <v>3324</v>
      </c>
      <c r="G354" s="3171">
        <v>-112</v>
      </c>
      <c r="H354" s="3174">
        <v>62.57</v>
      </c>
      <c r="I354" s="3175">
        <v>2189950</v>
      </c>
      <c r="J354" s="3176" t="s">
        <v>3453</v>
      </c>
      <c r="K354" s="3163"/>
      <c r="M354" s="3163"/>
    </row>
    <row r="355" spans="1:13" ht="16.5">
      <c r="A355" s="3170">
        <v>353</v>
      </c>
      <c r="B355" s="3171" t="s">
        <v>3668</v>
      </c>
      <c r="C355" s="3172" t="s">
        <v>3857</v>
      </c>
      <c r="D355" s="3173" t="s">
        <v>4562</v>
      </c>
      <c r="E355" s="3172" t="s">
        <v>4563</v>
      </c>
      <c r="F355" s="3179" t="s">
        <v>3324</v>
      </c>
      <c r="G355" s="3171">
        <v>-113</v>
      </c>
      <c r="H355" s="3174">
        <v>61.61</v>
      </c>
      <c r="I355" s="3175">
        <v>2156350</v>
      </c>
      <c r="J355" s="3176" t="s">
        <v>3453</v>
      </c>
      <c r="K355" s="3163"/>
      <c r="M355" s="3163"/>
    </row>
    <row r="356" spans="1:13" ht="16.5">
      <c r="A356" s="3170">
        <v>354</v>
      </c>
      <c r="B356" s="3171" t="s">
        <v>3668</v>
      </c>
      <c r="C356" s="3172" t="s">
        <v>3857</v>
      </c>
      <c r="D356" s="3173" t="s">
        <v>4564</v>
      </c>
      <c r="E356" s="3172" t="s">
        <v>4565</v>
      </c>
      <c r="F356" s="3179" t="s">
        <v>3324</v>
      </c>
      <c r="G356" s="3171">
        <v>-118</v>
      </c>
      <c r="H356" s="3174">
        <v>15.15</v>
      </c>
      <c r="I356" s="3175">
        <v>530250</v>
      </c>
      <c r="J356" s="3176" t="s">
        <v>3453</v>
      </c>
      <c r="K356" s="3163"/>
      <c r="M356" s="3163"/>
    </row>
    <row r="357" spans="1:13" ht="16.5">
      <c r="A357" s="3170">
        <v>355</v>
      </c>
      <c r="B357" s="3171" t="s">
        <v>3668</v>
      </c>
      <c r="C357" s="3172" t="s">
        <v>3857</v>
      </c>
      <c r="D357" s="3173" t="s">
        <v>4566</v>
      </c>
      <c r="E357" s="3172" t="s">
        <v>4567</v>
      </c>
      <c r="F357" s="3179" t="s">
        <v>3324</v>
      </c>
      <c r="G357" s="3171">
        <v>-119</v>
      </c>
      <c r="H357" s="3174">
        <v>14.96</v>
      </c>
      <c r="I357" s="3175">
        <v>523600</v>
      </c>
      <c r="J357" s="3176" t="s">
        <v>3453</v>
      </c>
      <c r="K357" s="3163"/>
      <c r="M357" s="3163"/>
    </row>
    <row r="358" spans="1:13" ht="16.5">
      <c r="A358" s="3170">
        <v>356</v>
      </c>
      <c r="B358" s="3171" t="s">
        <v>3668</v>
      </c>
      <c r="C358" s="3172" t="s">
        <v>3857</v>
      </c>
      <c r="D358" s="3173" t="s">
        <v>4568</v>
      </c>
      <c r="E358" s="3172" t="s">
        <v>4569</v>
      </c>
      <c r="F358" s="3179" t="s">
        <v>3324</v>
      </c>
      <c r="G358" s="3171">
        <v>-120</v>
      </c>
      <c r="H358" s="3174">
        <v>14.96</v>
      </c>
      <c r="I358" s="3175">
        <v>523600</v>
      </c>
      <c r="J358" s="3176" t="s">
        <v>3453</v>
      </c>
      <c r="K358" s="3163"/>
      <c r="M358" s="3163"/>
    </row>
    <row r="359" spans="1:13" ht="16.5">
      <c r="A359" s="3170">
        <v>357</v>
      </c>
      <c r="B359" s="3171" t="s">
        <v>3668</v>
      </c>
      <c r="C359" s="3172" t="s">
        <v>3857</v>
      </c>
      <c r="D359" s="3173" t="s">
        <v>4570</v>
      </c>
      <c r="E359" s="3172" t="s">
        <v>4571</v>
      </c>
      <c r="F359" s="3179" t="s">
        <v>3324</v>
      </c>
      <c r="G359" s="3171">
        <v>-201</v>
      </c>
      <c r="H359" s="3174">
        <v>22.98</v>
      </c>
      <c r="I359" s="3175">
        <v>804300</v>
      </c>
      <c r="J359" s="3176" t="s">
        <v>3453</v>
      </c>
      <c r="K359" s="3163"/>
      <c r="M359" s="3163"/>
    </row>
    <row r="360" spans="1:13" ht="16.5">
      <c r="A360" s="3170">
        <v>358</v>
      </c>
      <c r="B360" s="3171" t="s">
        <v>3668</v>
      </c>
      <c r="C360" s="3172" t="s">
        <v>3857</v>
      </c>
      <c r="D360" s="3173" t="s">
        <v>4572</v>
      </c>
      <c r="E360" s="3172" t="s">
        <v>4573</v>
      </c>
      <c r="F360" s="3179" t="s">
        <v>3324</v>
      </c>
      <c r="G360" s="3171">
        <v>-202</v>
      </c>
      <c r="H360" s="3174">
        <v>22.98</v>
      </c>
      <c r="I360" s="3175">
        <v>804300</v>
      </c>
      <c r="J360" s="3176" t="s">
        <v>3453</v>
      </c>
      <c r="K360" s="3163"/>
      <c r="M360" s="3163"/>
    </row>
    <row r="361" spans="1:13" ht="16.5">
      <c r="A361" s="3170">
        <v>359</v>
      </c>
      <c r="B361" s="3171" t="s">
        <v>3668</v>
      </c>
      <c r="C361" s="3172" t="s">
        <v>3857</v>
      </c>
      <c r="D361" s="3173" t="s">
        <v>4574</v>
      </c>
      <c r="E361" s="3172" t="s">
        <v>4575</v>
      </c>
      <c r="F361" s="3179" t="s">
        <v>3324</v>
      </c>
      <c r="G361" s="3171">
        <v>-203</v>
      </c>
      <c r="H361" s="3174">
        <v>22.98</v>
      </c>
      <c r="I361" s="3175">
        <v>804300</v>
      </c>
      <c r="J361" s="3176" t="s">
        <v>3453</v>
      </c>
      <c r="K361" s="3163"/>
      <c r="M361" s="3163"/>
    </row>
    <row r="362" spans="1:13" ht="16.5">
      <c r="A362" s="3170">
        <v>360</v>
      </c>
      <c r="B362" s="3171" t="s">
        <v>3691</v>
      </c>
      <c r="C362" s="3172" t="s">
        <v>3857</v>
      </c>
      <c r="D362" s="3173" t="s">
        <v>4576</v>
      </c>
      <c r="E362" s="3172" t="s">
        <v>4577</v>
      </c>
      <c r="F362" s="3179" t="s">
        <v>3324</v>
      </c>
      <c r="G362" s="3171">
        <v>-106</v>
      </c>
      <c r="H362" s="3174">
        <v>33.5</v>
      </c>
      <c r="I362" s="3175">
        <v>1172500</v>
      </c>
      <c r="J362" s="3176" t="s">
        <v>3453</v>
      </c>
      <c r="K362" s="3163"/>
      <c r="M362" s="3163"/>
    </row>
    <row r="363" spans="1:13" ht="16.5">
      <c r="A363" s="3170">
        <v>361</v>
      </c>
      <c r="B363" s="3171" t="s">
        <v>3691</v>
      </c>
      <c r="C363" s="3172" t="s">
        <v>3857</v>
      </c>
      <c r="D363" s="3173" t="s">
        <v>4578</v>
      </c>
      <c r="E363" s="3172" t="s">
        <v>4579</v>
      </c>
      <c r="F363" s="3179" t="s">
        <v>3324</v>
      </c>
      <c r="G363" s="3171">
        <v>-107</v>
      </c>
      <c r="H363" s="3174">
        <v>61.4</v>
      </c>
      <c r="I363" s="3175">
        <v>2149000</v>
      </c>
      <c r="J363" s="3176" t="s">
        <v>3453</v>
      </c>
      <c r="K363" s="3163"/>
      <c r="M363" s="3163"/>
    </row>
    <row r="364" spans="1:13" ht="16.5">
      <c r="A364" s="3170">
        <v>362</v>
      </c>
      <c r="B364" s="3171" t="s">
        <v>3691</v>
      </c>
      <c r="C364" s="3172" t="s">
        <v>3857</v>
      </c>
      <c r="D364" s="3173" t="s">
        <v>4580</v>
      </c>
      <c r="E364" s="3172" t="s">
        <v>4581</v>
      </c>
      <c r="F364" s="3179" t="s">
        <v>3324</v>
      </c>
      <c r="G364" s="3171">
        <v>-108</v>
      </c>
      <c r="H364" s="3174">
        <v>46.55</v>
      </c>
      <c r="I364" s="3175">
        <v>1629250</v>
      </c>
      <c r="J364" s="3176" t="s">
        <v>3453</v>
      </c>
      <c r="K364" s="3163"/>
      <c r="M364" s="3163"/>
    </row>
    <row r="365" spans="1:13" ht="16.5">
      <c r="A365" s="3170">
        <v>363</v>
      </c>
      <c r="B365" s="3171" t="s">
        <v>3691</v>
      </c>
      <c r="C365" s="3172" t="s">
        <v>3857</v>
      </c>
      <c r="D365" s="3173" t="s">
        <v>4582</v>
      </c>
      <c r="E365" s="3172" t="s">
        <v>4583</v>
      </c>
      <c r="F365" s="3179" t="s">
        <v>3324</v>
      </c>
      <c r="G365" s="3171">
        <v>-109</v>
      </c>
      <c r="H365" s="3174">
        <v>46.55</v>
      </c>
      <c r="I365" s="3175">
        <v>1629250</v>
      </c>
      <c r="J365" s="3176" t="s">
        <v>3453</v>
      </c>
      <c r="K365" s="3163"/>
      <c r="M365" s="3163"/>
    </row>
    <row r="366" spans="1:13" ht="16.5">
      <c r="A366" s="3170">
        <v>364</v>
      </c>
      <c r="B366" s="3171" t="s">
        <v>3691</v>
      </c>
      <c r="C366" s="3172" t="s">
        <v>3857</v>
      </c>
      <c r="D366" s="3173" t="s">
        <v>4584</v>
      </c>
      <c r="E366" s="3172" t="s">
        <v>4585</v>
      </c>
      <c r="F366" s="3179" t="s">
        <v>3324</v>
      </c>
      <c r="G366" s="3171">
        <v>-110</v>
      </c>
      <c r="H366" s="3174">
        <v>61.4</v>
      </c>
      <c r="I366" s="3175">
        <v>2149000</v>
      </c>
      <c r="J366" s="3176" t="s">
        <v>3453</v>
      </c>
      <c r="K366" s="3163"/>
      <c r="M366" s="3163"/>
    </row>
    <row r="367" spans="1:13" ht="16.5">
      <c r="A367" s="3170">
        <v>365</v>
      </c>
      <c r="B367" s="3171" t="s">
        <v>3691</v>
      </c>
      <c r="C367" s="3172" t="s">
        <v>3857</v>
      </c>
      <c r="D367" s="3173" t="s">
        <v>4586</v>
      </c>
      <c r="E367" s="3172" t="s">
        <v>4587</v>
      </c>
      <c r="F367" s="3179" t="s">
        <v>3324</v>
      </c>
      <c r="G367" s="3171">
        <v>-111</v>
      </c>
      <c r="H367" s="3174">
        <v>33.5</v>
      </c>
      <c r="I367" s="3175">
        <v>1172500</v>
      </c>
      <c r="J367" s="3176" t="s">
        <v>3453</v>
      </c>
      <c r="K367" s="3163"/>
      <c r="M367" s="3163"/>
    </row>
    <row r="368" spans="1:13" ht="16.5">
      <c r="A368" s="3170">
        <v>366</v>
      </c>
      <c r="B368" s="3171" t="s">
        <v>3691</v>
      </c>
      <c r="C368" s="3172" t="s">
        <v>3857</v>
      </c>
      <c r="D368" s="3173" t="s">
        <v>4588</v>
      </c>
      <c r="E368" s="3172" t="s">
        <v>4589</v>
      </c>
      <c r="F368" s="3179" t="s">
        <v>3324</v>
      </c>
      <c r="G368" s="3171">
        <v>-112</v>
      </c>
      <c r="H368" s="3174">
        <v>33.5</v>
      </c>
      <c r="I368" s="3175">
        <v>1172500</v>
      </c>
      <c r="J368" s="3176" t="s">
        <v>3453</v>
      </c>
      <c r="K368" s="3163"/>
      <c r="M368" s="3163"/>
    </row>
    <row r="369" spans="1:13" ht="16.5">
      <c r="A369" s="3170">
        <v>367</v>
      </c>
      <c r="B369" s="3171" t="s">
        <v>3691</v>
      </c>
      <c r="C369" s="3172" t="s">
        <v>3857</v>
      </c>
      <c r="D369" s="3173" t="s">
        <v>4590</v>
      </c>
      <c r="E369" s="3172" t="s">
        <v>4591</v>
      </c>
      <c r="F369" s="3179" t="s">
        <v>3324</v>
      </c>
      <c r="G369" s="3171">
        <v>-113</v>
      </c>
      <c r="H369" s="3174">
        <v>61.4</v>
      </c>
      <c r="I369" s="3175">
        <v>2149000</v>
      </c>
      <c r="J369" s="3176" t="s">
        <v>3453</v>
      </c>
      <c r="K369" s="3163"/>
      <c r="M369" s="3163"/>
    </row>
    <row r="370" spans="1:13" ht="16.5">
      <c r="A370" s="3170">
        <v>368</v>
      </c>
      <c r="B370" s="3171" t="s">
        <v>3691</v>
      </c>
      <c r="C370" s="3172" t="s">
        <v>3857</v>
      </c>
      <c r="D370" s="3173" t="s">
        <v>4592</v>
      </c>
      <c r="E370" s="3172" t="s">
        <v>4593</v>
      </c>
      <c r="F370" s="3179" t="s">
        <v>3324</v>
      </c>
      <c r="G370" s="3171">
        <v>-114</v>
      </c>
      <c r="H370" s="3174">
        <v>46.23</v>
      </c>
      <c r="I370" s="3175">
        <v>1618050</v>
      </c>
      <c r="J370" s="3176" t="s">
        <v>3453</v>
      </c>
      <c r="K370" s="3163"/>
      <c r="M370" s="3163"/>
    </row>
    <row r="371" spans="1:13" ht="16.5">
      <c r="A371" s="3170">
        <v>369</v>
      </c>
      <c r="B371" s="3171" t="s">
        <v>3691</v>
      </c>
      <c r="C371" s="3172" t="s">
        <v>3857</v>
      </c>
      <c r="D371" s="3173" t="s">
        <v>4594</v>
      </c>
      <c r="E371" s="3172" t="s">
        <v>4595</v>
      </c>
      <c r="F371" s="3179" t="s">
        <v>3324</v>
      </c>
      <c r="G371" s="3171">
        <v>-115</v>
      </c>
      <c r="H371" s="3174">
        <v>46.23</v>
      </c>
      <c r="I371" s="3175">
        <v>1618050</v>
      </c>
      <c r="J371" s="3176" t="s">
        <v>3453</v>
      </c>
      <c r="K371" s="3163"/>
      <c r="M371" s="3163"/>
    </row>
    <row r="372" spans="1:13" ht="16.5">
      <c r="A372" s="3170">
        <v>370</v>
      </c>
      <c r="B372" s="3171" t="s">
        <v>3691</v>
      </c>
      <c r="C372" s="3172" t="s">
        <v>3857</v>
      </c>
      <c r="D372" s="3173" t="s">
        <v>4596</v>
      </c>
      <c r="E372" s="3172" t="s">
        <v>4597</v>
      </c>
      <c r="F372" s="3179" t="s">
        <v>3324</v>
      </c>
      <c r="G372" s="3171">
        <v>-116</v>
      </c>
      <c r="H372" s="3174">
        <v>61.4</v>
      </c>
      <c r="I372" s="3175">
        <v>2149000</v>
      </c>
      <c r="J372" s="3176" t="s">
        <v>3453</v>
      </c>
      <c r="K372" s="3163"/>
      <c r="M372" s="3163"/>
    </row>
    <row r="373" spans="1:13" ht="16.5">
      <c r="A373" s="3170">
        <v>371</v>
      </c>
      <c r="B373" s="3171" t="s">
        <v>3691</v>
      </c>
      <c r="C373" s="3172" t="s">
        <v>3857</v>
      </c>
      <c r="D373" s="3173" t="s">
        <v>4598</v>
      </c>
      <c r="E373" s="3172" t="s">
        <v>4599</v>
      </c>
      <c r="F373" s="3179" t="s">
        <v>3324</v>
      </c>
      <c r="G373" s="3171">
        <v>-117</v>
      </c>
      <c r="H373" s="3174">
        <v>33.5</v>
      </c>
      <c r="I373" s="3175">
        <v>1172500</v>
      </c>
      <c r="J373" s="3176" t="s">
        <v>3453</v>
      </c>
      <c r="K373" s="3163"/>
      <c r="M373" s="3163"/>
    </row>
    <row r="374" spans="1:13" ht="16.5">
      <c r="A374" s="3170">
        <v>372</v>
      </c>
      <c r="B374" s="3171" t="s">
        <v>3691</v>
      </c>
      <c r="C374" s="3172" t="s">
        <v>3857</v>
      </c>
      <c r="D374" s="3173" t="s">
        <v>4600</v>
      </c>
      <c r="E374" s="3172" t="s">
        <v>4601</v>
      </c>
      <c r="F374" s="3179" t="s">
        <v>3324</v>
      </c>
      <c r="G374" s="3171">
        <v>-123</v>
      </c>
      <c r="H374" s="3174">
        <v>28.07</v>
      </c>
      <c r="I374" s="3175">
        <v>982450</v>
      </c>
      <c r="J374" s="3176" t="s">
        <v>3453</v>
      </c>
      <c r="K374" s="3163"/>
      <c r="M374" s="3163"/>
    </row>
    <row r="375" spans="1:13" ht="16.5">
      <c r="A375" s="3170">
        <v>373</v>
      </c>
      <c r="B375" s="3171" t="s">
        <v>3691</v>
      </c>
      <c r="C375" s="3172" t="s">
        <v>3857</v>
      </c>
      <c r="D375" s="3173" t="s">
        <v>4602</v>
      </c>
      <c r="E375" s="3172" t="s">
        <v>4603</v>
      </c>
      <c r="F375" s="3179" t="s">
        <v>3324</v>
      </c>
      <c r="G375" s="3171">
        <v>-124</v>
      </c>
      <c r="H375" s="3174">
        <v>32.71</v>
      </c>
      <c r="I375" s="3175">
        <v>1144850</v>
      </c>
      <c r="J375" s="3176" t="s">
        <v>3453</v>
      </c>
      <c r="K375" s="3163"/>
      <c r="M375" s="3163"/>
    </row>
    <row r="376" spans="1:13" ht="16.5">
      <c r="A376" s="3170">
        <v>374</v>
      </c>
      <c r="B376" s="3171" t="s">
        <v>3691</v>
      </c>
      <c r="C376" s="3172" t="s">
        <v>3857</v>
      </c>
      <c r="D376" s="3173" t="s">
        <v>4604</v>
      </c>
      <c r="E376" s="3172" t="s">
        <v>4605</v>
      </c>
      <c r="F376" s="3179" t="s">
        <v>3324</v>
      </c>
      <c r="G376" s="3171">
        <v>-125</v>
      </c>
      <c r="H376" s="3174">
        <v>21.95</v>
      </c>
      <c r="I376" s="3175">
        <v>768250</v>
      </c>
      <c r="J376" s="3176" t="s">
        <v>3469</v>
      </c>
      <c r="K376" s="3163"/>
      <c r="M376" s="3163"/>
    </row>
    <row r="377" spans="1:13" ht="16.5">
      <c r="A377" s="3170">
        <v>375</v>
      </c>
      <c r="B377" s="3171" t="s">
        <v>3691</v>
      </c>
      <c r="C377" s="3172" t="s">
        <v>3857</v>
      </c>
      <c r="D377" s="3173" t="s">
        <v>4606</v>
      </c>
      <c r="E377" s="3172" t="s">
        <v>4607</v>
      </c>
      <c r="F377" s="3179" t="s">
        <v>3324</v>
      </c>
      <c r="G377" s="3171">
        <v>-126</v>
      </c>
      <c r="H377" s="3174">
        <v>42.5</v>
      </c>
      <c r="I377" s="3175">
        <v>1487500</v>
      </c>
      <c r="J377" s="3176" t="s">
        <v>3453</v>
      </c>
      <c r="K377" s="3163"/>
      <c r="M377" s="3163"/>
    </row>
    <row r="378" spans="1:13" ht="16.5">
      <c r="A378" s="3170">
        <v>376</v>
      </c>
      <c r="B378" s="3171" t="s">
        <v>3691</v>
      </c>
      <c r="C378" s="3172" t="s">
        <v>3857</v>
      </c>
      <c r="D378" s="3173" t="s">
        <v>4608</v>
      </c>
      <c r="E378" s="3172" t="s">
        <v>4609</v>
      </c>
      <c r="F378" s="3179" t="s">
        <v>3324</v>
      </c>
      <c r="G378" s="3171">
        <v>-127</v>
      </c>
      <c r="H378" s="3174">
        <v>31.82</v>
      </c>
      <c r="I378" s="3175">
        <v>1113700</v>
      </c>
      <c r="J378" s="3176" t="s">
        <v>3453</v>
      </c>
      <c r="K378" s="3163"/>
      <c r="M378" s="3163"/>
    </row>
    <row r="379" spans="1:13" ht="16.5">
      <c r="A379" s="3170">
        <v>377</v>
      </c>
      <c r="B379" s="3171" t="s">
        <v>3691</v>
      </c>
      <c r="C379" s="3172" t="s">
        <v>3857</v>
      </c>
      <c r="D379" s="3173" t="s">
        <v>4610</v>
      </c>
      <c r="E379" s="3172" t="s">
        <v>4611</v>
      </c>
      <c r="F379" s="3179" t="s">
        <v>3324</v>
      </c>
      <c r="G379" s="3171">
        <v>-202</v>
      </c>
      <c r="H379" s="3174">
        <v>30.24</v>
      </c>
      <c r="I379" s="3175">
        <v>1058400</v>
      </c>
      <c r="J379" s="3176" t="s">
        <v>3453</v>
      </c>
      <c r="K379" s="3163"/>
      <c r="M379" s="3163"/>
    </row>
    <row r="380" spans="1:13" ht="16.5">
      <c r="A380" s="3170">
        <v>378</v>
      </c>
      <c r="B380" s="3171" t="s">
        <v>3691</v>
      </c>
      <c r="C380" s="3172" t="s">
        <v>3857</v>
      </c>
      <c r="D380" s="3173" t="s">
        <v>4612</v>
      </c>
      <c r="E380" s="3172" t="s">
        <v>4613</v>
      </c>
      <c r="F380" s="3179" t="s">
        <v>3324</v>
      </c>
      <c r="G380" s="3171">
        <v>-203</v>
      </c>
      <c r="H380" s="3174">
        <v>24.05</v>
      </c>
      <c r="I380" s="3175">
        <v>841750</v>
      </c>
      <c r="J380" s="3176" t="s">
        <v>3453</v>
      </c>
      <c r="K380" s="3163"/>
      <c r="M380" s="3163"/>
    </row>
    <row r="381" spans="1:13" ht="16.5">
      <c r="A381" s="3170">
        <v>379</v>
      </c>
      <c r="B381" s="3171" t="s">
        <v>3691</v>
      </c>
      <c r="C381" s="3172" t="s">
        <v>3857</v>
      </c>
      <c r="D381" s="3173" t="s">
        <v>4614</v>
      </c>
      <c r="E381" s="3172" t="s">
        <v>4615</v>
      </c>
      <c r="F381" s="3179" t="s">
        <v>3324</v>
      </c>
      <c r="G381" s="3171">
        <v>-204</v>
      </c>
      <c r="H381" s="3174">
        <v>24.05</v>
      </c>
      <c r="I381" s="3175">
        <v>841750</v>
      </c>
      <c r="J381" s="3176" t="s">
        <v>3453</v>
      </c>
      <c r="K381" s="3163"/>
      <c r="M381" s="3163"/>
    </row>
    <row r="382" spans="1:13" ht="16.5">
      <c r="A382" s="3170">
        <v>380</v>
      </c>
      <c r="B382" s="3171" t="s">
        <v>3691</v>
      </c>
      <c r="C382" s="3172" t="s">
        <v>3857</v>
      </c>
      <c r="D382" s="3173" t="s">
        <v>4616</v>
      </c>
      <c r="E382" s="3172" t="s">
        <v>4617</v>
      </c>
      <c r="F382" s="3179" t="s">
        <v>3324</v>
      </c>
      <c r="G382" s="3171">
        <v>-205</v>
      </c>
      <c r="H382" s="3174">
        <v>25.51</v>
      </c>
      <c r="I382" s="3175">
        <v>892850</v>
      </c>
      <c r="J382" s="3176" t="s">
        <v>3453</v>
      </c>
      <c r="K382" s="3163"/>
      <c r="M382" s="3163"/>
    </row>
    <row r="383" spans="1:13" ht="16.5">
      <c r="A383" s="3170">
        <v>381</v>
      </c>
      <c r="B383" s="3171" t="s">
        <v>3691</v>
      </c>
      <c r="C383" s="3172" t="s">
        <v>3857</v>
      </c>
      <c r="D383" s="3173" t="s">
        <v>4618</v>
      </c>
      <c r="E383" s="3172" t="s">
        <v>4619</v>
      </c>
      <c r="F383" s="3179" t="s">
        <v>3324</v>
      </c>
      <c r="G383" s="3171">
        <v>-206</v>
      </c>
      <c r="H383" s="3174">
        <v>25.51</v>
      </c>
      <c r="I383" s="3175">
        <v>892850</v>
      </c>
      <c r="J383" s="3176" t="s">
        <v>3453</v>
      </c>
      <c r="K383" s="3163"/>
      <c r="M383" s="3163"/>
    </row>
    <row r="384" spans="1:13" ht="16.5">
      <c r="A384" s="3170">
        <v>382</v>
      </c>
      <c r="B384" s="3171" t="s">
        <v>3691</v>
      </c>
      <c r="C384" s="3172" t="s">
        <v>3857</v>
      </c>
      <c r="D384" s="3173" t="s">
        <v>4620</v>
      </c>
      <c r="E384" s="3172" t="s">
        <v>4621</v>
      </c>
      <c r="F384" s="3179" t="s">
        <v>3324</v>
      </c>
      <c r="G384" s="3171">
        <v>-207</v>
      </c>
      <c r="H384" s="3174">
        <v>24.05</v>
      </c>
      <c r="I384" s="3175">
        <v>841750</v>
      </c>
      <c r="J384" s="3176" t="s">
        <v>3453</v>
      </c>
      <c r="K384" s="3163"/>
      <c r="M384" s="3163"/>
    </row>
    <row r="385" spans="1:13" ht="16.5">
      <c r="A385" s="3170">
        <v>383</v>
      </c>
      <c r="B385" s="3171" t="s">
        <v>3691</v>
      </c>
      <c r="C385" s="3172" t="s">
        <v>3857</v>
      </c>
      <c r="D385" s="3173" t="s">
        <v>4622</v>
      </c>
      <c r="E385" s="3172" t="s">
        <v>4623</v>
      </c>
      <c r="F385" s="3179" t="s">
        <v>3324</v>
      </c>
      <c r="G385" s="3171">
        <v>-209</v>
      </c>
      <c r="H385" s="3174">
        <v>31.7</v>
      </c>
      <c r="I385" s="3175">
        <v>1109500</v>
      </c>
      <c r="J385" s="3176" t="s">
        <v>3453</v>
      </c>
      <c r="K385" s="3163"/>
      <c r="M385" s="3163"/>
    </row>
    <row r="386" spans="1:13" ht="16.5">
      <c r="A386" s="3170">
        <v>384</v>
      </c>
      <c r="B386" s="3171" t="s">
        <v>3691</v>
      </c>
      <c r="C386" s="3172" t="s">
        <v>3857</v>
      </c>
      <c r="D386" s="3173" t="s">
        <v>4624</v>
      </c>
      <c r="E386" s="3172" t="s">
        <v>4625</v>
      </c>
      <c r="F386" s="3179" t="s">
        <v>3324</v>
      </c>
      <c r="G386" s="3171">
        <v>-211</v>
      </c>
      <c r="H386" s="3174">
        <v>22.65</v>
      </c>
      <c r="I386" s="3175">
        <v>792750</v>
      </c>
      <c r="J386" s="3176" t="s">
        <v>3453</v>
      </c>
      <c r="K386" s="3163"/>
      <c r="M386" s="3163"/>
    </row>
    <row r="387" spans="1:13" ht="16.5">
      <c r="A387" s="3170">
        <v>385</v>
      </c>
      <c r="B387" s="3171" t="s">
        <v>3691</v>
      </c>
      <c r="C387" s="3172" t="s">
        <v>3857</v>
      </c>
      <c r="D387" s="3173" t="s">
        <v>4626</v>
      </c>
      <c r="E387" s="3172" t="s">
        <v>4627</v>
      </c>
      <c r="F387" s="3179" t="s">
        <v>3324</v>
      </c>
      <c r="G387" s="3171">
        <v>-212</v>
      </c>
      <c r="H387" s="3174">
        <v>22.65</v>
      </c>
      <c r="I387" s="3175">
        <v>792750</v>
      </c>
      <c r="J387" s="3176" t="s">
        <v>3453</v>
      </c>
      <c r="K387" s="3163"/>
      <c r="M387" s="3163"/>
    </row>
    <row r="388" spans="1:13" ht="16.5">
      <c r="A388" s="3170">
        <v>386</v>
      </c>
      <c r="B388" s="3171" t="s">
        <v>3691</v>
      </c>
      <c r="C388" s="3172" t="s">
        <v>3857</v>
      </c>
      <c r="D388" s="3173" t="s">
        <v>4628</v>
      </c>
      <c r="E388" s="3172" t="s">
        <v>4629</v>
      </c>
      <c r="F388" s="3179" t="s">
        <v>3324</v>
      </c>
      <c r="G388" s="3171">
        <v>-213</v>
      </c>
      <c r="H388" s="3174">
        <v>22.65</v>
      </c>
      <c r="I388" s="3175">
        <v>792750</v>
      </c>
      <c r="J388" s="3176" t="s">
        <v>3453</v>
      </c>
      <c r="K388" s="3163"/>
      <c r="M388" s="3163"/>
    </row>
    <row r="389" spans="1:13" ht="16.5">
      <c r="A389" s="3170">
        <v>387</v>
      </c>
      <c r="B389" s="3171" t="s">
        <v>3691</v>
      </c>
      <c r="C389" s="3172" t="s">
        <v>3857</v>
      </c>
      <c r="D389" s="3173" t="s">
        <v>4630</v>
      </c>
      <c r="E389" s="3172" t="s">
        <v>4631</v>
      </c>
      <c r="F389" s="3179" t="s">
        <v>3324</v>
      </c>
      <c r="G389" s="3171">
        <v>-214</v>
      </c>
      <c r="H389" s="3174">
        <v>22.65</v>
      </c>
      <c r="I389" s="3175">
        <v>792750</v>
      </c>
      <c r="J389" s="3176" t="s">
        <v>3453</v>
      </c>
      <c r="K389" s="3163"/>
      <c r="M389" s="3163"/>
    </row>
    <row r="390" spans="1:13" ht="16.5">
      <c r="A390" s="3170">
        <v>388</v>
      </c>
      <c r="B390" s="3171" t="s">
        <v>3718</v>
      </c>
      <c r="C390" s="3172" t="s">
        <v>3857</v>
      </c>
      <c r="D390" s="3173" t="s">
        <v>4632</v>
      </c>
      <c r="E390" s="3172" t="s">
        <v>4633</v>
      </c>
      <c r="F390" s="3179" t="s">
        <v>3324</v>
      </c>
      <c r="G390" s="3171">
        <v>-106</v>
      </c>
      <c r="H390" s="3174">
        <v>33.86</v>
      </c>
      <c r="I390" s="3175">
        <v>1185100</v>
      </c>
      <c r="J390" s="3176" t="s">
        <v>3453</v>
      </c>
      <c r="K390" s="3163"/>
      <c r="M390" s="3163"/>
    </row>
    <row r="391" spans="1:13" ht="16.5">
      <c r="A391" s="3170">
        <v>389</v>
      </c>
      <c r="B391" s="3171" t="s">
        <v>3718</v>
      </c>
      <c r="C391" s="3172" t="s">
        <v>3857</v>
      </c>
      <c r="D391" s="3173" t="s">
        <v>4634</v>
      </c>
      <c r="E391" s="3172" t="s">
        <v>4635</v>
      </c>
      <c r="F391" s="3179" t="s">
        <v>3324</v>
      </c>
      <c r="G391" s="3171">
        <v>-107</v>
      </c>
      <c r="H391" s="3174">
        <v>62.06</v>
      </c>
      <c r="I391" s="3175">
        <v>2172100</v>
      </c>
      <c r="J391" s="3176" t="s">
        <v>3453</v>
      </c>
      <c r="K391" s="3163"/>
      <c r="M391" s="3163"/>
    </row>
    <row r="392" spans="1:13" ht="16.5">
      <c r="A392" s="3170">
        <v>390</v>
      </c>
      <c r="B392" s="3171" t="s">
        <v>3718</v>
      </c>
      <c r="C392" s="3172" t="s">
        <v>3857</v>
      </c>
      <c r="D392" s="3173" t="s">
        <v>4636</v>
      </c>
      <c r="E392" s="3172" t="s">
        <v>4637</v>
      </c>
      <c r="F392" s="3179" t="s">
        <v>3324</v>
      </c>
      <c r="G392" s="3171">
        <v>-108</v>
      </c>
      <c r="H392" s="3174">
        <v>47.05</v>
      </c>
      <c r="I392" s="3175">
        <v>1646750</v>
      </c>
      <c r="J392" s="3176" t="s">
        <v>3453</v>
      </c>
      <c r="K392" s="3163"/>
      <c r="M392" s="3163"/>
    </row>
    <row r="393" spans="1:13" ht="16.5">
      <c r="A393" s="3170">
        <v>391</v>
      </c>
      <c r="B393" s="3171" t="s">
        <v>3718</v>
      </c>
      <c r="C393" s="3172" t="s">
        <v>3857</v>
      </c>
      <c r="D393" s="3173" t="s">
        <v>4638</v>
      </c>
      <c r="E393" s="3172" t="s">
        <v>4639</v>
      </c>
      <c r="F393" s="3179" t="s">
        <v>3324</v>
      </c>
      <c r="G393" s="3171">
        <v>-109</v>
      </c>
      <c r="H393" s="3174">
        <v>47.05</v>
      </c>
      <c r="I393" s="3175">
        <v>1646750</v>
      </c>
      <c r="J393" s="3176" t="s">
        <v>3453</v>
      </c>
      <c r="K393" s="3163"/>
      <c r="M393" s="3163"/>
    </row>
    <row r="394" spans="1:13" ht="16.5">
      <c r="A394" s="3170">
        <v>392</v>
      </c>
      <c r="B394" s="3171" t="s">
        <v>3718</v>
      </c>
      <c r="C394" s="3172" t="s">
        <v>3857</v>
      </c>
      <c r="D394" s="3173" t="s">
        <v>4640</v>
      </c>
      <c r="E394" s="3172" t="s">
        <v>4641</v>
      </c>
      <c r="F394" s="3179" t="s">
        <v>3324</v>
      </c>
      <c r="G394" s="3171">
        <v>-110</v>
      </c>
      <c r="H394" s="3174">
        <v>62.06</v>
      </c>
      <c r="I394" s="3175">
        <v>2172100</v>
      </c>
      <c r="J394" s="3176" t="s">
        <v>3453</v>
      </c>
      <c r="K394" s="3163"/>
      <c r="M394" s="3163"/>
    </row>
    <row r="395" spans="1:13" ht="16.5">
      <c r="A395" s="3170">
        <v>393</v>
      </c>
      <c r="B395" s="3171" t="s">
        <v>3718</v>
      </c>
      <c r="C395" s="3172" t="s">
        <v>3857</v>
      </c>
      <c r="D395" s="3173" t="s">
        <v>4642</v>
      </c>
      <c r="E395" s="3172" t="s">
        <v>4643</v>
      </c>
      <c r="F395" s="3179" t="s">
        <v>3324</v>
      </c>
      <c r="G395" s="3171">
        <v>-111</v>
      </c>
      <c r="H395" s="3174">
        <v>33.86</v>
      </c>
      <c r="I395" s="3175">
        <v>1185100</v>
      </c>
      <c r="J395" s="3176" t="s">
        <v>3453</v>
      </c>
      <c r="K395" s="3163"/>
      <c r="M395" s="3163"/>
    </row>
    <row r="396" spans="1:13" ht="16.5">
      <c r="A396" s="3170">
        <v>394</v>
      </c>
      <c r="B396" s="3171" t="s">
        <v>3718</v>
      </c>
      <c r="C396" s="3172" t="s">
        <v>3857</v>
      </c>
      <c r="D396" s="3173" t="s">
        <v>4644</v>
      </c>
      <c r="E396" s="3172" t="s">
        <v>4645</v>
      </c>
      <c r="F396" s="3179" t="s">
        <v>3324</v>
      </c>
      <c r="G396" s="3171">
        <v>-112</v>
      </c>
      <c r="H396" s="3174">
        <v>33.86</v>
      </c>
      <c r="I396" s="3175">
        <v>1185100</v>
      </c>
      <c r="J396" s="3176" t="s">
        <v>3453</v>
      </c>
      <c r="K396" s="3163"/>
      <c r="M396" s="3163"/>
    </row>
    <row r="397" spans="1:13" ht="16.5">
      <c r="A397" s="3170">
        <v>395</v>
      </c>
      <c r="B397" s="3171" t="s">
        <v>3718</v>
      </c>
      <c r="C397" s="3172" t="s">
        <v>3857</v>
      </c>
      <c r="D397" s="3173" t="s">
        <v>4646</v>
      </c>
      <c r="E397" s="3172" t="s">
        <v>4647</v>
      </c>
      <c r="F397" s="3179" t="s">
        <v>3324</v>
      </c>
      <c r="G397" s="3171">
        <v>-113</v>
      </c>
      <c r="H397" s="3174">
        <v>62.06</v>
      </c>
      <c r="I397" s="3175">
        <v>2172100</v>
      </c>
      <c r="J397" s="3176" t="s">
        <v>3453</v>
      </c>
      <c r="K397" s="3163"/>
      <c r="M397" s="3163"/>
    </row>
    <row r="398" spans="1:13" ht="16.5">
      <c r="A398" s="3170">
        <v>396</v>
      </c>
      <c r="B398" s="3171" t="s">
        <v>3718</v>
      </c>
      <c r="C398" s="3172" t="s">
        <v>3857</v>
      </c>
      <c r="D398" s="3173" t="s">
        <v>4648</v>
      </c>
      <c r="E398" s="3172" t="s">
        <v>4649</v>
      </c>
      <c r="F398" s="3179" t="s">
        <v>3324</v>
      </c>
      <c r="G398" s="3171">
        <v>-114</v>
      </c>
      <c r="H398" s="3174">
        <v>46.72</v>
      </c>
      <c r="I398" s="3175">
        <v>1635200</v>
      </c>
      <c r="J398" s="3176" t="s">
        <v>3453</v>
      </c>
      <c r="K398" s="3163"/>
      <c r="M398" s="3163"/>
    </row>
    <row r="399" spans="1:13" ht="16.5">
      <c r="A399" s="3170">
        <v>397</v>
      </c>
      <c r="B399" s="3171" t="s">
        <v>3718</v>
      </c>
      <c r="C399" s="3172" t="s">
        <v>3857</v>
      </c>
      <c r="D399" s="3173" t="s">
        <v>4650</v>
      </c>
      <c r="E399" s="3172" t="s">
        <v>4651</v>
      </c>
      <c r="F399" s="3179" t="s">
        <v>3324</v>
      </c>
      <c r="G399" s="3171">
        <v>-115</v>
      </c>
      <c r="H399" s="3174">
        <v>46.72</v>
      </c>
      <c r="I399" s="3175">
        <v>1635200</v>
      </c>
      <c r="J399" s="3176" t="s">
        <v>3453</v>
      </c>
      <c r="K399" s="3163"/>
      <c r="M399" s="3163"/>
    </row>
    <row r="400" spans="1:13" ht="16.5">
      <c r="A400" s="3170">
        <v>398</v>
      </c>
      <c r="B400" s="3171" t="s">
        <v>3718</v>
      </c>
      <c r="C400" s="3172" t="s">
        <v>3857</v>
      </c>
      <c r="D400" s="3173" t="s">
        <v>4652</v>
      </c>
      <c r="E400" s="3172" t="s">
        <v>4653</v>
      </c>
      <c r="F400" s="3179" t="s">
        <v>3324</v>
      </c>
      <c r="G400" s="3171">
        <v>-116</v>
      </c>
      <c r="H400" s="3174">
        <v>62.06</v>
      </c>
      <c r="I400" s="3175">
        <v>2172100</v>
      </c>
      <c r="J400" s="3176" t="s">
        <v>3453</v>
      </c>
      <c r="K400" s="3163"/>
      <c r="M400" s="3163"/>
    </row>
    <row r="401" spans="1:13" ht="16.5">
      <c r="A401" s="3170">
        <v>399</v>
      </c>
      <c r="B401" s="3171" t="s">
        <v>3718</v>
      </c>
      <c r="C401" s="3172" t="s">
        <v>3857</v>
      </c>
      <c r="D401" s="3173" t="s">
        <v>4654</v>
      </c>
      <c r="E401" s="3172" t="s">
        <v>4655</v>
      </c>
      <c r="F401" s="3179" t="s">
        <v>3324</v>
      </c>
      <c r="G401" s="3171">
        <v>-117</v>
      </c>
      <c r="H401" s="3174">
        <v>33.86</v>
      </c>
      <c r="I401" s="3175">
        <v>1185100</v>
      </c>
      <c r="J401" s="3176" t="s">
        <v>3453</v>
      </c>
      <c r="K401" s="3163"/>
      <c r="M401" s="3163"/>
    </row>
    <row r="402" spans="1:13" ht="16.5">
      <c r="A402" s="3170">
        <v>400</v>
      </c>
      <c r="B402" s="3171" t="s">
        <v>3718</v>
      </c>
      <c r="C402" s="3172" t="s">
        <v>3857</v>
      </c>
      <c r="D402" s="3173" t="s">
        <v>4656</v>
      </c>
      <c r="E402" s="3172" t="s">
        <v>4657</v>
      </c>
      <c r="F402" s="3179" t="s">
        <v>3324</v>
      </c>
      <c r="G402" s="3171">
        <v>-118</v>
      </c>
      <c r="H402" s="3174">
        <v>33.86</v>
      </c>
      <c r="I402" s="3175">
        <v>1185100</v>
      </c>
      <c r="J402" s="3176" t="s">
        <v>3453</v>
      </c>
      <c r="K402" s="3163"/>
      <c r="M402" s="3163"/>
    </row>
    <row r="403" spans="1:13" ht="16.5">
      <c r="A403" s="3170">
        <v>401</v>
      </c>
      <c r="B403" s="3171" t="s">
        <v>3718</v>
      </c>
      <c r="C403" s="3172" t="s">
        <v>3857</v>
      </c>
      <c r="D403" s="3173" t="s">
        <v>4658</v>
      </c>
      <c r="E403" s="3172" t="s">
        <v>4659</v>
      </c>
      <c r="F403" s="3179" t="s">
        <v>3324</v>
      </c>
      <c r="G403" s="3171">
        <v>-119</v>
      </c>
      <c r="H403" s="3174">
        <v>62.34</v>
      </c>
      <c r="I403" s="3175">
        <v>2181900</v>
      </c>
      <c r="J403" s="3176" t="s">
        <v>3453</v>
      </c>
      <c r="K403" s="3163"/>
      <c r="M403" s="3163"/>
    </row>
    <row r="404" spans="1:13" ht="16.5">
      <c r="A404" s="3170">
        <v>402</v>
      </c>
      <c r="B404" s="3171" t="s">
        <v>3718</v>
      </c>
      <c r="C404" s="3172" t="s">
        <v>3857</v>
      </c>
      <c r="D404" s="3173" t="s">
        <v>4660</v>
      </c>
      <c r="E404" s="3172" t="s">
        <v>4661</v>
      </c>
      <c r="F404" s="3179" t="s">
        <v>3324</v>
      </c>
      <c r="G404" s="3171">
        <v>-120</v>
      </c>
      <c r="H404" s="3174">
        <v>56.73</v>
      </c>
      <c r="I404" s="3175">
        <v>1985550</v>
      </c>
      <c r="J404" s="3176" t="s">
        <v>3453</v>
      </c>
      <c r="K404" s="3163"/>
      <c r="M404" s="3163"/>
    </row>
    <row r="405" spans="1:13" ht="16.5">
      <c r="A405" s="3170">
        <v>403</v>
      </c>
      <c r="B405" s="3171" t="s">
        <v>3718</v>
      </c>
      <c r="C405" s="3172" t="s">
        <v>3857</v>
      </c>
      <c r="D405" s="3173" t="s">
        <v>4662</v>
      </c>
      <c r="E405" s="3172" t="s">
        <v>4663</v>
      </c>
      <c r="F405" s="3179" t="s">
        <v>3324</v>
      </c>
      <c r="G405" s="3171">
        <v>-121</v>
      </c>
      <c r="H405" s="3174">
        <v>30.59</v>
      </c>
      <c r="I405" s="3175">
        <v>1070650</v>
      </c>
      <c r="J405" s="3176" t="s">
        <v>3453</v>
      </c>
      <c r="K405" s="3163"/>
      <c r="M405" s="3163"/>
    </row>
    <row r="406" spans="1:13" ht="16.5">
      <c r="A406" s="3170">
        <v>404</v>
      </c>
      <c r="B406" s="3171" t="s">
        <v>3718</v>
      </c>
      <c r="C406" s="3172" t="s">
        <v>3857</v>
      </c>
      <c r="D406" s="3173" t="s">
        <v>4664</v>
      </c>
      <c r="E406" s="3172" t="s">
        <v>4665</v>
      </c>
      <c r="F406" s="3179" t="s">
        <v>3324</v>
      </c>
      <c r="G406" s="3171">
        <v>-122</v>
      </c>
      <c r="H406" s="3174">
        <v>25.07</v>
      </c>
      <c r="I406" s="3175">
        <v>877450</v>
      </c>
      <c r="J406" s="3176" t="s">
        <v>3453</v>
      </c>
      <c r="K406" s="3163"/>
      <c r="M406" s="3163"/>
    </row>
    <row r="407" spans="1:13" ht="16.5">
      <c r="A407" s="3170">
        <v>405</v>
      </c>
      <c r="B407" s="3171" t="s">
        <v>3718</v>
      </c>
      <c r="C407" s="3172" t="s">
        <v>3857</v>
      </c>
      <c r="D407" s="3173" t="s">
        <v>4666</v>
      </c>
      <c r="E407" s="3172" t="s">
        <v>4667</v>
      </c>
      <c r="F407" s="3179" t="s">
        <v>3324</v>
      </c>
      <c r="G407" s="3171">
        <v>-123</v>
      </c>
      <c r="H407" s="3174">
        <v>28.37</v>
      </c>
      <c r="I407" s="3175">
        <v>992950</v>
      </c>
      <c r="J407" s="3176" t="s">
        <v>3453</v>
      </c>
      <c r="K407" s="3163"/>
      <c r="M407" s="3163"/>
    </row>
    <row r="408" spans="1:13" ht="16.5">
      <c r="A408" s="3170">
        <v>406</v>
      </c>
      <c r="B408" s="3171" t="s">
        <v>3718</v>
      </c>
      <c r="C408" s="3172" t="s">
        <v>3857</v>
      </c>
      <c r="D408" s="3173" t="s">
        <v>4668</v>
      </c>
      <c r="E408" s="3172" t="s">
        <v>4669</v>
      </c>
      <c r="F408" s="3179" t="s">
        <v>3324</v>
      </c>
      <c r="G408" s="3171">
        <v>-124</v>
      </c>
      <c r="H408" s="3174">
        <v>28.37</v>
      </c>
      <c r="I408" s="3175">
        <v>992950</v>
      </c>
      <c r="J408" s="3176" t="s">
        <v>3453</v>
      </c>
      <c r="K408" s="3163"/>
      <c r="M408" s="3163"/>
    </row>
    <row r="409" spans="1:13" ht="16.5">
      <c r="A409" s="3170">
        <v>407</v>
      </c>
      <c r="B409" s="3171" t="s">
        <v>3718</v>
      </c>
      <c r="C409" s="3172" t="s">
        <v>3857</v>
      </c>
      <c r="D409" s="3173" t="s">
        <v>4670</v>
      </c>
      <c r="E409" s="3172" t="s">
        <v>4671</v>
      </c>
      <c r="F409" s="3179" t="s">
        <v>3324</v>
      </c>
      <c r="G409" s="3171">
        <v>-125</v>
      </c>
      <c r="H409" s="3174">
        <v>22.18</v>
      </c>
      <c r="I409" s="3175">
        <v>776300</v>
      </c>
      <c r="J409" s="3176" t="s">
        <v>3453</v>
      </c>
      <c r="K409" s="3163"/>
      <c r="M409" s="3163"/>
    </row>
    <row r="410" spans="1:13" ht="16.5">
      <c r="A410" s="3170">
        <v>408</v>
      </c>
      <c r="B410" s="3171" t="s">
        <v>3718</v>
      </c>
      <c r="C410" s="3172" t="s">
        <v>3857</v>
      </c>
      <c r="D410" s="3173" t="s">
        <v>4672</v>
      </c>
      <c r="E410" s="3172" t="s">
        <v>4673</v>
      </c>
      <c r="F410" s="3179" t="s">
        <v>3324</v>
      </c>
      <c r="G410" s="3171">
        <v>-126</v>
      </c>
      <c r="H410" s="3174">
        <v>42.89</v>
      </c>
      <c r="I410" s="3175">
        <v>1501150</v>
      </c>
      <c r="J410" s="3176" t="s">
        <v>3453</v>
      </c>
      <c r="K410" s="3163"/>
      <c r="M410" s="3163"/>
    </row>
    <row r="411" spans="1:13" ht="16.5">
      <c r="A411" s="3170">
        <v>409</v>
      </c>
      <c r="B411" s="3171" t="s">
        <v>3718</v>
      </c>
      <c r="C411" s="3172" t="s">
        <v>3857</v>
      </c>
      <c r="D411" s="3173" t="s">
        <v>4674</v>
      </c>
      <c r="E411" s="3172" t="s">
        <v>4675</v>
      </c>
      <c r="F411" s="3179" t="s">
        <v>3324</v>
      </c>
      <c r="G411" s="3171">
        <v>-127</v>
      </c>
      <c r="H411" s="3174">
        <v>42.81</v>
      </c>
      <c r="I411" s="3175">
        <v>1498350</v>
      </c>
      <c r="J411" s="3176" t="s">
        <v>3453</v>
      </c>
      <c r="K411" s="3163"/>
      <c r="M411" s="3163"/>
    </row>
    <row r="412" spans="1:13" ht="16.5">
      <c r="A412" s="3170">
        <v>410</v>
      </c>
      <c r="B412" s="3171" t="s">
        <v>3718</v>
      </c>
      <c r="C412" s="3172" t="s">
        <v>3857</v>
      </c>
      <c r="D412" s="3173" t="s">
        <v>4676</v>
      </c>
      <c r="E412" s="3172" t="s">
        <v>4677</v>
      </c>
      <c r="F412" s="3179" t="s">
        <v>3324</v>
      </c>
      <c r="G412" s="3171">
        <v>-202</v>
      </c>
      <c r="H412" s="3174">
        <v>19.829999999999998</v>
      </c>
      <c r="I412" s="3175">
        <v>694050</v>
      </c>
      <c r="J412" s="3176" t="s">
        <v>3453</v>
      </c>
      <c r="K412" s="3163"/>
      <c r="M412" s="3163"/>
    </row>
    <row r="413" spans="1:13" ht="16.5">
      <c r="A413" s="3170">
        <v>411</v>
      </c>
      <c r="B413" s="3171" t="s">
        <v>3718</v>
      </c>
      <c r="C413" s="3172" t="s">
        <v>3857</v>
      </c>
      <c r="D413" s="3173" t="s">
        <v>4678</v>
      </c>
      <c r="E413" s="3172" t="s">
        <v>4679</v>
      </c>
      <c r="F413" s="3179" t="s">
        <v>3324</v>
      </c>
      <c r="G413" s="3171">
        <v>-203</v>
      </c>
      <c r="H413" s="3174">
        <v>19.829999999999998</v>
      </c>
      <c r="I413" s="3175">
        <v>694050</v>
      </c>
      <c r="J413" s="3176" t="s">
        <v>3453</v>
      </c>
      <c r="K413" s="3163"/>
      <c r="M413" s="3163"/>
    </row>
    <row r="414" spans="1:13" ht="16.5">
      <c r="A414" s="3170">
        <v>412</v>
      </c>
      <c r="B414" s="3171" t="s">
        <v>3718</v>
      </c>
      <c r="C414" s="3172" t="s">
        <v>3857</v>
      </c>
      <c r="D414" s="3173" t="s">
        <v>4680</v>
      </c>
      <c r="E414" s="3172" t="s">
        <v>4681</v>
      </c>
      <c r="F414" s="3179" t="s">
        <v>3324</v>
      </c>
      <c r="G414" s="3171">
        <v>-204</v>
      </c>
      <c r="H414" s="3174">
        <v>19.829999999999998</v>
      </c>
      <c r="I414" s="3175">
        <v>694050</v>
      </c>
      <c r="J414" s="3176" t="s">
        <v>3453</v>
      </c>
      <c r="K414" s="3163"/>
      <c r="M414" s="3163"/>
    </row>
    <row r="415" spans="1:13" ht="16.5">
      <c r="A415" s="3170">
        <v>413</v>
      </c>
      <c r="B415" s="3171" t="s">
        <v>3718</v>
      </c>
      <c r="C415" s="3172" t="s">
        <v>3857</v>
      </c>
      <c r="D415" s="3173" t="s">
        <v>4682</v>
      </c>
      <c r="E415" s="3172" t="s">
        <v>4683</v>
      </c>
      <c r="F415" s="3179" t="s">
        <v>3324</v>
      </c>
      <c r="G415" s="3171">
        <v>-205</v>
      </c>
      <c r="H415" s="3174">
        <v>19.829999999999998</v>
      </c>
      <c r="I415" s="3175">
        <v>694050</v>
      </c>
      <c r="J415" s="3176" t="s">
        <v>3453</v>
      </c>
      <c r="K415" s="3163"/>
      <c r="M415" s="3163"/>
    </row>
    <row r="416" spans="1:13" ht="16.5">
      <c r="A416" s="3170">
        <v>414</v>
      </c>
      <c r="B416" s="3171" t="s">
        <v>3718</v>
      </c>
      <c r="C416" s="3172" t="s">
        <v>3857</v>
      </c>
      <c r="D416" s="3173" t="s">
        <v>4684</v>
      </c>
      <c r="E416" s="3172" t="s">
        <v>4685</v>
      </c>
      <c r="F416" s="3179" t="s">
        <v>3324</v>
      </c>
      <c r="G416" s="3171">
        <v>-206</v>
      </c>
      <c r="H416" s="3174">
        <v>19.829999999999998</v>
      </c>
      <c r="I416" s="3175">
        <v>694050</v>
      </c>
      <c r="J416" s="3176" t="s">
        <v>3453</v>
      </c>
      <c r="K416" s="3163"/>
      <c r="M416" s="3163"/>
    </row>
    <row r="417" spans="1:13" ht="16.5">
      <c r="A417" s="3170">
        <v>415</v>
      </c>
      <c r="B417" s="3171" t="s">
        <v>3718</v>
      </c>
      <c r="C417" s="3172" t="s">
        <v>3857</v>
      </c>
      <c r="D417" s="3173" t="s">
        <v>4686</v>
      </c>
      <c r="E417" s="3172" t="s">
        <v>4687</v>
      </c>
      <c r="F417" s="3179" t="s">
        <v>3324</v>
      </c>
      <c r="G417" s="3171">
        <v>-207</v>
      </c>
      <c r="H417" s="3174">
        <v>23.63</v>
      </c>
      <c r="I417" s="3175">
        <v>827050</v>
      </c>
      <c r="J417" s="3176" t="s">
        <v>3453</v>
      </c>
      <c r="K417" s="3163"/>
      <c r="M417" s="3163"/>
    </row>
    <row r="418" spans="1:13" ht="16.5">
      <c r="A418" s="3170">
        <v>416</v>
      </c>
      <c r="B418" s="3171" t="s">
        <v>3718</v>
      </c>
      <c r="C418" s="3172" t="s">
        <v>3857</v>
      </c>
      <c r="D418" s="3173" t="s">
        <v>4688</v>
      </c>
      <c r="E418" s="3172" t="s">
        <v>4689</v>
      </c>
      <c r="F418" s="3179" t="s">
        <v>3324</v>
      </c>
      <c r="G418" s="3171">
        <v>-208</v>
      </c>
      <c r="H418" s="3174">
        <v>14.96</v>
      </c>
      <c r="I418" s="3175">
        <v>523600</v>
      </c>
      <c r="J418" s="3176" t="s">
        <v>3469</v>
      </c>
      <c r="K418" s="3163"/>
      <c r="M418" s="3163"/>
    </row>
    <row r="419" spans="1:13" ht="16.5">
      <c r="A419" s="3170">
        <v>417</v>
      </c>
      <c r="B419" s="3171" t="s">
        <v>3747</v>
      </c>
      <c r="C419" s="3172" t="s">
        <v>3857</v>
      </c>
      <c r="D419" s="3173" t="s">
        <v>4690</v>
      </c>
      <c r="E419" s="3172" t="s">
        <v>4691</v>
      </c>
      <c r="F419" s="3179" t="s">
        <v>3324</v>
      </c>
      <c r="G419" s="3171">
        <v>-101</v>
      </c>
      <c r="H419" s="3174">
        <v>24.3</v>
      </c>
      <c r="I419" s="3175">
        <v>850500</v>
      </c>
      <c r="J419" s="3176" t="s">
        <v>3453</v>
      </c>
      <c r="K419" s="3163"/>
      <c r="M419" s="3163"/>
    </row>
    <row r="420" spans="1:13" ht="16.5">
      <c r="A420" s="3170">
        <v>418</v>
      </c>
      <c r="B420" s="3171" t="s">
        <v>3747</v>
      </c>
      <c r="C420" s="3172" t="s">
        <v>3857</v>
      </c>
      <c r="D420" s="3173" t="s">
        <v>4692</v>
      </c>
      <c r="E420" s="3172" t="s">
        <v>4693</v>
      </c>
      <c r="F420" s="3179" t="s">
        <v>3324</v>
      </c>
      <c r="G420" s="3171">
        <v>-102</v>
      </c>
      <c r="H420" s="3174">
        <v>30.33</v>
      </c>
      <c r="I420" s="3175">
        <v>1061550</v>
      </c>
      <c r="J420" s="3176" t="s">
        <v>3453</v>
      </c>
      <c r="K420" s="3163"/>
      <c r="M420" s="3163"/>
    </row>
    <row r="421" spans="1:13" ht="16.5">
      <c r="A421" s="3170">
        <v>419</v>
      </c>
      <c r="B421" s="3171" t="s">
        <v>3747</v>
      </c>
      <c r="C421" s="3172" t="s">
        <v>3857</v>
      </c>
      <c r="D421" s="3173" t="s">
        <v>4694</v>
      </c>
      <c r="E421" s="3172" t="s">
        <v>4695</v>
      </c>
      <c r="F421" s="3179" t="s">
        <v>3324</v>
      </c>
      <c r="G421" s="3171">
        <v>-103</v>
      </c>
      <c r="H421" s="3174">
        <v>56.23</v>
      </c>
      <c r="I421" s="3175">
        <v>1968050</v>
      </c>
      <c r="J421" s="3176" t="s">
        <v>3453</v>
      </c>
      <c r="K421" s="3163"/>
      <c r="M421" s="3163"/>
    </row>
    <row r="422" spans="1:13" ht="16.5">
      <c r="A422" s="3170">
        <v>420</v>
      </c>
      <c r="B422" s="3171" t="s">
        <v>3747</v>
      </c>
      <c r="C422" s="3172" t="s">
        <v>3857</v>
      </c>
      <c r="D422" s="3173" t="s">
        <v>4696</v>
      </c>
      <c r="E422" s="3172" t="s">
        <v>4697</v>
      </c>
      <c r="F422" s="3179" t="s">
        <v>3324</v>
      </c>
      <c r="G422" s="3171">
        <v>-104</v>
      </c>
      <c r="H422" s="3174">
        <v>61.8</v>
      </c>
      <c r="I422" s="3175">
        <v>2163000</v>
      </c>
      <c r="J422" s="3176" t="s">
        <v>3453</v>
      </c>
      <c r="K422" s="3163"/>
      <c r="M422" s="3163"/>
    </row>
    <row r="423" spans="1:13" ht="16.5">
      <c r="A423" s="3170">
        <v>421</v>
      </c>
      <c r="B423" s="3171" t="s">
        <v>3747</v>
      </c>
      <c r="C423" s="3172" t="s">
        <v>3857</v>
      </c>
      <c r="D423" s="3173" t="s">
        <v>4698</v>
      </c>
      <c r="E423" s="3172" t="s">
        <v>4699</v>
      </c>
      <c r="F423" s="3179" t="s">
        <v>3324</v>
      </c>
      <c r="G423" s="3171">
        <v>-105</v>
      </c>
      <c r="H423" s="3174">
        <v>33.21</v>
      </c>
      <c r="I423" s="3175">
        <v>1162350</v>
      </c>
      <c r="J423" s="3176" t="s">
        <v>3453</v>
      </c>
      <c r="K423" s="3163"/>
      <c r="M423" s="3163"/>
    </row>
    <row r="424" spans="1:13" ht="16.5">
      <c r="A424" s="3170">
        <v>422</v>
      </c>
      <c r="B424" s="3171" t="s">
        <v>3747</v>
      </c>
      <c r="C424" s="3172" t="s">
        <v>3857</v>
      </c>
      <c r="D424" s="3173" t="s">
        <v>4700</v>
      </c>
      <c r="E424" s="3172" t="s">
        <v>4701</v>
      </c>
      <c r="F424" s="3179" t="s">
        <v>3324</v>
      </c>
      <c r="G424" s="3171">
        <v>-106</v>
      </c>
      <c r="H424" s="3174">
        <v>33.21</v>
      </c>
      <c r="I424" s="3175">
        <v>1162350</v>
      </c>
      <c r="J424" s="3176" t="s">
        <v>3453</v>
      </c>
      <c r="K424" s="3163"/>
      <c r="M424" s="3163"/>
    </row>
    <row r="425" spans="1:13" ht="16.5">
      <c r="A425" s="3170">
        <v>423</v>
      </c>
      <c r="B425" s="3171" t="s">
        <v>3747</v>
      </c>
      <c r="C425" s="3172" t="s">
        <v>3857</v>
      </c>
      <c r="D425" s="3173" t="s">
        <v>4702</v>
      </c>
      <c r="E425" s="3172" t="s">
        <v>4703</v>
      </c>
      <c r="F425" s="3179" t="s">
        <v>3324</v>
      </c>
      <c r="G425" s="3171">
        <v>-107</v>
      </c>
      <c r="H425" s="3174">
        <v>61.52</v>
      </c>
      <c r="I425" s="3175">
        <v>2153200</v>
      </c>
      <c r="J425" s="3176" t="s">
        <v>3453</v>
      </c>
      <c r="K425" s="3163"/>
      <c r="M425" s="3163"/>
    </row>
    <row r="426" spans="1:13" ht="16.5">
      <c r="A426" s="3170">
        <v>424</v>
      </c>
      <c r="B426" s="3171" t="s">
        <v>3747</v>
      </c>
      <c r="C426" s="3172" t="s">
        <v>3857</v>
      </c>
      <c r="D426" s="3173" t="s">
        <v>4704</v>
      </c>
      <c r="E426" s="3172" t="s">
        <v>4705</v>
      </c>
      <c r="F426" s="3179" t="s">
        <v>3324</v>
      </c>
      <c r="G426" s="3171">
        <v>-108</v>
      </c>
      <c r="H426" s="3174">
        <v>46.65</v>
      </c>
      <c r="I426" s="3175">
        <v>1632750</v>
      </c>
      <c r="J426" s="3176" t="s">
        <v>3453</v>
      </c>
      <c r="K426" s="3163"/>
      <c r="M426" s="3163"/>
    </row>
    <row r="427" spans="1:13" ht="16.5">
      <c r="A427" s="3170">
        <v>425</v>
      </c>
      <c r="B427" s="3171" t="s">
        <v>3747</v>
      </c>
      <c r="C427" s="3172" t="s">
        <v>3857</v>
      </c>
      <c r="D427" s="3173" t="s">
        <v>4706</v>
      </c>
      <c r="E427" s="3172" t="s">
        <v>4707</v>
      </c>
      <c r="F427" s="3179" t="s">
        <v>3324</v>
      </c>
      <c r="G427" s="3171">
        <v>-109</v>
      </c>
      <c r="H427" s="3174">
        <v>46.65</v>
      </c>
      <c r="I427" s="3175">
        <v>1632750</v>
      </c>
      <c r="J427" s="3176" t="s">
        <v>3453</v>
      </c>
      <c r="K427" s="3163"/>
      <c r="M427" s="3163"/>
    </row>
    <row r="428" spans="1:13" ht="16.5">
      <c r="A428" s="3170">
        <v>426</v>
      </c>
      <c r="B428" s="3171" t="s">
        <v>3747</v>
      </c>
      <c r="C428" s="3172" t="s">
        <v>3857</v>
      </c>
      <c r="D428" s="3173" t="s">
        <v>4708</v>
      </c>
      <c r="E428" s="3172" t="s">
        <v>4709</v>
      </c>
      <c r="F428" s="3179" t="s">
        <v>3324</v>
      </c>
      <c r="G428" s="3171">
        <v>-110</v>
      </c>
      <c r="H428" s="3174">
        <v>61.52</v>
      </c>
      <c r="I428" s="3175">
        <v>2153200</v>
      </c>
      <c r="J428" s="3176" t="s">
        <v>3453</v>
      </c>
      <c r="K428" s="3163"/>
      <c r="M428" s="3163"/>
    </row>
    <row r="429" spans="1:13" ht="16.5">
      <c r="A429" s="3170">
        <v>427</v>
      </c>
      <c r="B429" s="3171" t="s">
        <v>3747</v>
      </c>
      <c r="C429" s="3172" t="s">
        <v>3857</v>
      </c>
      <c r="D429" s="3173" t="s">
        <v>4710</v>
      </c>
      <c r="E429" s="3172" t="s">
        <v>4711</v>
      </c>
      <c r="F429" s="3179" t="s">
        <v>3324</v>
      </c>
      <c r="G429" s="3171">
        <v>-111</v>
      </c>
      <c r="H429" s="3174">
        <v>33.21</v>
      </c>
      <c r="I429" s="3175">
        <v>1162350</v>
      </c>
      <c r="J429" s="3176" t="s">
        <v>3453</v>
      </c>
      <c r="K429" s="3163"/>
      <c r="M429" s="3163"/>
    </row>
    <row r="430" spans="1:13" ht="16.5">
      <c r="A430" s="3170">
        <v>428</v>
      </c>
      <c r="B430" s="3171" t="s">
        <v>3747</v>
      </c>
      <c r="C430" s="3172" t="s">
        <v>3857</v>
      </c>
      <c r="D430" s="3173" t="s">
        <v>4712</v>
      </c>
      <c r="E430" s="3172" t="s">
        <v>4713</v>
      </c>
      <c r="F430" s="3179" t="s">
        <v>3324</v>
      </c>
      <c r="G430" s="3171">
        <v>-112</v>
      </c>
      <c r="H430" s="3174">
        <v>33.21</v>
      </c>
      <c r="I430" s="3175">
        <v>1162350</v>
      </c>
      <c r="J430" s="3176" t="s">
        <v>3453</v>
      </c>
      <c r="K430" s="3163"/>
      <c r="M430" s="3163"/>
    </row>
    <row r="431" spans="1:13" ht="16.5">
      <c r="A431" s="3170">
        <v>429</v>
      </c>
      <c r="B431" s="3171" t="s">
        <v>3747</v>
      </c>
      <c r="C431" s="3172" t="s">
        <v>3857</v>
      </c>
      <c r="D431" s="3173" t="s">
        <v>4714</v>
      </c>
      <c r="E431" s="3172" t="s">
        <v>4715</v>
      </c>
      <c r="F431" s="3179" t="s">
        <v>3324</v>
      </c>
      <c r="G431" s="3171">
        <v>-113</v>
      </c>
      <c r="H431" s="3174">
        <v>61.52</v>
      </c>
      <c r="I431" s="3175">
        <v>2153200</v>
      </c>
      <c r="J431" s="3176" t="s">
        <v>3453</v>
      </c>
      <c r="K431" s="3163"/>
      <c r="M431" s="3163"/>
    </row>
    <row r="432" spans="1:13" ht="16.5">
      <c r="A432" s="3170">
        <v>430</v>
      </c>
      <c r="B432" s="3171" t="s">
        <v>3747</v>
      </c>
      <c r="C432" s="3172" t="s">
        <v>3857</v>
      </c>
      <c r="D432" s="3173" t="s">
        <v>4716</v>
      </c>
      <c r="E432" s="3172" t="s">
        <v>4717</v>
      </c>
      <c r="F432" s="3179" t="s">
        <v>3324</v>
      </c>
      <c r="G432" s="3171">
        <v>-114</v>
      </c>
      <c r="H432" s="3174">
        <v>46.32</v>
      </c>
      <c r="I432" s="3175">
        <v>1621200</v>
      </c>
      <c r="J432" s="3176" t="s">
        <v>3453</v>
      </c>
      <c r="K432" s="3163"/>
      <c r="M432" s="3163"/>
    </row>
    <row r="433" spans="1:13" ht="16.5">
      <c r="A433" s="3170">
        <v>431</v>
      </c>
      <c r="B433" s="3171" t="s">
        <v>3747</v>
      </c>
      <c r="C433" s="3172" t="s">
        <v>3857</v>
      </c>
      <c r="D433" s="3173" t="s">
        <v>4718</v>
      </c>
      <c r="E433" s="3172" t="s">
        <v>4719</v>
      </c>
      <c r="F433" s="3179" t="s">
        <v>3324</v>
      </c>
      <c r="G433" s="3171">
        <v>-124</v>
      </c>
      <c r="H433" s="3174">
        <v>32.770000000000003</v>
      </c>
      <c r="I433" s="3175">
        <v>1146950</v>
      </c>
      <c r="J433" s="3176" t="s">
        <v>3453</v>
      </c>
      <c r="K433" s="3163"/>
      <c r="M433" s="3163"/>
    </row>
    <row r="434" spans="1:13" ht="16.5">
      <c r="A434" s="3170">
        <v>432</v>
      </c>
      <c r="B434" s="3171" t="s">
        <v>3747</v>
      </c>
      <c r="C434" s="3172" t="s">
        <v>3857</v>
      </c>
      <c r="D434" s="3173" t="s">
        <v>4720</v>
      </c>
      <c r="E434" s="3172" t="s">
        <v>4721</v>
      </c>
      <c r="F434" s="3179" t="s">
        <v>3324</v>
      </c>
      <c r="G434" s="3171">
        <v>-125</v>
      </c>
      <c r="H434" s="3174">
        <v>21.44</v>
      </c>
      <c r="I434" s="3175">
        <v>750400</v>
      </c>
      <c r="J434" s="3176" t="s">
        <v>3453</v>
      </c>
      <c r="K434" s="3163"/>
      <c r="M434" s="3163"/>
    </row>
    <row r="435" spans="1:13" ht="16.5">
      <c r="A435" s="3170">
        <v>433</v>
      </c>
      <c r="B435" s="3171" t="s">
        <v>3747</v>
      </c>
      <c r="C435" s="3172" t="s">
        <v>3857</v>
      </c>
      <c r="D435" s="3173" t="s">
        <v>4722</v>
      </c>
      <c r="E435" s="3172" t="s">
        <v>4723</v>
      </c>
      <c r="F435" s="3179" t="s">
        <v>3324</v>
      </c>
      <c r="G435" s="3171">
        <v>-126</v>
      </c>
      <c r="H435" s="3174">
        <v>42.48</v>
      </c>
      <c r="I435" s="3175">
        <v>1486800</v>
      </c>
      <c r="J435" s="3176" t="s">
        <v>3453</v>
      </c>
      <c r="K435" s="3163"/>
      <c r="M435" s="3163"/>
    </row>
    <row r="436" spans="1:13" ht="16.5">
      <c r="A436" s="3170">
        <v>434</v>
      </c>
      <c r="B436" s="3171" t="s">
        <v>3747</v>
      </c>
      <c r="C436" s="3172" t="s">
        <v>3857</v>
      </c>
      <c r="D436" s="3173" t="s">
        <v>4724</v>
      </c>
      <c r="E436" s="3172" t="s">
        <v>4725</v>
      </c>
      <c r="F436" s="3179" t="s">
        <v>3324</v>
      </c>
      <c r="G436" s="3171">
        <v>-201</v>
      </c>
      <c r="H436" s="3174">
        <v>22.34</v>
      </c>
      <c r="I436" s="3175">
        <v>781900</v>
      </c>
      <c r="J436" s="3176" t="s">
        <v>3453</v>
      </c>
      <c r="K436" s="3163"/>
      <c r="M436" s="3163"/>
    </row>
    <row r="437" spans="1:13" ht="16.5">
      <c r="A437" s="3170">
        <v>435</v>
      </c>
      <c r="B437" s="3171" t="s">
        <v>3747</v>
      </c>
      <c r="C437" s="3172" t="s">
        <v>3857</v>
      </c>
      <c r="D437" s="3173" t="s">
        <v>4726</v>
      </c>
      <c r="E437" s="3172" t="s">
        <v>4727</v>
      </c>
      <c r="F437" s="3179" t="s">
        <v>3324</v>
      </c>
      <c r="G437" s="3171">
        <v>-202</v>
      </c>
      <c r="H437" s="3174">
        <v>22.59</v>
      </c>
      <c r="I437" s="3175">
        <v>790650</v>
      </c>
      <c r="J437" s="3176" t="s">
        <v>3453</v>
      </c>
      <c r="K437" s="3163"/>
      <c r="M437" s="3163"/>
    </row>
    <row r="438" spans="1:13" ht="16.5">
      <c r="A438" s="3170">
        <v>436</v>
      </c>
      <c r="B438" s="3171" t="s">
        <v>3747</v>
      </c>
      <c r="C438" s="3172" t="s">
        <v>3857</v>
      </c>
      <c r="D438" s="3173" t="s">
        <v>4728</v>
      </c>
      <c r="E438" s="3172" t="s">
        <v>4729</v>
      </c>
      <c r="F438" s="3179" t="s">
        <v>3324</v>
      </c>
      <c r="G438" s="3171">
        <v>-203</v>
      </c>
      <c r="H438" s="3174">
        <v>22.59</v>
      </c>
      <c r="I438" s="3175">
        <v>790650</v>
      </c>
      <c r="J438" s="3176" t="s">
        <v>3453</v>
      </c>
      <c r="K438" s="3163"/>
      <c r="M438" s="3163"/>
    </row>
    <row r="439" spans="1:13" ht="16.5">
      <c r="A439" s="3170">
        <v>437</v>
      </c>
      <c r="B439" s="3171" t="s">
        <v>3747</v>
      </c>
      <c r="C439" s="3172" t="s">
        <v>3857</v>
      </c>
      <c r="D439" s="3173" t="s">
        <v>4730</v>
      </c>
      <c r="E439" s="3172" t="s">
        <v>4731</v>
      </c>
      <c r="F439" s="3179" t="s">
        <v>3324</v>
      </c>
      <c r="G439" s="3171">
        <v>-204</v>
      </c>
      <c r="H439" s="3174">
        <v>25.56</v>
      </c>
      <c r="I439" s="3175">
        <v>894600</v>
      </c>
      <c r="J439" s="3176" t="s">
        <v>3469</v>
      </c>
      <c r="K439" s="3163"/>
      <c r="M439" s="3163"/>
    </row>
    <row r="440" spans="1:13" ht="16.5">
      <c r="A440" s="3170">
        <v>438</v>
      </c>
      <c r="B440" s="3171" t="s">
        <v>3747</v>
      </c>
      <c r="C440" s="3172" t="s">
        <v>3857</v>
      </c>
      <c r="D440" s="3173" t="s">
        <v>4732</v>
      </c>
      <c r="E440" s="3172" t="s">
        <v>4733</v>
      </c>
      <c r="F440" s="3179" t="s">
        <v>3324</v>
      </c>
      <c r="G440" s="3171">
        <v>-207</v>
      </c>
      <c r="H440" s="3174">
        <v>24.1</v>
      </c>
      <c r="I440" s="3175">
        <v>843500</v>
      </c>
      <c r="J440" s="3176" t="s">
        <v>3453</v>
      </c>
      <c r="K440" s="3163"/>
      <c r="M440" s="3163"/>
    </row>
    <row r="441" spans="1:13" ht="16.5">
      <c r="A441" s="3170">
        <v>439</v>
      </c>
      <c r="B441" s="3171" t="s">
        <v>3747</v>
      </c>
      <c r="C441" s="3172" t="s">
        <v>3857</v>
      </c>
      <c r="D441" s="3173" t="s">
        <v>4734</v>
      </c>
      <c r="E441" s="3172" t="s">
        <v>4735</v>
      </c>
      <c r="F441" s="3179" t="s">
        <v>3324</v>
      </c>
      <c r="G441" s="3171">
        <v>-208</v>
      </c>
      <c r="H441" s="3174">
        <v>30.67</v>
      </c>
      <c r="I441" s="3175">
        <v>1073450</v>
      </c>
      <c r="J441" s="3176" t="s">
        <v>3453</v>
      </c>
      <c r="K441" s="3163"/>
      <c r="M441" s="3163"/>
    </row>
    <row r="442" spans="1:13" ht="16.5">
      <c r="A442" s="3170">
        <v>440</v>
      </c>
      <c r="B442" s="3171" t="s">
        <v>3747</v>
      </c>
      <c r="C442" s="3172" t="s">
        <v>3857</v>
      </c>
      <c r="D442" s="3173" t="s">
        <v>4736</v>
      </c>
      <c r="E442" s="3172" t="s">
        <v>4737</v>
      </c>
      <c r="F442" s="3179" t="s">
        <v>3324</v>
      </c>
      <c r="G442" s="3171">
        <v>-209</v>
      </c>
      <c r="H442" s="3174">
        <v>27.09</v>
      </c>
      <c r="I442" s="3175">
        <v>948150</v>
      </c>
      <c r="J442" s="3176" t="s">
        <v>3453</v>
      </c>
      <c r="K442" s="3163"/>
      <c r="M442" s="3163"/>
    </row>
    <row r="443" spans="1:13" ht="16.5">
      <c r="A443" s="3170">
        <v>441</v>
      </c>
      <c r="B443" s="3171" t="s">
        <v>3747</v>
      </c>
      <c r="C443" s="3172" t="s">
        <v>3857</v>
      </c>
      <c r="D443" s="3173" t="s">
        <v>4738</v>
      </c>
      <c r="E443" s="3172" t="s">
        <v>4739</v>
      </c>
      <c r="F443" s="3179" t="s">
        <v>3324</v>
      </c>
      <c r="G443" s="3171">
        <v>-210</v>
      </c>
      <c r="H443" s="3174">
        <v>21.28</v>
      </c>
      <c r="I443" s="3175">
        <v>744800</v>
      </c>
      <c r="J443" s="3176" t="s">
        <v>3469</v>
      </c>
      <c r="K443" s="3163"/>
      <c r="M443" s="3163"/>
    </row>
    <row r="444" spans="1:13" ht="16.5">
      <c r="A444" s="3170">
        <v>442</v>
      </c>
      <c r="B444" s="3171" t="s">
        <v>3747</v>
      </c>
      <c r="C444" s="3172" t="s">
        <v>3857</v>
      </c>
      <c r="D444" s="3173" t="s">
        <v>4740</v>
      </c>
      <c r="E444" s="3172" t="s">
        <v>4741</v>
      </c>
      <c r="F444" s="3179" t="s">
        <v>3324</v>
      </c>
      <c r="G444" s="3171">
        <v>-213</v>
      </c>
      <c r="H444" s="3174">
        <v>16.12</v>
      </c>
      <c r="I444" s="3175">
        <v>564200</v>
      </c>
      <c r="J444" s="3176" t="s">
        <v>3453</v>
      </c>
      <c r="K444" s="3163"/>
      <c r="M444" s="3163"/>
    </row>
    <row r="445" spans="1:13" ht="16.5">
      <c r="A445" s="3170">
        <v>443</v>
      </c>
      <c r="B445" s="3171" t="s">
        <v>3747</v>
      </c>
      <c r="C445" s="3172" t="s">
        <v>3857</v>
      </c>
      <c r="D445" s="3173" t="s">
        <v>4742</v>
      </c>
      <c r="E445" s="3172" t="s">
        <v>4743</v>
      </c>
      <c r="F445" s="3179" t="s">
        <v>3324</v>
      </c>
      <c r="G445" s="3171">
        <v>-216</v>
      </c>
      <c r="H445" s="3174">
        <v>22.59</v>
      </c>
      <c r="I445" s="3175">
        <v>790650</v>
      </c>
      <c r="J445" s="3176" t="s">
        <v>3453</v>
      </c>
      <c r="K445" s="3163"/>
      <c r="M445" s="3163"/>
    </row>
    <row r="446" spans="1:13" ht="16.5">
      <c r="A446" s="3170">
        <v>444</v>
      </c>
      <c r="B446" s="3171" t="s">
        <v>3762</v>
      </c>
      <c r="C446" s="3172" t="s">
        <v>3857</v>
      </c>
      <c r="D446" s="3173" t="s">
        <v>4744</v>
      </c>
      <c r="E446" s="3172" t="s">
        <v>4745</v>
      </c>
      <c r="F446" s="3179" t="s">
        <v>3324</v>
      </c>
      <c r="G446" s="3171">
        <v>-101</v>
      </c>
      <c r="H446" s="3174">
        <v>24.49</v>
      </c>
      <c r="I446" s="3175">
        <v>857150</v>
      </c>
      <c r="J446" s="3176" t="s">
        <v>3453</v>
      </c>
      <c r="K446" s="3163"/>
      <c r="M446" s="3163"/>
    </row>
    <row r="447" spans="1:13" ht="16.5">
      <c r="A447" s="3170">
        <v>445</v>
      </c>
      <c r="B447" s="3171" t="s">
        <v>3762</v>
      </c>
      <c r="C447" s="3172" t="s">
        <v>3857</v>
      </c>
      <c r="D447" s="3173" t="s">
        <v>4746</v>
      </c>
      <c r="E447" s="3172" t="s">
        <v>4747</v>
      </c>
      <c r="F447" s="3179" t="s">
        <v>3324</v>
      </c>
      <c r="G447" s="3171">
        <v>-102</v>
      </c>
      <c r="H447" s="3174">
        <v>30.56</v>
      </c>
      <c r="I447" s="3175">
        <v>1069600</v>
      </c>
      <c r="J447" s="3176" t="s">
        <v>3453</v>
      </c>
      <c r="K447" s="3163"/>
      <c r="M447" s="3163"/>
    </row>
    <row r="448" spans="1:13" ht="16.5">
      <c r="A448" s="3170">
        <v>446</v>
      </c>
      <c r="B448" s="3171" t="s">
        <v>3762</v>
      </c>
      <c r="C448" s="3172" t="s">
        <v>3857</v>
      </c>
      <c r="D448" s="3173" t="s">
        <v>4748</v>
      </c>
      <c r="E448" s="3172" t="s">
        <v>4749</v>
      </c>
      <c r="F448" s="3179" t="s">
        <v>3324</v>
      </c>
      <c r="G448" s="3171">
        <v>-103</v>
      </c>
      <c r="H448" s="3174">
        <v>56.66</v>
      </c>
      <c r="I448" s="3175">
        <v>1983100</v>
      </c>
      <c r="J448" s="3176" t="s">
        <v>3453</v>
      </c>
      <c r="K448" s="3163"/>
      <c r="M448" s="3163"/>
    </row>
    <row r="449" spans="1:13" ht="16.5">
      <c r="A449" s="3170">
        <v>447</v>
      </c>
      <c r="B449" s="3171" t="s">
        <v>3762</v>
      </c>
      <c r="C449" s="3172" t="s">
        <v>3857</v>
      </c>
      <c r="D449" s="3173" t="s">
        <v>4750</v>
      </c>
      <c r="E449" s="3172" t="s">
        <v>4751</v>
      </c>
      <c r="F449" s="3179" t="s">
        <v>3324</v>
      </c>
      <c r="G449" s="3171">
        <v>-104</v>
      </c>
      <c r="H449" s="3174">
        <v>62.27</v>
      </c>
      <c r="I449" s="3175">
        <v>2179450</v>
      </c>
      <c r="J449" s="3176" t="s">
        <v>3453</v>
      </c>
      <c r="K449" s="3163"/>
      <c r="M449" s="3163"/>
    </row>
    <row r="450" spans="1:13" ht="16.5">
      <c r="A450" s="3170">
        <v>448</v>
      </c>
      <c r="B450" s="3171" t="s">
        <v>3762</v>
      </c>
      <c r="C450" s="3172" t="s">
        <v>3857</v>
      </c>
      <c r="D450" s="3173" t="s">
        <v>4752</v>
      </c>
      <c r="E450" s="3172" t="s">
        <v>4753</v>
      </c>
      <c r="F450" s="3179" t="s">
        <v>3324</v>
      </c>
      <c r="G450" s="3171">
        <v>-105</v>
      </c>
      <c r="H450" s="3174">
        <v>33.46</v>
      </c>
      <c r="I450" s="3175">
        <v>1171100</v>
      </c>
      <c r="J450" s="3176" t="s">
        <v>3453</v>
      </c>
      <c r="K450" s="3163"/>
      <c r="M450" s="3163"/>
    </row>
    <row r="451" spans="1:13" ht="16.5">
      <c r="A451" s="3170">
        <v>449</v>
      </c>
      <c r="B451" s="3171" t="s">
        <v>3762</v>
      </c>
      <c r="C451" s="3172" t="s">
        <v>3857</v>
      </c>
      <c r="D451" s="3173" t="s">
        <v>4754</v>
      </c>
      <c r="E451" s="3172" t="s">
        <v>4755</v>
      </c>
      <c r="F451" s="3179" t="s">
        <v>3324</v>
      </c>
      <c r="G451" s="3171">
        <v>-109</v>
      </c>
      <c r="H451" s="3174">
        <v>47</v>
      </c>
      <c r="I451" s="3175">
        <v>1645000</v>
      </c>
      <c r="J451" s="3176" t="s">
        <v>3469</v>
      </c>
      <c r="K451" s="3163"/>
      <c r="M451" s="3163"/>
    </row>
    <row r="452" spans="1:13" ht="16.5">
      <c r="A452" s="3170">
        <v>450</v>
      </c>
      <c r="B452" s="3171" t="s">
        <v>3762</v>
      </c>
      <c r="C452" s="3172" t="s">
        <v>3857</v>
      </c>
      <c r="D452" s="3173" t="s">
        <v>4756</v>
      </c>
      <c r="E452" s="3172" t="s">
        <v>4757</v>
      </c>
      <c r="F452" s="3179" t="s">
        <v>3324</v>
      </c>
      <c r="G452" s="3171">
        <v>-110</v>
      </c>
      <c r="H452" s="3174">
        <v>61.99</v>
      </c>
      <c r="I452" s="3175">
        <v>2169650</v>
      </c>
      <c r="J452" s="3176" t="s">
        <v>3469</v>
      </c>
      <c r="K452" s="3163"/>
      <c r="M452" s="3163"/>
    </row>
    <row r="453" spans="1:13" ht="16.5">
      <c r="A453" s="3170">
        <v>451</v>
      </c>
      <c r="B453" s="3171" t="s">
        <v>3762</v>
      </c>
      <c r="C453" s="3172" t="s">
        <v>3857</v>
      </c>
      <c r="D453" s="3173" t="s">
        <v>4758</v>
      </c>
      <c r="E453" s="3172" t="s">
        <v>4759</v>
      </c>
      <c r="F453" s="3179" t="s">
        <v>3324</v>
      </c>
      <c r="G453" s="3171">
        <v>-111</v>
      </c>
      <c r="H453" s="3174">
        <v>33.46</v>
      </c>
      <c r="I453" s="3175">
        <v>1171100</v>
      </c>
      <c r="J453" s="3176" t="s">
        <v>3469</v>
      </c>
      <c r="K453" s="3163"/>
      <c r="M453" s="3163"/>
    </row>
    <row r="454" spans="1:13" ht="16.5">
      <c r="A454" s="3170">
        <v>452</v>
      </c>
      <c r="B454" s="3171" t="s">
        <v>3762</v>
      </c>
      <c r="C454" s="3172" t="s">
        <v>3857</v>
      </c>
      <c r="D454" s="3173" t="s">
        <v>4760</v>
      </c>
      <c r="E454" s="3172" t="s">
        <v>4761</v>
      </c>
      <c r="F454" s="3179" t="s">
        <v>3324</v>
      </c>
      <c r="G454" s="3171">
        <v>-115</v>
      </c>
      <c r="H454" s="3174">
        <v>46.67</v>
      </c>
      <c r="I454" s="3175">
        <v>1633450</v>
      </c>
      <c r="J454" s="3176" t="s">
        <v>3453</v>
      </c>
      <c r="K454" s="3163"/>
      <c r="M454" s="3163"/>
    </row>
    <row r="455" spans="1:13" ht="16.5">
      <c r="A455" s="3170">
        <v>453</v>
      </c>
      <c r="B455" s="3171" t="s">
        <v>3762</v>
      </c>
      <c r="C455" s="3172" t="s">
        <v>3857</v>
      </c>
      <c r="D455" s="3173" t="s">
        <v>4762</v>
      </c>
      <c r="E455" s="3172" t="s">
        <v>4763</v>
      </c>
      <c r="F455" s="3179" t="s">
        <v>3324</v>
      </c>
      <c r="G455" s="3171">
        <v>-116</v>
      </c>
      <c r="H455" s="3174">
        <v>61.99</v>
      </c>
      <c r="I455" s="3175">
        <v>2169650</v>
      </c>
      <c r="J455" s="3176" t="s">
        <v>3453</v>
      </c>
    </row>
    <row r="456" spans="1:13" ht="16.5">
      <c r="A456" s="3170">
        <v>454</v>
      </c>
      <c r="B456" s="3171" t="s">
        <v>3762</v>
      </c>
      <c r="C456" s="3172" t="s">
        <v>3857</v>
      </c>
      <c r="D456" s="3173" t="s">
        <v>4764</v>
      </c>
      <c r="E456" s="3172" t="s">
        <v>4765</v>
      </c>
      <c r="F456" s="3179" t="s">
        <v>3324</v>
      </c>
      <c r="G456" s="3171">
        <v>-117</v>
      </c>
      <c r="H456" s="3174">
        <v>33.46</v>
      </c>
      <c r="I456" s="3175">
        <v>1171100</v>
      </c>
      <c r="J456" s="3176" t="s">
        <v>3453</v>
      </c>
    </row>
    <row r="457" spans="1:13" ht="16.5">
      <c r="A457" s="3170">
        <v>455</v>
      </c>
      <c r="B457" s="3171" t="s">
        <v>3762</v>
      </c>
      <c r="C457" s="3172" t="s">
        <v>3857</v>
      </c>
      <c r="D457" s="3173" t="s">
        <v>4766</v>
      </c>
      <c r="E457" s="3172" t="s">
        <v>4767</v>
      </c>
      <c r="F457" s="3179" t="s">
        <v>3324</v>
      </c>
      <c r="G457" s="3171">
        <v>-118</v>
      </c>
      <c r="H457" s="3174">
        <v>33.46</v>
      </c>
      <c r="I457" s="3175">
        <v>1171100</v>
      </c>
      <c r="J457" s="3176" t="s">
        <v>3453</v>
      </c>
    </row>
    <row r="458" spans="1:13" ht="16.5">
      <c r="A458" s="3170">
        <v>456</v>
      </c>
      <c r="B458" s="3171" t="s">
        <v>3762</v>
      </c>
      <c r="C458" s="3172" t="s">
        <v>3857</v>
      </c>
      <c r="D458" s="3173" t="s">
        <v>4768</v>
      </c>
      <c r="E458" s="3172" t="s">
        <v>4769</v>
      </c>
      <c r="F458" s="3179" t="s">
        <v>3324</v>
      </c>
      <c r="G458" s="3171">
        <v>-119</v>
      </c>
      <c r="H458" s="3174">
        <v>62.27</v>
      </c>
      <c r="I458" s="3175">
        <v>2179450</v>
      </c>
      <c r="J458" s="3176" t="s">
        <v>3453</v>
      </c>
    </row>
    <row r="459" spans="1:13" ht="16.5">
      <c r="A459" s="3170">
        <v>457</v>
      </c>
      <c r="B459" s="3171" t="s">
        <v>3762</v>
      </c>
      <c r="C459" s="3172" t="s">
        <v>3857</v>
      </c>
      <c r="D459" s="3173" t="s">
        <v>4770</v>
      </c>
      <c r="E459" s="3172" t="s">
        <v>4771</v>
      </c>
      <c r="F459" s="3179" t="s">
        <v>3324</v>
      </c>
      <c r="G459" s="3171">
        <v>-120</v>
      </c>
      <c r="H459" s="3174">
        <v>56.66</v>
      </c>
      <c r="I459" s="3175">
        <v>1983100</v>
      </c>
      <c r="J459" s="3176" t="s">
        <v>3453</v>
      </c>
    </row>
    <row r="460" spans="1:13" ht="16.5">
      <c r="A460" s="3170">
        <v>458</v>
      </c>
      <c r="B460" s="3171" t="s">
        <v>3762</v>
      </c>
      <c r="C460" s="3172" t="s">
        <v>3857</v>
      </c>
      <c r="D460" s="3173" t="s">
        <v>4772</v>
      </c>
      <c r="E460" s="3172" t="s">
        <v>4773</v>
      </c>
      <c r="F460" s="3179" t="s">
        <v>3324</v>
      </c>
      <c r="G460" s="3171">
        <v>-121</v>
      </c>
      <c r="H460" s="3174">
        <v>30.56</v>
      </c>
      <c r="I460" s="3175">
        <v>1069600</v>
      </c>
      <c r="J460" s="3176" t="s">
        <v>3453</v>
      </c>
    </row>
    <row r="461" spans="1:13" ht="16.5">
      <c r="A461" s="3170">
        <v>459</v>
      </c>
      <c r="B461" s="3171" t="s">
        <v>3762</v>
      </c>
      <c r="C461" s="3172" t="s">
        <v>3857</v>
      </c>
      <c r="D461" s="3173" t="s">
        <v>4774</v>
      </c>
      <c r="E461" s="3172" t="s">
        <v>4775</v>
      </c>
      <c r="F461" s="3179" t="s">
        <v>3324</v>
      </c>
      <c r="G461" s="3171">
        <v>-122</v>
      </c>
      <c r="H461" s="3174">
        <v>24.49</v>
      </c>
      <c r="I461" s="3175">
        <v>857150</v>
      </c>
      <c r="J461" s="3176" t="s">
        <v>3453</v>
      </c>
    </row>
    <row r="462" spans="1:13" ht="16.5">
      <c r="A462" s="3170">
        <v>460</v>
      </c>
      <c r="B462" s="3171" t="s">
        <v>3762</v>
      </c>
      <c r="C462" s="3172" t="s">
        <v>3857</v>
      </c>
      <c r="D462" s="3173" t="s">
        <v>4776</v>
      </c>
      <c r="E462" s="3172" t="s">
        <v>4777</v>
      </c>
      <c r="F462" s="3179" t="s">
        <v>3324</v>
      </c>
      <c r="G462" s="3171">
        <v>-126</v>
      </c>
      <c r="H462" s="3174">
        <v>42.81</v>
      </c>
      <c r="I462" s="3175">
        <v>1498350</v>
      </c>
      <c r="J462" s="3176" t="s">
        <v>3453</v>
      </c>
    </row>
    <row r="463" spans="1:13" ht="16.5">
      <c r="A463" s="3170">
        <v>461</v>
      </c>
      <c r="B463" s="3171" t="s">
        <v>3762</v>
      </c>
      <c r="C463" s="3172" t="s">
        <v>3857</v>
      </c>
      <c r="D463" s="3173" t="s">
        <v>4778</v>
      </c>
      <c r="E463" s="3172" t="s">
        <v>4779</v>
      </c>
      <c r="F463" s="3179" t="s">
        <v>3324</v>
      </c>
      <c r="G463" s="3171">
        <v>-201</v>
      </c>
      <c r="H463" s="3174">
        <v>22.51</v>
      </c>
      <c r="I463" s="3175">
        <v>787850</v>
      </c>
      <c r="J463" s="3176" t="s">
        <v>3453</v>
      </c>
    </row>
    <row r="464" spans="1:13" ht="16.5">
      <c r="A464" s="3170">
        <v>462</v>
      </c>
      <c r="B464" s="3171" t="s">
        <v>3762</v>
      </c>
      <c r="C464" s="3172" t="s">
        <v>3857</v>
      </c>
      <c r="D464" s="3173" t="s">
        <v>4780</v>
      </c>
      <c r="E464" s="3172" t="s">
        <v>4781</v>
      </c>
      <c r="F464" s="3179" t="s">
        <v>3324</v>
      </c>
      <c r="G464" s="3171">
        <v>-202</v>
      </c>
      <c r="H464" s="3174">
        <v>25.39</v>
      </c>
      <c r="I464" s="3175">
        <v>888650</v>
      </c>
      <c r="J464" s="3176" t="s">
        <v>3453</v>
      </c>
    </row>
    <row r="465" spans="1:10" ht="16.5">
      <c r="A465" s="3170">
        <v>463</v>
      </c>
      <c r="B465" s="3171" t="s">
        <v>3762</v>
      </c>
      <c r="C465" s="3172" t="s">
        <v>3857</v>
      </c>
      <c r="D465" s="3173" t="s">
        <v>4782</v>
      </c>
      <c r="E465" s="3172" t="s">
        <v>4783</v>
      </c>
      <c r="F465" s="3179" t="s">
        <v>3324</v>
      </c>
      <c r="G465" s="3171">
        <v>-203</v>
      </c>
      <c r="H465" s="3174">
        <v>26.12</v>
      </c>
      <c r="I465" s="3175">
        <v>914200</v>
      </c>
      <c r="J465" s="3176" t="s">
        <v>3453</v>
      </c>
    </row>
    <row r="466" spans="1:10" ht="16.5">
      <c r="A466" s="3170">
        <v>464</v>
      </c>
      <c r="B466" s="3171" t="s">
        <v>3762</v>
      </c>
      <c r="C466" s="3172" t="s">
        <v>3857</v>
      </c>
      <c r="D466" s="3173" t="s">
        <v>4784</v>
      </c>
      <c r="E466" s="3172" t="s">
        <v>4785</v>
      </c>
      <c r="F466" s="3179" t="s">
        <v>3324</v>
      </c>
      <c r="G466" s="3171">
        <v>-204</v>
      </c>
      <c r="H466" s="3174">
        <v>24.28</v>
      </c>
      <c r="I466" s="3175">
        <v>849800</v>
      </c>
      <c r="J466" s="3176" t="s">
        <v>3453</v>
      </c>
    </row>
    <row r="467" spans="1:10" ht="16.5">
      <c r="A467" s="3170">
        <v>465</v>
      </c>
      <c r="B467" s="3171" t="s">
        <v>3762</v>
      </c>
      <c r="C467" s="3172" t="s">
        <v>3857</v>
      </c>
      <c r="D467" s="3173" t="s">
        <v>4786</v>
      </c>
      <c r="E467" s="3172" t="s">
        <v>4787</v>
      </c>
      <c r="F467" s="3179" t="s">
        <v>3324</v>
      </c>
      <c r="G467" s="3171">
        <v>-208</v>
      </c>
      <c r="H467" s="3174">
        <v>21.5</v>
      </c>
      <c r="I467" s="3175">
        <v>752500</v>
      </c>
      <c r="J467" s="3176" t="s">
        <v>3453</v>
      </c>
    </row>
    <row r="468" spans="1:10" ht="16.5">
      <c r="A468" s="3170">
        <v>466</v>
      </c>
      <c r="B468" s="3171" t="s">
        <v>3762</v>
      </c>
      <c r="C468" s="3172" t="s">
        <v>3857</v>
      </c>
      <c r="D468" s="3173" t="s">
        <v>4788</v>
      </c>
      <c r="E468" s="3172" t="s">
        <v>4789</v>
      </c>
      <c r="F468" s="3179" t="s">
        <v>3324</v>
      </c>
      <c r="G468" s="3171">
        <v>-209</v>
      </c>
      <c r="H468" s="3174">
        <v>22.76</v>
      </c>
      <c r="I468" s="3175">
        <v>796600</v>
      </c>
      <c r="J468" s="3176" t="s">
        <v>3453</v>
      </c>
    </row>
    <row r="469" spans="1:10" ht="16.5">
      <c r="A469" s="3170">
        <v>467</v>
      </c>
      <c r="B469" s="3171" t="s">
        <v>3762</v>
      </c>
      <c r="C469" s="3172" t="s">
        <v>3857</v>
      </c>
      <c r="D469" s="3173" t="s">
        <v>4790</v>
      </c>
      <c r="E469" s="3172" t="s">
        <v>4791</v>
      </c>
      <c r="F469" s="3179" t="s">
        <v>3324</v>
      </c>
      <c r="G469" s="3171">
        <v>-211</v>
      </c>
      <c r="H469" s="3174">
        <v>22.76</v>
      </c>
      <c r="I469" s="3175">
        <v>796600</v>
      </c>
      <c r="J469" s="3176" t="s">
        <v>3469</v>
      </c>
    </row>
    <row r="470" spans="1:10">
      <c r="H470" s="3178">
        <f>SUM(H3:H469)</f>
        <v>16546.309999999998</v>
      </c>
    </row>
  </sheetData>
  <autoFilter ref="A2:P454"/>
  <mergeCells count="1">
    <mergeCell ref="A1:H1"/>
  </mergeCells>
  <phoneticPr fontId="134" type="noConversion"/>
  <conditionalFormatting sqref="D3:D262">
    <cfRule type="duplicateValues" dxfId="1454" priority="415"/>
    <cfRule type="expression" dxfId="1453" priority="416">
      <formula>AND(SUMPRODUCT(IFERROR(1*(($D$3:$D$452&amp;"x")=(D3&amp;"x")),0))&gt;1,NOT(ISBLANK(D3)))</formula>
    </cfRule>
  </conditionalFormatting>
  <conditionalFormatting sqref="D263">
    <cfRule type="duplicateValues" dxfId="1452" priority="207"/>
    <cfRule type="expression" dxfId="1451" priority="414">
      <formula>AND(SUMPRODUCT(IFERROR(1*(($D$453&amp;"x")=(D263&amp;"x")),0))&gt;1,NOT(ISBLANK(D263)))</formula>
    </cfRule>
  </conditionalFormatting>
  <conditionalFormatting sqref="D264">
    <cfRule type="expression" dxfId="1450" priority="413">
      <formula>AND(SUMPRODUCT(IFERROR(1*(($D$454&amp;"x")=(D264&amp;"x")),0))&gt;1,NOT(ISBLANK(D264)))</formula>
    </cfRule>
    <cfRule type="duplicateValues" dxfId="1449" priority="206"/>
  </conditionalFormatting>
  <conditionalFormatting sqref="D265">
    <cfRule type="expression" dxfId="1448" priority="412">
      <formula>AND(SUMPRODUCT(IFERROR(1*(($D$455&amp;"x")=(D265&amp;"x")),0))&gt;1,NOT(ISBLANK(D265)))</formula>
    </cfRule>
    <cfRule type="duplicateValues" dxfId="1447" priority="205"/>
  </conditionalFormatting>
  <conditionalFormatting sqref="D266">
    <cfRule type="expression" dxfId="1446" priority="411">
      <formula>AND(SUMPRODUCT(IFERROR(1*(($D$456&amp;"x")=(D266&amp;"x")),0))&gt;1,NOT(ISBLANK(D266)))</formula>
    </cfRule>
    <cfRule type="duplicateValues" dxfId="1445" priority="204"/>
  </conditionalFormatting>
  <conditionalFormatting sqref="D267">
    <cfRule type="duplicateValues" dxfId="1444" priority="203"/>
    <cfRule type="expression" dxfId="1443" priority="410">
      <formula>AND(SUMPRODUCT(IFERROR(1*(($D$457&amp;"x")=(D267&amp;"x")),0))&gt;1,NOT(ISBLANK(D267)))</formula>
    </cfRule>
  </conditionalFormatting>
  <conditionalFormatting sqref="D268">
    <cfRule type="expression" dxfId="1442" priority="409">
      <formula>AND(SUMPRODUCT(IFERROR(1*(($D$458&amp;"x")=(D268&amp;"x")),0))&gt;1,NOT(ISBLANK(D268)))</formula>
    </cfRule>
    <cfRule type="duplicateValues" dxfId="1441" priority="202"/>
  </conditionalFormatting>
  <conditionalFormatting sqref="D269">
    <cfRule type="expression" dxfId="1440" priority="408">
      <formula>AND(SUMPRODUCT(IFERROR(1*(($D$459&amp;"x")=(D269&amp;"x")),0))&gt;1,NOT(ISBLANK(D269)))</formula>
    </cfRule>
    <cfRule type="duplicateValues" dxfId="1439" priority="201"/>
  </conditionalFormatting>
  <conditionalFormatting sqref="D270">
    <cfRule type="expression" dxfId="1438" priority="407">
      <formula>AND(SUMPRODUCT(IFERROR(1*(($D$460&amp;"x")=(D270&amp;"x")),0))&gt;1,NOT(ISBLANK(D270)))</formula>
    </cfRule>
    <cfRule type="duplicateValues" dxfId="1437" priority="200"/>
  </conditionalFormatting>
  <conditionalFormatting sqref="D271">
    <cfRule type="expression" dxfId="1436" priority="406">
      <formula>AND(SUMPRODUCT(IFERROR(1*(($D$461&amp;"x")=(D271&amp;"x")),0))&gt;1,NOT(ISBLANK(D271)))</formula>
    </cfRule>
    <cfRule type="duplicateValues" dxfId="1435" priority="199"/>
  </conditionalFormatting>
  <conditionalFormatting sqref="D272">
    <cfRule type="expression" dxfId="1434" priority="405">
      <formula>AND(SUMPRODUCT(IFERROR(1*(($D$462&amp;"x")=(D272&amp;"x")),0))&gt;1,NOT(ISBLANK(D272)))</formula>
    </cfRule>
    <cfRule type="duplicateValues" dxfId="1433" priority="198"/>
  </conditionalFormatting>
  <conditionalFormatting sqref="D273">
    <cfRule type="expression" dxfId="1432" priority="404">
      <formula>AND(SUMPRODUCT(IFERROR(1*(($D$463&amp;"x")=(D273&amp;"x")),0))&gt;1,NOT(ISBLANK(D273)))</formula>
    </cfRule>
    <cfRule type="duplicateValues" dxfId="1431" priority="197"/>
  </conditionalFormatting>
  <conditionalFormatting sqref="D274">
    <cfRule type="expression" dxfId="1430" priority="403">
      <formula>AND(SUMPRODUCT(IFERROR(1*(($D$464&amp;"x")=(D274&amp;"x")),0))&gt;1,NOT(ISBLANK(D274)))</formula>
    </cfRule>
    <cfRule type="duplicateValues" dxfId="1429" priority="196"/>
  </conditionalFormatting>
  <conditionalFormatting sqref="D275">
    <cfRule type="expression" dxfId="1428" priority="402">
      <formula>AND(SUMPRODUCT(IFERROR(1*(($D$465&amp;"x")=(D275&amp;"x")),0))&gt;1,NOT(ISBLANK(D275)))</formula>
    </cfRule>
    <cfRule type="duplicateValues" dxfId="1427" priority="195"/>
  </conditionalFormatting>
  <conditionalFormatting sqref="D276">
    <cfRule type="duplicateValues" dxfId="1426" priority="194"/>
    <cfRule type="expression" dxfId="1425" priority="401">
      <formula>AND(SUMPRODUCT(IFERROR(1*(($D$466&amp;"x")=(D276&amp;"x")),0))&gt;1,NOT(ISBLANK(D276)))</formula>
    </cfRule>
  </conditionalFormatting>
  <conditionalFormatting sqref="D277">
    <cfRule type="duplicateValues" dxfId="1424" priority="193"/>
    <cfRule type="expression" dxfId="1423" priority="400">
      <formula>AND(SUMPRODUCT(IFERROR(1*(($D$467&amp;"x")=(D277&amp;"x")),0))&gt;1,NOT(ISBLANK(D277)))</formula>
    </cfRule>
  </conditionalFormatting>
  <conditionalFormatting sqref="D278">
    <cfRule type="duplicateValues" dxfId="1422" priority="192"/>
    <cfRule type="expression" dxfId="1421" priority="399">
      <formula>AND(SUMPRODUCT(IFERROR(1*(($D$468&amp;"x")=(D278&amp;"x")),0))&gt;1,NOT(ISBLANK(D278)))</formula>
    </cfRule>
  </conditionalFormatting>
  <conditionalFormatting sqref="D279">
    <cfRule type="expression" dxfId="1420" priority="398">
      <formula>AND(SUMPRODUCT(IFERROR(1*(($D$469&amp;"x")=(D279&amp;"x")),0))&gt;1,NOT(ISBLANK(D279)))</formula>
    </cfRule>
    <cfRule type="duplicateValues" dxfId="1419" priority="191"/>
  </conditionalFormatting>
  <conditionalFormatting sqref="D280">
    <cfRule type="duplicateValues" dxfId="1418" priority="190"/>
    <cfRule type="expression" dxfId="1417" priority="397">
      <formula>AND(SUMPRODUCT(IFERROR(1*(($D$470&amp;"x")=(D280&amp;"x")),0))&gt;1,NOT(ISBLANK(D280)))</formula>
    </cfRule>
  </conditionalFormatting>
  <conditionalFormatting sqref="D281">
    <cfRule type="expression" dxfId="1416" priority="396">
      <formula>AND(SUMPRODUCT(IFERROR(1*(($D$471&amp;"x")=(D281&amp;"x")),0))&gt;1,NOT(ISBLANK(D281)))</formula>
    </cfRule>
    <cfRule type="duplicateValues" dxfId="1415" priority="189"/>
  </conditionalFormatting>
  <conditionalFormatting sqref="D282">
    <cfRule type="expression" dxfId="1414" priority="395">
      <formula>AND(SUMPRODUCT(IFERROR(1*(($D$472&amp;"x")=(D282&amp;"x")),0))&gt;1,NOT(ISBLANK(D282)))</formula>
    </cfRule>
    <cfRule type="duplicateValues" dxfId="1413" priority="188"/>
  </conditionalFormatting>
  <conditionalFormatting sqref="D283">
    <cfRule type="expression" dxfId="1412" priority="394">
      <formula>AND(SUMPRODUCT(IFERROR(1*(($D$473&amp;"x")=(D283&amp;"x")),0))&gt;1,NOT(ISBLANK(D283)))</formula>
    </cfRule>
    <cfRule type="duplicateValues" dxfId="1411" priority="187"/>
  </conditionalFormatting>
  <conditionalFormatting sqref="D284">
    <cfRule type="expression" dxfId="1410" priority="393">
      <formula>AND(SUMPRODUCT(IFERROR(1*(($D$474&amp;"x")=(D284&amp;"x")),0))&gt;1,NOT(ISBLANK(D284)))</formula>
    </cfRule>
    <cfRule type="duplicateValues" dxfId="1409" priority="186"/>
  </conditionalFormatting>
  <conditionalFormatting sqref="D285">
    <cfRule type="expression" dxfId="1408" priority="392">
      <formula>AND(SUMPRODUCT(IFERROR(1*(($D$475&amp;"x")=(D285&amp;"x")),0))&gt;1,NOT(ISBLANK(D285)))</formula>
    </cfRule>
    <cfRule type="duplicateValues" dxfId="1407" priority="185"/>
  </conditionalFormatting>
  <conditionalFormatting sqref="D286">
    <cfRule type="expression" dxfId="1406" priority="391">
      <formula>AND(SUMPRODUCT(IFERROR(1*(($D$476&amp;"x")=(D286&amp;"x")),0))&gt;1,NOT(ISBLANK(D286)))</formula>
    </cfRule>
    <cfRule type="duplicateValues" dxfId="1405" priority="184"/>
  </conditionalFormatting>
  <conditionalFormatting sqref="D287">
    <cfRule type="expression" dxfId="1404" priority="390">
      <formula>AND(SUMPRODUCT(IFERROR(1*(($D$477&amp;"x")=(D287&amp;"x")),0))&gt;1,NOT(ISBLANK(D287)))</formula>
    </cfRule>
    <cfRule type="duplicateValues" dxfId="1403" priority="183"/>
  </conditionalFormatting>
  <conditionalFormatting sqref="D288">
    <cfRule type="expression" dxfId="1402" priority="389">
      <formula>AND(SUMPRODUCT(IFERROR(1*(($D$478&amp;"x")=(D288&amp;"x")),0))&gt;1,NOT(ISBLANK(D288)))</formula>
    </cfRule>
    <cfRule type="duplicateValues" dxfId="1401" priority="182"/>
  </conditionalFormatting>
  <conditionalFormatting sqref="D289">
    <cfRule type="expression" dxfId="1400" priority="388">
      <formula>AND(SUMPRODUCT(IFERROR(1*(($D$479&amp;"x")=(D289&amp;"x")),0))&gt;1,NOT(ISBLANK(D289)))</formula>
    </cfRule>
    <cfRule type="duplicateValues" dxfId="1399" priority="181"/>
  </conditionalFormatting>
  <conditionalFormatting sqref="D290">
    <cfRule type="duplicateValues" dxfId="1398" priority="180"/>
    <cfRule type="expression" dxfId="1397" priority="387">
      <formula>AND(SUMPRODUCT(IFERROR(1*(($D$480&amp;"x")=(D290&amp;"x")),0))&gt;1,NOT(ISBLANK(D290)))</formula>
    </cfRule>
  </conditionalFormatting>
  <conditionalFormatting sqref="D291">
    <cfRule type="expression" dxfId="1396" priority="386">
      <formula>AND(SUMPRODUCT(IFERROR(1*(($D$481&amp;"x")=(D291&amp;"x")),0))&gt;1,NOT(ISBLANK(D291)))</formula>
    </cfRule>
    <cfRule type="duplicateValues" dxfId="1395" priority="179"/>
  </conditionalFormatting>
  <conditionalFormatting sqref="D292">
    <cfRule type="expression" dxfId="1394" priority="385">
      <formula>AND(SUMPRODUCT(IFERROR(1*(($D$482&amp;"x")=(D292&amp;"x")),0))&gt;1,NOT(ISBLANK(D292)))</formula>
    </cfRule>
    <cfRule type="duplicateValues" dxfId="1393" priority="178"/>
  </conditionalFormatting>
  <conditionalFormatting sqref="D293">
    <cfRule type="expression" dxfId="1392" priority="384">
      <formula>AND(SUMPRODUCT(IFERROR(1*(($D$483&amp;"x")=(D293&amp;"x")),0))&gt;1,NOT(ISBLANK(D293)))</formula>
    </cfRule>
    <cfRule type="duplicateValues" dxfId="1391" priority="177"/>
  </conditionalFormatting>
  <conditionalFormatting sqref="D294">
    <cfRule type="expression" dxfId="1390" priority="383">
      <formula>AND(SUMPRODUCT(IFERROR(1*(($D$484&amp;"x")=(D294&amp;"x")),0))&gt;1,NOT(ISBLANK(D294)))</formula>
    </cfRule>
    <cfRule type="duplicateValues" dxfId="1389" priority="176"/>
  </conditionalFormatting>
  <conditionalFormatting sqref="D295">
    <cfRule type="duplicateValues" dxfId="1388" priority="175"/>
    <cfRule type="expression" dxfId="1387" priority="382">
      <formula>AND(SUMPRODUCT(IFERROR(1*(($D$485&amp;"x")=(D295&amp;"x")),0))&gt;1,NOT(ISBLANK(D295)))</formula>
    </cfRule>
  </conditionalFormatting>
  <conditionalFormatting sqref="D296">
    <cfRule type="expression" dxfId="1386" priority="381">
      <formula>AND(SUMPRODUCT(IFERROR(1*(($D$486&amp;"x")=(D296&amp;"x")),0))&gt;1,NOT(ISBLANK(D296)))</formula>
    </cfRule>
    <cfRule type="duplicateValues" dxfId="1385" priority="174"/>
  </conditionalFormatting>
  <conditionalFormatting sqref="D297">
    <cfRule type="expression" dxfId="1384" priority="380">
      <formula>AND(SUMPRODUCT(IFERROR(1*(($D$487&amp;"x")=(D297&amp;"x")),0))&gt;1,NOT(ISBLANK(D297)))</formula>
    </cfRule>
    <cfRule type="duplicateValues" dxfId="1383" priority="173"/>
  </conditionalFormatting>
  <conditionalFormatting sqref="D298">
    <cfRule type="expression" dxfId="1382" priority="379">
      <formula>AND(SUMPRODUCT(IFERROR(1*(($D$488&amp;"x")=(D298&amp;"x")),0))&gt;1,NOT(ISBLANK(D298)))</formula>
    </cfRule>
    <cfRule type="duplicateValues" dxfId="1381" priority="172"/>
  </conditionalFormatting>
  <conditionalFormatting sqref="D299">
    <cfRule type="expression" dxfId="1380" priority="378">
      <formula>AND(SUMPRODUCT(IFERROR(1*(($D$489&amp;"x")=(D299&amp;"x")),0))&gt;1,NOT(ISBLANK(D299)))</formula>
    </cfRule>
    <cfRule type="duplicateValues" dxfId="1379" priority="171"/>
  </conditionalFormatting>
  <conditionalFormatting sqref="D300">
    <cfRule type="expression" dxfId="1378" priority="377">
      <formula>AND(SUMPRODUCT(IFERROR(1*(($D$490&amp;"x")=(D300&amp;"x")),0))&gt;1,NOT(ISBLANK(D300)))</formula>
    </cfRule>
    <cfRule type="duplicateValues" dxfId="1377" priority="170"/>
  </conditionalFormatting>
  <conditionalFormatting sqref="D301">
    <cfRule type="expression" dxfId="1376" priority="376">
      <formula>AND(SUMPRODUCT(IFERROR(1*(($D$491&amp;"x")=(D301&amp;"x")),0))&gt;1,NOT(ISBLANK(D301)))</formula>
    </cfRule>
    <cfRule type="duplicateValues" dxfId="1375" priority="169"/>
  </conditionalFormatting>
  <conditionalFormatting sqref="D302">
    <cfRule type="expression" dxfId="1374" priority="375">
      <formula>AND(SUMPRODUCT(IFERROR(1*(($D$492&amp;"x")=(D302&amp;"x")),0))&gt;1,NOT(ISBLANK(D302)))</formula>
    </cfRule>
    <cfRule type="duplicateValues" dxfId="1373" priority="168"/>
  </conditionalFormatting>
  <conditionalFormatting sqref="D303">
    <cfRule type="expression" dxfId="1372" priority="374">
      <formula>AND(SUMPRODUCT(IFERROR(1*(($D$493&amp;"x")=(D303&amp;"x")),0))&gt;1,NOT(ISBLANK(D303)))</formula>
    </cfRule>
    <cfRule type="duplicateValues" dxfId="1371" priority="167"/>
  </conditionalFormatting>
  <conditionalFormatting sqref="D304">
    <cfRule type="expression" dxfId="1370" priority="373">
      <formula>AND(SUMPRODUCT(IFERROR(1*(($D$494&amp;"x")=(D304&amp;"x")),0))&gt;1,NOT(ISBLANK(D304)))</formula>
    </cfRule>
    <cfRule type="duplicateValues" dxfId="1369" priority="166"/>
  </conditionalFormatting>
  <conditionalFormatting sqref="D305">
    <cfRule type="expression" dxfId="1368" priority="372">
      <formula>AND(SUMPRODUCT(IFERROR(1*(($D$495&amp;"x")=(D305&amp;"x")),0))&gt;1,NOT(ISBLANK(D305)))</formula>
    </cfRule>
    <cfRule type="duplicateValues" dxfId="1367" priority="165"/>
  </conditionalFormatting>
  <conditionalFormatting sqref="D306">
    <cfRule type="expression" dxfId="1366" priority="371">
      <formula>AND(SUMPRODUCT(IFERROR(1*(($D$496&amp;"x")=(D306&amp;"x")),0))&gt;1,NOT(ISBLANK(D306)))</formula>
    </cfRule>
    <cfRule type="duplicateValues" dxfId="1365" priority="164"/>
  </conditionalFormatting>
  <conditionalFormatting sqref="D307">
    <cfRule type="expression" dxfId="1364" priority="370">
      <formula>AND(SUMPRODUCT(IFERROR(1*(($D$497&amp;"x")=(D307&amp;"x")),0))&gt;1,NOT(ISBLANK(D307)))</formula>
    </cfRule>
    <cfRule type="duplicateValues" dxfId="1363" priority="163"/>
  </conditionalFormatting>
  <conditionalFormatting sqref="D308">
    <cfRule type="expression" dxfId="1362" priority="369">
      <formula>AND(SUMPRODUCT(IFERROR(1*(($D$498&amp;"x")=(D308&amp;"x")),0))&gt;1,NOT(ISBLANK(D308)))</formula>
    </cfRule>
    <cfRule type="duplicateValues" dxfId="1361" priority="162"/>
  </conditionalFormatting>
  <conditionalFormatting sqref="D309">
    <cfRule type="expression" dxfId="1360" priority="368">
      <formula>AND(SUMPRODUCT(IFERROR(1*(($D$499&amp;"x")=(D309&amp;"x")),0))&gt;1,NOT(ISBLANK(D309)))</formula>
    </cfRule>
    <cfRule type="duplicateValues" dxfId="1359" priority="161"/>
  </conditionalFormatting>
  <conditionalFormatting sqref="D310">
    <cfRule type="expression" dxfId="1358" priority="367">
      <formula>AND(SUMPRODUCT(IFERROR(1*(($D$500&amp;"x")=(D310&amp;"x")),0))&gt;1,NOT(ISBLANK(D310)))</formula>
    </cfRule>
    <cfRule type="duplicateValues" dxfId="1357" priority="160"/>
  </conditionalFormatting>
  <conditionalFormatting sqref="D311">
    <cfRule type="expression" dxfId="1356" priority="366">
      <formula>AND(SUMPRODUCT(IFERROR(1*(($D$501&amp;"x")=(D311&amp;"x")),0))&gt;1,NOT(ISBLANK(D311)))</formula>
    </cfRule>
    <cfRule type="duplicateValues" dxfId="1355" priority="159"/>
  </conditionalFormatting>
  <conditionalFormatting sqref="D312">
    <cfRule type="expression" dxfId="1354" priority="365">
      <formula>AND(SUMPRODUCT(IFERROR(1*(($D$502&amp;"x")=(D312&amp;"x")),0))&gt;1,NOT(ISBLANK(D312)))</formula>
    </cfRule>
    <cfRule type="duplicateValues" dxfId="1353" priority="158"/>
  </conditionalFormatting>
  <conditionalFormatting sqref="D313">
    <cfRule type="expression" dxfId="1352" priority="364">
      <formula>AND(SUMPRODUCT(IFERROR(1*(($D$503&amp;"x")=(D313&amp;"x")),0))&gt;1,NOT(ISBLANK(D313)))</formula>
    </cfRule>
    <cfRule type="duplicateValues" dxfId="1351" priority="157"/>
  </conditionalFormatting>
  <conditionalFormatting sqref="D314">
    <cfRule type="expression" dxfId="1350" priority="363">
      <formula>AND(SUMPRODUCT(IFERROR(1*(($D$504&amp;"x")=(D314&amp;"x")),0))&gt;1,NOT(ISBLANK(D314)))</formula>
    </cfRule>
    <cfRule type="duplicateValues" dxfId="1349" priority="156"/>
  </conditionalFormatting>
  <conditionalFormatting sqref="D315">
    <cfRule type="expression" dxfId="1348" priority="362">
      <formula>AND(SUMPRODUCT(IFERROR(1*(($D$505&amp;"x")=(D315&amp;"x")),0))&gt;1,NOT(ISBLANK(D315)))</formula>
    </cfRule>
    <cfRule type="duplicateValues" dxfId="1347" priority="155"/>
  </conditionalFormatting>
  <conditionalFormatting sqref="D316">
    <cfRule type="expression" dxfId="1346" priority="361">
      <formula>AND(SUMPRODUCT(IFERROR(1*(($D$506&amp;"x")=(D316&amp;"x")),0))&gt;1,NOT(ISBLANK(D316)))</formula>
    </cfRule>
    <cfRule type="duplicateValues" dxfId="1345" priority="154"/>
  </conditionalFormatting>
  <conditionalFormatting sqref="D317">
    <cfRule type="expression" dxfId="1344" priority="360">
      <formula>AND(SUMPRODUCT(IFERROR(1*(($D$507&amp;"x")=(D317&amp;"x")),0))&gt;1,NOT(ISBLANK(D317)))</formula>
    </cfRule>
    <cfRule type="duplicateValues" dxfId="1343" priority="153"/>
  </conditionalFormatting>
  <conditionalFormatting sqref="D318">
    <cfRule type="duplicateValues" dxfId="1342" priority="152"/>
    <cfRule type="expression" dxfId="1341" priority="359">
      <formula>AND(SUMPRODUCT(IFERROR(1*(($D$508&amp;"x")=(D318&amp;"x")),0))&gt;1,NOT(ISBLANK(D318)))</formula>
    </cfRule>
  </conditionalFormatting>
  <conditionalFormatting sqref="D319">
    <cfRule type="expression" dxfId="1340" priority="358">
      <formula>AND(SUMPRODUCT(IFERROR(1*(($D$509&amp;"x")=(D319&amp;"x")),0))&gt;1,NOT(ISBLANK(D319)))</formula>
    </cfRule>
    <cfRule type="duplicateValues" dxfId="1339" priority="151"/>
  </conditionalFormatting>
  <conditionalFormatting sqref="D320">
    <cfRule type="expression" dxfId="1338" priority="357">
      <formula>AND(SUMPRODUCT(IFERROR(1*(($D$510&amp;"x")=(D320&amp;"x")),0))&gt;1,NOT(ISBLANK(D320)))</formula>
    </cfRule>
    <cfRule type="duplicateValues" dxfId="1337" priority="150"/>
  </conditionalFormatting>
  <conditionalFormatting sqref="D321">
    <cfRule type="expression" dxfId="1336" priority="356">
      <formula>AND(SUMPRODUCT(IFERROR(1*(($D$511&amp;"x")=(D321&amp;"x")),0))&gt;1,NOT(ISBLANK(D321)))</formula>
    </cfRule>
    <cfRule type="duplicateValues" dxfId="1335" priority="149"/>
  </conditionalFormatting>
  <conditionalFormatting sqref="D322">
    <cfRule type="duplicateValues" dxfId="1334" priority="148"/>
    <cfRule type="expression" dxfId="1333" priority="355">
      <formula>AND(SUMPRODUCT(IFERROR(1*(($D$512&amp;"x")=(D322&amp;"x")),0))&gt;1,NOT(ISBLANK(D322)))</formula>
    </cfRule>
  </conditionalFormatting>
  <conditionalFormatting sqref="D323">
    <cfRule type="duplicateValues" dxfId="1332" priority="147"/>
    <cfRule type="expression" dxfId="1331" priority="354">
      <formula>AND(SUMPRODUCT(IFERROR(1*(($D$513&amp;"x")=(D323&amp;"x")),0))&gt;1,NOT(ISBLANK(D323)))</formula>
    </cfRule>
  </conditionalFormatting>
  <conditionalFormatting sqref="D324">
    <cfRule type="expression" dxfId="1330" priority="353">
      <formula>AND(SUMPRODUCT(IFERROR(1*(($D$514&amp;"x")=(D324&amp;"x")),0))&gt;1,NOT(ISBLANK(D324)))</formula>
    </cfRule>
    <cfRule type="duplicateValues" dxfId="1329" priority="146"/>
  </conditionalFormatting>
  <conditionalFormatting sqref="D325">
    <cfRule type="expression" dxfId="1328" priority="352">
      <formula>AND(SUMPRODUCT(IFERROR(1*(($D$515&amp;"x")=(D325&amp;"x")),0))&gt;1,NOT(ISBLANK(D325)))</formula>
    </cfRule>
    <cfRule type="duplicateValues" dxfId="1327" priority="145"/>
  </conditionalFormatting>
  <conditionalFormatting sqref="D326">
    <cfRule type="expression" dxfId="1326" priority="351">
      <formula>AND(SUMPRODUCT(IFERROR(1*(($D$516&amp;"x")=(D326&amp;"x")),0))&gt;1,NOT(ISBLANK(D326)))</formula>
    </cfRule>
    <cfRule type="duplicateValues" dxfId="1325" priority="144"/>
  </conditionalFormatting>
  <conditionalFormatting sqref="D327">
    <cfRule type="expression" dxfId="1324" priority="350">
      <formula>AND(SUMPRODUCT(IFERROR(1*(($D$517&amp;"x")=(D327&amp;"x")),0))&gt;1,NOT(ISBLANK(D327)))</formula>
    </cfRule>
    <cfRule type="duplicateValues" dxfId="1323" priority="143"/>
  </conditionalFormatting>
  <conditionalFormatting sqref="D328">
    <cfRule type="expression" dxfId="1322" priority="349">
      <formula>AND(SUMPRODUCT(IFERROR(1*(($D$518&amp;"x")=(D328&amp;"x")),0))&gt;1,NOT(ISBLANK(D328)))</formula>
    </cfRule>
    <cfRule type="duplicateValues" dxfId="1321" priority="142"/>
  </conditionalFormatting>
  <conditionalFormatting sqref="D329">
    <cfRule type="expression" dxfId="1320" priority="348">
      <formula>AND(SUMPRODUCT(IFERROR(1*(($D$519&amp;"x")=(D329&amp;"x")),0))&gt;1,NOT(ISBLANK(D329)))</formula>
    </cfRule>
    <cfRule type="duplicateValues" dxfId="1319" priority="141"/>
  </conditionalFormatting>
  <conditionalFormatting sqref="D330">
    <cfRule type="expression" dxfId="1318" priority="347">
      <formula>AND(SUMPRODUCT(IFERROR(1*(($D$520&amp;"x")=(D330&amp;"x")),0))&gt;1,NOT(ISBLANK(D330)))</formula>
    </cfRule>
    <cfRule type="duplicateValues" dxfId="1317" priority="140"/>
  </conditionalFormatting>
  <conditionalFormatting sqref="D331">
    <cfRule type="expression" dxfId="1316" priority="346">
      <formula>AND(SUMPRODUCT(IFERROR(1*(($D$521&amp;"x")=(D331&amp;"x")),0))&gt;1,NOT(ISBLANK(D331)))</formula>
    </cfRule>
    <cfRule type="duplicateValues" dxfId="1315" priority="139"/>
  </conditionalFormatting>
  <conditionalFormatting sqref="D332">
    <cfRule type="expression" dxfId="1314" priority="345">
      <formula>AND(SUMPRODUCT(IFERROR(1*(($D$522&amp;"x")=(D332&amp;"x")),0))&gt;1,NOT(ISBLANK(D332)))</formula>
    </cfRule>
    <cfRule type="duplicateValues" dxfId="1313" priority="138"/>
  </conditionalFormatting>
  <conditionalFormatting sqref="D333">
    <cfRule type="expression" dxfId="1312" priority="344">
      <formula>AND(SUMPRODUCT(IFERROR(1*(($D$523&amp;"x")=(D333&amp;"x")),0))&gt;1,NOT(ISBLANK(D333)))</formula>
    </cfRule>
    <cfRule type="duplicateValues" dxfId="1311" priority="137"/>
  </conditionalFormatting>
  <conditionalFormatting sqref="D334">
    <cfRule type="expression" dxfId="1310" priority="343">
      <formula>AND(SUMPRODUCT(IFERROR(1*(($D$524&amp;"x")=(D334&amp;"x")),0))&gt;1,NOT(ISBLANK(D334)))</formula>
    </cfRule>
    <cfRule type="duplicateValues" dxfId="1309" priority="136"/>
  </conditionalFormatting>
  <conditionalFormatting sqref="D335">
    <cfRule type="expression" dxfId="1308" priority="342">
      <formula>AND(SUMPRODUCT(IFERROR(1*(($D$525&amp;"x")=(D335&amp;"x")),0))&gt;1,NOT(ISBLANK(D335)))</formula>
    </cfRule>
    <cfRule type="duplicateValues" dxfId="1307" priority="135"/>
  </conditionalFormatting>
  <conditionalFormatting sqref="D336">
    <cfRule type="expression" dxfId="1306" priority="341">
      <formula>AND(SUMPRODUCT(IFERROR(1*(($D$526&amp;"x")=(D336&amp;"x")),0))&gt;1,NOT(ISBLANK(D336)))</formula>
    </cfRule>
    <cfRule type="duplicateValues" dxfId="1305" priority="134"/>
  </conditionalFormatting>
  <conditionalFormatting sqref="D337">
    <cfRule type="expression" dxfId="1304" priority="340">
      <formula>AND(SUMPRODUCT(IFERROR(1*(($D$527&amp;"x")=(D337&amp;"x")),0))&gt;1,NOT(ISBLANK(D337)))</formula>
    </cfRule>
    <cfRule type="duplicateValues" dxfId="1303" priority="133"/>
  </conditionalFormatting>
  <conditionalFormatting sqref="D338">
    <cfRule type="expression" dxfId="1302" priority="339">
      <formula>AND(SUMPRODUCT(IFERROR(1*(($D$528&amp;"x")=(D338&amp;"x")),0))&gt;1,NOT(ISBLANK(D338)))</formula>
    </cfRule>
    <cfRule type="duplicateValues" dxfId="1301" priority="132"/>
  </conditionalFormatting>
  <conditionalFormatting sqref="D339">
    <cfRule type="duplicateValues" dxfId="1300" priority="131"/>
    <cfRule type="expression" dxfId="1299" priority="338">
      <formula>AND(SUMPRODUCT(IFERROR(1*(($D$529&amp;"x")=(D339&amp;"x")),0))&gt;1,NOT(ISBLANK(D339)))</formula>
    </cfRule>
  </conditionalFormatting>
  <conditionalFormatting sqref="D340">
    <cfRule type="duplicateValues" dxfId="1298" priority="130"/>
    <cfRule type="expression" dxfId="1297" priority="337">
      <formula>AND(SUMPRODUCT(IFERROR(1*(($D$530&amp;"x")=(D340&amp;"x")),0))&gt;1,NOT(ISBLANK(D340)))</formula>
    </cfRule>
  </conditionalFormatting>
  <conditionalFormatting sqref="D341">
    <cfRule type="duplicateValues" dxfId="1296" priority="129"/>
    <cfRule type="expression" dxfId="1295" priority="336">
      <formula>AND(SUMPRODUCT(IFERROR(1*(($D$531&amp;"x")=(D341&amp;"x")),0))&gt;1,NOT(ISBLANK(D341)))</formula>
    </cfRule>
  </conditionalFormatting>
  <conditionalFormatting sqref="D342">
    <cfRule type="duplicateValues" dxfId="1294" priority="128"/>
    <cfRule type="expression" dxfId="1293" priority="335">
      <formula>AND(SUMPRODUCT(IFERROR(1*(($D$532&amp;"x")=(D342&amp;"x")),0))&gt;1,NOT(ISBLANK(D342)))</formula>
    </cfRule>
  </conditionalFormatting>
  <conditionalFormatting sqref="D343">
    <cfRule type="duplicateValues" dxfId="1292" priority="127"/>
    <cfRule type="expression" dxfId="1291" priority="334">
      <formula>AND(SUMPRODUCT(IFERROR(1*(($D$533&amp;"x")=(D343&amp;"x")),0))&gt;1,NOT(ISBLANK(D343)))</formula>
    </cfRule>
  </conditionalFormatting>
  <conditionalFormatting sqref="D344">
    <cfRule type="duplicateValues" dxfId="1290" priority="126"/>
    <cfRule type="expression" dxfId="1289" priority="333">
      <formula>AND(SUMPRODUCT(IFERROR(1*(($D$534&amp;"x")=(D344&amp;"x")),0))&gt;1,NOT(ISBLANK(D344)))</formula>
    </cfRule>
  </conditionalFormatting>
  <conditionalFormatting sqref="D345">
    <cfRule type="duplicateValues" dxfId="1288" priority="125"/>
    <cfRule type="expression" dxfId="1287" priority="332">
      <formula>AND(SUMPRODUCT(IFERROR(1*(($D$535&amp;"x")=(D345&amp;"x")),0))&gt;1,NOT(ISBLANK(D345)))</formula>
    </cfRule>
  </conditionalFormatting>
  <conditionalFormatting sqref="D346">
    <cfRule type="duplicateValues" dxfId="1286" priority="124"/>
    <cfRule type="expression" dxfId="1285" priority="331">
      <formula>AND(SUMPRODUCT(IFERROR(1*(($D$536&amp;"x")=(D346&amp;"x")),0))&gt;1,NOT(ISBLANK(D346)))</formula>
    </cfRule>
  </conditionalFormatting>
  <conditionalFormatting sqref="D347">
    <cfRule type="duplicateValues" dxfId="1284" priority="123"/>
    <cfRule type="expression" dxfId="1283" priority="330">
      <formula>AND(SUMPRODUCT(IFERROR(1*(($D$537&amp;"x")=(D347&amp;"x")),0))&gt;1,NOT(ISBLANK(D347)))</formula>
    </cfRule>
  </conditionalFormatting>
  <conditionalFormatting sqref="D348">
    <cfRule type="duplicateValues" dxfId="1282" priority="122"/>
    <cfRule type="expression" dxfId="1281" priority="329">
      <formula>AND(SUMPRODUCT(IFERROR(1*(($D$538&amp;"x")=(D348&amp;"x")),0))&gt;1,NOT(ISBLANK(D348)))</formula>
    </cfRule>
  </conditionalFormatting>
  <conditionalFormatting sqref="D349">
    <cfRule type="duplicateValues" dxfId="1280" priority="121"/>
    <cfRule type="expression" dxfId="1279" priority="328">
      <formula>AND(SUMPRODUCT(IFERROR(1*(($D$539&amp;"x")=(D349&amp;"x")),0))&gt;1,NOT(ISBLANK(D349)))</formula>
    </cfRule>
  </conditionalFormatting>
  <conditionalFormatting sqref="D350">
    <cfRule type="expression" dxfId="1278" priority="327">
      <formula>AND(SUMPRODUCT(IFERROR(1*(($D$540&amp;"x")=(D350&amp;"x")),0))&gt;1,NOT(ISBLANK(D350)))</formula>
    </cfRule>
    <cfRule type="duplicateValues" dxfId="1277" priority="120"/>
  </conditionalFormatting>
  <conditionalFormatting sqref="D351">
    <cfRule type="duplicateValues" dxfId="1276" priority="119"/>
    <cfRule type="expression" dxfId="1275" priority="326">
      <formula>AND(SUMPRODUCT(IFERROR(1*(($D$541&amp;"x")=(D351&amp;"x")),0))&gt;1,NOT(ISBLANK(D351)))</formula>
    </cfRule>
  </conditionalFormatting>
  <conditionalFormatting sqref="D352">
    <cfRule type="duplicateValues" dxfId="1274" priority="118"/>
    <cfRule type="expression" dxfId="1273" priority="325">
      <formula>AND(SUMPRODUCT(IFERROR(1*(($D$542&amp;"x")=(D352&amp;"x")),0))&gt;1,NOT(ISBLANK(D352)))</formula>
    </cfRule>
  </conditionalFormatting>
  <conditionalFormatting sqref="D353">
    <cfRule type="expression" dxfId="1272" priority="324">
      <formula>AND(SUMPRODUCT(IFERROR(1*(($D$543&amp;"x")=(D353&amp;"x")),0))&gt;1,NOT(ISBLANK(D353)))</formula>
    </cfRule>
    <cfRule type="duplicateValues" dxfId="1271" priority="117"/>
  </conditionalFormatting>
  <conditionalFormatting sqref="D354">
    <cfRule type="duplicateValues" dxfId="1270" priority="116"/>
    <cfRule type="expression" dxfId="1269" priority="323">
      <formula>AND(SUMPRODUCT(IFERROR(1*(($D$544&amp;"x")=(D354&amp;"x")),0))&gt;1,NOT(ISBLANK(D354)))</formula>
    </cfRule>
  </conditionalFormatting>
  <conditionalFormatting sqref="D355">
    <cfRule type="duplicateValues" dxfId="1268" priority="115"/>
    <cfRule type="expression" dxfId="1267" priority="322">
      <formula>AND(SUMPRODUCT(IFERROR(1*(($D$545&amp;"x")=(D355&amp;"x")),0))&gt;1,NOT(ISBLANK(D355)))</formula>
    </cfRule>
  </conditionalFormatting>
  <conditionalFormatting sqref="D356">
    <cfRule type="duplicateValues" dxfId="1266" priority="114"/>
    <cfRule type="expression" dxfId="1265" priority="321">
      <formula>AND(SUMPRODUCT(IFERROR(1*(($D$546&amp;"x")=(D356&amp;"x")),0))&gt;1,NOT(ISBLANK(D356)))</formula>
    </cfRule>
  </conditionalFormatting>
  <conditionalFormatting sqref="D357">
    <cfRule type="duplicateValues" dxfId="1264" priority="113"/>
    <cfRule type="expression" dxfId="1263" priority="320">
      <formula>AND(SUMPRODUCT(IFERROR(1*(($D$547&amp;"x")=(D357&amp;"x")),0))&gt;1,NOT(ISBLANK(D357)))</formula>
    </cfRule>
  </conditionalFormatting>
  <conditionalFormatting sqref="D358">
    <cfRule type="duplicateValues" dxfId="1262" priority="112"/>
    <cfRule type="expression" dxfId="1261" priority="319">
      <formula>AND(SUMPRODUCT(IFERROR(1*(($D$548&amp;"x")=(D358&amp;"x")),0))&gt;1,NOT(ISBLANK(D358)))</formula>
    </cfRule>
  </conditionalFormatting>
  <conditionalFormatting sqref="D359">
    <cfRule type="duplicateValues" dxfId="1260" priority="111"/>
    <cfRule type="expression" dxfId="1259" priority="318">
      <formula>AND(SUMPRODUCT(IFERROR(1*(($D$549&amp;"x")=(D359&amp;"x")),0))&gt;1,NOT(ISBLANK(D359)))</formula>
    </cfRule>
  </conditionalFormatting>
  <conditionalFormatting sqref="D360">
    <cfRule type="duplicateValues" dxfId="1258" priority="110"/>
    <cfRule type="expression" dxfId="1257" priority="317">
      <formula>AND(SUMPRODUCT(IFERROR(1*(($D$550&amp;"x")=(D360&amp;"x")),0))&gt;1,NOT(ISBLANK(D360)))</formula>
    </cfRule>
  </conditionalFormatting>
  <conditionalFormatting sqref="D361">
    <cfRule type="duplicateValues" dxfId="1256" priority="109"/>
    <cfRule type="expression" dxfId="1255" priority="316">
      <formula>AND(SUMPRODUCT(IFERROR(1*(($D$551&amp;"x")=(D361&amp;"x")),0))&gt;1,NOT(ISBLANK(D361)))</formula>
    </cfRule>
  </conditionalFormatting>
  <conditionalFormatting sqref="D362">
    <cfRule type="duplicateValues" dxfId="1254" priority="108"/>
    <cfRule type="expression" dxfId="1253" priority="315">
      <formula>AND(SUMPRODUCT(IFERROR(1*(($D$552&amp;"x")=(D362&amp;"x")),0))&gt;1,NOT(ISBLANK(D362)))</formula>
    </cfRule>
  </conditionalFormatting>
  <conditionalFormatting sqref="D363">
    <cfRule type="duplicateValues" dxfId="1252" priority="107"/>
    <cfRule type="expression" dxfId="1251" priority="314">
      <formula>AND(SUMPRODUCT(IFERROR(1*(($D$553&amp;"x")=(D363&amp;"x")),0))&gt;1,NOT(ISBLANK(D363)))</formula>
    </cfRule>
  </conditionalFormatting>
  <conditionalFormatting sqref="D364">
    <cfRule type="duplicateValues" dxfId="1250" priority="106"/>
    <cfRule type="expression" dxfId="1249" priority="313">
      <formula>AND(SUMPRODUCT(IFERROR(1*(($D$554&amp;"x")=(D364&amp;"x")),0))&gt;1,NOT(ISBLANK(D364)))</formula>
    </cfRule>
  </conditionalFormatting>
  <conditionalFormatting sqref="D365">
    <cfRule type="duplicateValues" dxfId="1248" priority="105"/>
    <cfRule type="expression" dxfId="1247" priority="312">
      <formula>AND(SUMPRODUCT(IFERROR(1*(($D$555&amp;"x")=(D365&amp;"x")),0))&gt;1,NOT(ISBLANK(D365)))</formula>
    </cfRule>
  </conditionalFormatting>
  <conditionalFormatting sqref="D366">
    <cfRule type="duplicateValues" dxfId="1246" priority="104"/>
    <cfRule type="expression" dxfId="1245" priority="311">
      <formula>AND(SUMPRODUCT(IFERROR(1*(($D$556&amp;"x")=(D366&amp;"x")),0))&gt;1,NOT(ISBLANK(D366)))</formula>
    </cfRule>
  </conditionalFormatting>
  <conditionalFormatting sqref="D367">
    <cfRule type="duplicateValues" dxfId="1244" priority="103"/>
    <cfRule type="expression" dxfId="1243" priority="310">
      <formula>AND(SUMPRODUCT(IFERROR(1*(($D$557&amp;"x")=(D367&amp;"x")),0))&gt;1,NOT(ISBLANK(D367)))</formula>
    </cfRule>
  </conditionalFormatting>
  <conditionalFormatting sqref="D368">
    <cfRule type="duplicateValues" dxfId="1242" priority="102"/>
    <cfRule type="expression" dxfId="1241" priority="309">
      <formula>AND(SUMPRODUCT(IFERROR(1*(($D$558&amp;"x")=(D368&amp;"x")),0))&gt;1,NOT(ISBLANK(D368)))</formula>
    </cfRule>
  </conditionalFormatting>
  <conditionalFormatting sqref="D369">
    <cfRule type="duplicateValues" dxfId="1240" priority="101"/>
    <cfRule type="expression" dxfId="1239" priority="308">
      <formula>AND(SUMPRODUCT(IFERROR(1*(($D$559&amp;"x")=(D369&amp;"x")),0))&gt;1,NOT(ISBLANK(D369)))</formula>
    </cfRule>
  </conditionalFormatting>
  <conditionalFormatting sqref="D370">
    <cfRule type="expression" dxfId="1238" priority="307">
      <formula>AND(SUMPRODUCT(IFERROR(1*(($D$560&amp;"x")=(D370&amp;"x")),0))&gt;1,NOT(ISBLANK(D370)))</formula>
    </cfRule>
    <cfRule type="duplicateValues" dxfId="1237" priority="100"/>
  </conditionalFormatting>
  <conditionalFormatting sqref="D371">
    <cfRule type="expression" dxfId="1236" priority="306">
      <formula>AND(SUMPRODUCT(IFERROR(1*(($D$561&amp;"x")=(D371&amp;"x")),0))&gt;1,NOT(ISBLANK(D371)))</formula>
    </cfRule>
    <cfRule type="duplicateValues" dxfId="1235" priority="99"/>
  </conditionalFormatting>
  <conditionalFormatting sqref="D372">
    <cfRule type="duplicateValues" dxfId="1234" priority="98"/>
    <cfRule type="expression" dxfId="1233" priority="305">
      <formula>AND(SUMPRODUCT(IFERROR(1*(($D$562&amp;"x")=(D372&amp;"x")),0))&gt;1,NOT(ISBLANK(D372)))</formula>
    </cfRule>
  </conditionalFormatting>
  <conditionalFormatting sqref="D373">
    <cfRule type="duplicateValues" dxfId="1232" priority="97"/>
    <cfRule type="expression" dxfId="1231" priority="304">
      <formula>AND(SUMPRODUCT(IFERROR(1*(($D$563&amp;"x")=(D373&amp;"x")),0))&gt;1,NOT(ISBLANK(D373)))</formula>
    </cfRule>
  </conditionalFormatting>
  <conditionalFormatting sqref="D374">
    <cfRule type="expression" dxfId="1230" priority="303">
      <formula>AND(SUMPRODUCT(IFERROR(1*(($D$564&amp;"x")=(D374&amp;"x")),0))&gt;1,NOT(ISBLANK(D374)))</formula>
    </cfRule>
    <cfRule type="duplicateValues" dxfId="1229" priority="96"/>
  </conditionalFormatting>
  <conditionalFormatting sqref="D375">
    <cfRule type="expression" dxfId="1228" priority="302">
      <formula>AND(SUMPRODUCT(IFERROR(1*(($D$565&amp;"x")=(D375&amp;"x")),0))&gt;1,NOT(ISBLANK(D375)))</formula>
    </cfRule>
    <cfRule type="duplicateValues" dxfId="1227" priority="95"/>
  </conditionalFormatting>
  <conditionalFormatting sqref="D376">
    <cfRule type="expression" dxfId="1226" priority="301">
      <formula>AND(SUMPRODUCT(IFERROR(1*(($D$566&amp;"x")=(D376&amp;"x")),0))&gt;1,NOT(ISBLANK(D376)))</formula>
    </cfRule>
    <cfRule type="duplicateValues" dxfId="1225" priority="94"/>
  </conditionalFormatting>
  <conditionalFormatting sqref="D377">
    <cfRule type="expression" dxfId="1224" priority="300">
      <formula>AND(SUMPRODUCT(IFERROR(1*(($D$567&amp;"x")=(D377&amp;"x")),0))&gt;1,NOT(ISBLANK(D377)))</formula>
    </cfRule>
    <cfRule type="duplicateValues" dxfId="1223" priority="93"/>
  </conditionalFormatting>
  <conditionalFormatting sqref="D378">
    <cfRule type="duplicateValues" dxfId="1222" priority="92"/>
    <cfRule type="expression" dxfId="1221" priority="299">
      <formula>AND(SUMPRODUCT(IFERROR(1*(($D$568&amp;"x")=(D378&amp;"x")),0))&gt;1,NOT(ISBLANK(D378)))</formula>
    </cfRule>
  </conditionalFormatting>
  <conditionalFormatting sqref="D379">
    <cfRule type="expression" dxfId="1220" priority="298">
      <formula>AND(SUMPRODUCT(IFERROR(1*(($D$569&amp;"x")=(D379&amp;"x")),0))&gt;1,NOT(ISBLANK(D379)))</formula>
    </cfRule>
    <cfRule type="duplicateValues" dxfId="1219" priority="91"/>
  </conditionalFormatting>
  <conditionalFormatting sqref="D380">
    <cfRule type="duplicateValues" dxfId="1218" priority="90"/>
    <cfRule type="expression" dxfId="1217" priority="297">
      <formula>AND(SUMPRODUCT(IFERROR(1*(($D$570&amp;"x")=(D380&amp;"x")),0))&gt;1,NOT(ISBLANK(D380)))</formula>
    </cfRule>
  </conditionalFormatting>
  <conditionalFormatting sqref="D381">
    <cfRule type="expression" dxfId="1216" priority="296">
      <formula>AND(SUMPRODUCT(IFERROR(1*(($D$571&amp;"x")=(D381&amp;"x")),0))&gt;1,NOT(ISBLANK(D381)))</formula>
    </cfRule>
    <cfRule type="duplicateValues" dxfId="1215" priority="89"/>
  </conditionalFormatting>
  <conditionalFormatting sqref="D382">
    <cfRule type="duplicateValues" dxfId="1214" priority="88"/>
    <cfRule type="expression" dxfId="1213" priority="295">
      <formula>AND(SUMPRODUCT(IFERROR(1*(($D$572&amp;"x")=(D382&amp;"x")),0))&gt;1,NOT(ISBLANK(D382)))</formula>
    </cfRule>
  </conditionalFormatting>
  <conditionalFormatting sqref="D383">
    <cfRule type="duplicateValues" dxfId="1212" priority="87"/>
    <cfRule type="expression" dxfId="1211" priority="294">
      <formula>AND(SUMPRODUCT(IFERROR(1*(($D$573&amp;"x")=(D383&amp;"x")),0))&gt;1,NOT(ISBLANK(D383)))</formula>
    </cfRule>
  </conditionalFormatting>
  <conditionalFormatting sqref="D384">
    <cfRule type="duplicateValues" dxfId="1210" priority="86"/>
    <cfRule type="expression" dxfId="1209" priority="293">
      <formula>AND(SUMPRODUCT(IFERROR(1*(($D$574&amp;"x")=(D384&amp;"x")),0))&gt;1,NOT(ISBLANK(D384)))</formula>
    </cfRule>
  </conditionalFormatting>
  <conditionalFormatting sqref="D385">
    <cfRule type="duplicateValues" dxfId="1208" priority="85"/>
    <cfRule type="expression" dxfId="1207" priority="292">
      <formula>AND(SUMPRODUCT(IFERROR(1*(($D$575&amp;"x")=(D385&amp;"x")),0))&gt;1,NOT(ISBLANK(D385)))</formula>
    </cfRule>
  </conditionalFormatting>
  <conditionalFormatting sqref="D386">
    <cfRule type="duplicateValues" dxfId="1206" priority="84"/>
    <cfRule type="expression" dxfId="1205" priority="291">
      <formula>AND(SUMPRODUCT(IFERROR(1*(($D$576&amp;"x")=(D386&amp;"x")),0))&gt;1,NOT(ISBLANK(D386)))</formula>
    </cfRule>
  </conditionalFormatting>
  <conditionalFormatting sqref="D387">
    <cfRule type="expression" dxfId="1204" priority="290">
      <formula>AND(SUMPRODUCT(IFERROR(1*(($D$577&amp;"x")=(D387&amp;"x")),0))&gt;1,NOT(ISBLANK(D387)))</formula>
    </cfRule>
    <cfRule type="duplicateValues" dxfId="1203" priority="83"/>
  </conditionalFormatting>
  <conditionalFormatting sqref="D388">
    <cfRule type="expression" dxfId="1202" priority="289">
      <formula>AND(SUMPRODUCT(IFERROR(1*(($D$578&amp;"x")=(D388&amp;"x")),0))&gt;1,NOT(ISBLANK(D388)))</formula>
    </cfRule>
    <cfRule type="duplicateValues" dxfId="1201" priority="82"/>
  </conditionalFormatting>
  <conditionalFormatting sqref="D389">
    <cfRule type="expression" dxfId="1200" priority="288">
      <formula>AND(SUMPRODUCT(IFERROR(1*(($D$579&amp;"x")=(D389&amp;"x")),0))&gt;1,NOT(ISBLANK(D389)))</formula>
    </cfRule>
    <cfRule type="duplicateValues" dxfId="1199" priority="81"/>
  </conditionalFormatting>
  <conditionalFormatting sqref="D390">
    <cfRule type="duplicateValues" dxfId="1198" priority="80"/>
    <cfRule type="expression" dxfId="1197" priority="287">
      <formula>AND(SUMPRODUCT(IFERROR(1*(($D$580&amp;"x")=(D390&amp;"x")),0))&gt;1,NOT(ISBLANK(D390)))</formula>
    </cfRule>
  </conditionalFormatting>
  <conditionalFormatting sqref="D391">
    <cfRule type="expression" dxfId="1196" priority="286">
      <formula>AND(SUMPRODUCT(IFERROR(1*(($D$581&amp;"x")=(D391&amp;"x")),0))&gt;1,NOT(ISBLANK(D391)))</formula>
    </cfRule>
    <cfRule type="duplicateValues" dxfId="1195" priority="79"/>
  </conditionalFormatting>
  <conditionalFormatting sqref="D392">
    <cfRule type="expression" dxfId="1194" priority="285">
      <formula>AND(SUMPRODUCT(IFERROR(1*(($D$582&amp;"x")=(D392&amp;"x")),0))&gt;1,NOT(ISBLANK(D392)))</formula>
    </cfRule>
    <cfRule type="duplicateValues" dxfId="1193" priority="78"/>
  </conditionalFormatting>
  <conditionalFormatting sqref="D393">
    <cfRule type="expression" dxfId="1192" priority="284">
      <formula>AND(SUMPRODUCT(IFERROR(1*(($D$583&amp;"x")=(D393&amp;"x")),0))&gt;1,NOT(ISBLANK(D393)))</formula>
    </cfRule>
    <cfRule type="duplicateValues" dxfId="1191" priority="77"/>
  </conditionalFormatting>
  <conditionalFormatting sqref="D394">
    <cfRule type="expression" dxfId="1190" priority="283">
      <formula>AND(SUMPRODUCT(IFERROR(1*(($D$584&amp;"x")=(D394&amp;"x")),0))&gt;1,NOT(ISBLANK(D394)))</formula>
    </cfRule>
    <cfRule type="duplicateValues" dxfId="1189" priority="76"/>
  </conditionalFormatting>
  <conditionalFormatting sqref="D395">
    <cfRule type="duplicateValues" dxfId="1188" priority="75"/>
    <cfRule type="expression" dxfId="1187" priority="282">
      <formula>AND(SUMPRODUCT(IFERROR(1*(($D$585&amp;"x")=(D395&amp;"x")),0))&gt;1,NOT(ISBLANK(D395)))</formula>
    </cfRule>
  </conditionalFormatting>
  <conditionalFormatting sqref="D396">
    <cfRule type="expression" dxfId="1186" priority="281">
      <formula>AND(SUMPRODUCT(IFERROR(1*(($D$586&amp;"x")=(D396&amp;"x")),0))&gt;1,NOT(ISBLANK(D396)))</formula>
    </cfRule>
    <cfRule type="duplicateValues" dxfId="1185" priority="74"/>
  </conditionalFormatting>
  <conditionalFormatting sqref="D397">
    <cfRule type="expression" dxfId="1184" priority="280">
      <formula>AND(SUMPRODUCT(IFERROR(1*(($D$587&amp;"x")=(D397&amp;"x")),0))&gt;1,NOT(ISBLANK(D397)))</formula>
    </cfRule>
    <cfRule type="duplicateValues" dxfId="1183" priority="73"/>
  </conditionalFormatting>
  <conditionalFormatting sqref="D398">
    <cfRule type="expression" dxfId="1182" priority="279">
      <formula>AND(SUMPRODUCT(IFERROR(1*(($D$588&amp;"x")=(D398&amp;"x")),0))&gt;1,NOT(ISBLANK(D398)))</formula>
    </cfRule>
    <cfRule type="duplicateValues" dxfId="1181" priority="72"/>
  </conditionalFormatting>
  <conditionalFormatting sqref="D399">
    <cfRule type="expression" dxfId="1180" priority="278">
      <formula>AND(SUMPRODUCT(IFERROR(1*(($D$589&amp;"x")=(D399&amp;"x")),0))&gt;1,NOT(ISBLANK(D399)))</formula>
    </cfRule>
    <cfRule type="duplicateValues" dxfId="1179" priority="71"/>
  </conditionalFormatting>
  <conditionalFormatting sqref="D400">
    <cfRule type="expression" dxfId="1178" priority="277">
      <formula>AND(SUMPRODUCT(IFERROR(1*(($D$590&amp;"x")=(D400&amp;"x")),0))&gt;1,NOT(ISBLANK(D400)))</formula>
    </cfRule>
    <cfRule type="duplicateValues" dxfId="1177" priority="70"/>
  </conditionalFormatting>
  <conditionalFormatting sqref="D401">
    <cfRule type="expression" dxfId="1176" priority="276">
      <formula>AND(SUMPRODUCT(IFERROR(1*(($D$591&amp;"x")=(D401&amp;"x")),0))&gt;1,NOT(ISBLANK(D401)))</formula>
    </cfRule>
    <cfRule type="duplicateValues" dxfId="1175" priority="69"/>
  </conditionalFormatting>
  <conditionalFormatting sqref="D402">
    <cfRule type="duplicateValues" dxfId="1174" priority="68"/>
    <cfRule type="expression" dxfId="1173" priority="275">
      <formula>AND(SUMPRODUCT(IFERROR(1*(($D$592&amp;"x")=(D402&amp;"x")),0))&gt;1,NOT(ISBLANK(D402)))</formula>
    </cfRule>
  </conditionalFormatting>
  <conditionalFormatting sqref="D403">
    <cfRule type="duplicateValues" dxfId="1172" priority="67"/>
    <cfRule type="expression" dxfId="1171" priority="274">
      <formula>AND(SUMPRODUCT(IFERROR(1*(($D$593&amp;"x")=(D403&amp;"x")),0))&gt;1,NOT(ISBLANK(D403)))</formula>
    </cfRule>
  </conditionalFormatting>
  <conditionalFormatting sqref="D404">
    <cfRule type="duplicateValues" dxfId="1170" priority="66"/>
    <cfRule type="expression" dxfId="1169" priority="273">
      <formula>AND(SUMPRODUCT(IFERROR(1*(($D$594&amp;"x")=(D404&amp;"x")),0))&gt;1,NOT(ISBLANK(D404)))</formula>
    </cfRule>
  </conditionalFormatting>
  <conditionalFormatting sqref="D405">
    <cfRule type="duplicateValues" dxfId="1168" priority="65"/>
    <cfRule type="expression" dxfId="1167" priority="272">
      <formula>AND(SUMPRODUCT(IFERROR(1*(($D$595&amp;"x")=(D405&amp;"x")),0))&gt;1,NOT(ISBLANK(D405)))</formula>
    </cfRule>
  </conditionalFormatting>
  <conditionalFormatting sqref="D406">
    <cfRule type="duplicateValues" dxfId="1166" priority="64"/>
    <cfRule type="expression" dxfId="1165" priority="271">
      <formula>AND(SUMPRODUCT(IFERROR(1*(($D$596&amp;"x")=(D406&amp;"x")),0))&gt;1,NOT(ISBLANK(D406)))</formula>
    </cfRule>
  </conditionalFormatting>
  <conditionalFormatting sqref="D407">
    <cfRule type="duplicateValues" dxfId="1164" priority="63"/>
    <cfRule type="expression" dxfId="1163" priority="270">
      <formula>AND(SUMPRODUCT(IFERROR(1*(($D$597&amp;"x")=(D407&amp;"x")),0))&gt;1,NOT(ISBLANK(D407)))</formula>
    </cfRule>
  </conditionalFormatting>
  <conditionalFormatting sqref="D408">
    <cfRule type="duplicateValues" dxfId="1162" priority="62"/>
    <cfRule type="expression" dxfId="1161" priority="269">
      <formula>AND(SUMPRODUCT(IFERROR(1*(($D$598&amp;"x")=(D408&amp;"x")),0))&gt;1,NOT(ISBLANK(D408)))</formula>
    </cfRule>
  </conditionalFormatting>
  <conditionalFormatting sqref="D409">
    <cfRule type="expression" dxfId="1160" priority="268">
      <formula>AND(SUMPRODUCT(IFERROR(1*(($D$599&amp;"x")=(D409&amp;"x")),0))&gt;1,NOT(ISBLANK(D409)))</formula>
    </cfRule>
    <cfRule type="duplicateValues" dxfId="1159" priority="61"/>
  </conditionalFormatting>
  <conditionalFormatting sqref="D410">
    <cfRule type="duplicateValues" dxfId="1158" priority="60"/>
    <cfRule type="expression" dxfId="1157" priority="267">
      <formula>AND(SUMPRODUCT(IFERROR(1*(($D$600&amp;"x")=(D410&amp;"x")),0))&gt;1,NOT(ISBLANK(D410)))</formula>
    </cfRule>
  </conditionalFormatting>
  <conditionalFormatting sqref="D411">
    <cfRule type="duplicateValues" dxfId="1156" priority="59"/>
    <cfRule type="expression" dxfId="1155" priority="266">
      <formula>AND(SUMPRODUCT(IFERROR(1*(($D$601&amp;"x")=(D411&amp;"x")),0))&gt;1,NOT(ISBLANK(D411)))</formula>
    </cfRule>
  </conditionalFormatting>
  <conditionalFormatting sqref="D412">
    <cfRule type="expression" dxfId="1154" priority="265">
      <formula>AND(SUMPRODUCT(IFERROR(1*(($D$602&amp;"x")=(D412&amp;"x")),0))&gt;1,NOT(ISBLANK(D412)))</formula>
    </cfRule>
    <cfRule type="duplicateValues" dxfId="1153" priority="58"/>
  </conditionalFormatting>
  <conditionalFormatting sqref="D413">
    <cfRule type="duplicateValues" dxfId="1152" priority="57"/>
    <cfRule type="expression" dxfId="1151" priority="264">
      <formula>AND(SUMPRODUCT(IFERROR(1*(($D$603&amp;"x")=(D413&amp;"x")),0))&gt;1,NOT(ISBLANK(D413)))</formula>
    </cfRule>
  </conditionalFormatting>
  <conditionalFormatting sqref="D414">
    <cfRule type="expression" dxfId="1150" priority="263">
      <formula>AND(SUMPRODUCT(IFERROR(1*(($D$604&amp;"x")=(D414&amp;"x")),0))&gt;1,NOT(ISBLANK(D414)))</formula>
    </cfRule>
    <cfRule type="duplicateValues" dxfId="1149" priority="56"/>
  </conditionalFormatting>
  <conditionalFormatting sqref="D415">
    <cfRule type="expression" dxfId="1148" priority="262">
      <formula>AND(SUMPRODUCT(IFERROR(1*(($D$605&amp;"x")=(D415&amp;"x")),0))&gt;1,NOT(ISBLANK(D415)))</formula>
    </cfRule>
    <cfRule type="duplicateValues" dxfId="1147" priority="55"/>
  </conditionalFormatting>
  <conditionalFormatting sqref="D416">
    <cfRule type="expression" dxfId="1146" priority="261">
      <formula>AND(SUMPRODUCT(IFERROR(1*(($D$606&amp;"x")=(D416&amp;"x")),0))&gt;1,NOT(ISBLANK(D416)))</formula>
    </cfRule>
    <cfRule type="duplicateValues" dxfId="1145" priority="54"/>
  </conditionalFormatting>
  <conditionalFormatting sqref="D417">
    <cfRule type="expression" dxfId="1144" priority="260">
      <formula>AND(SUMPRODUCT(IFERROR(1*(($D$607&amp;"x")=(D417&amp;"x")),0))&gt;1,NOT(ISBLANK(D417)))</formula>
    </cfRule>
    <cfRule type="duplicateValues" dxfId="1143" priority="53"/>
  </conditionalFormatting>
  <conditionalFormatting sqref="D418">
    <cfRule type="expression" dxfId="1142" priority="259">
      <formula>AND(SUMPRODUCT(IFERROR(1*(($D$608&amp;"x")=(D418&amp;"x")),0))&gt;1,NOT(ISBLANK(D418)))</formula>
    </cfRule>
    <cfRule type="duplicateValues" dxfId="1141" priority="52"/>
  </conditionalFormatting>
  <conditionalFormatting sqref="D419">
    <cfRule type="duplicateValues" dxfId="1140" priority="51"/>
    <cfRule type="expression" dxfId="1139" priority="258">
      <formula>AND(SUMPRODUCT(IFERROR(1*(($D$609&amp;"x")=(D419&amp;"x")),0))&gt;1,NOT(ISBLANK(D419)))</formula>
    </cfRule>
  </conditionalFormatting>
  <conditionalFormatting sqref="D420">
    <cfRule type="duplicateValues" dxfId="1138" priority="50"/>
    <cfRule type="expression" dxfId="1137" priority="257">
      <formula>AND(SUMPRODUCT(IFERROR(1*(($D$610&amp;"x")=(D420&amp;"x")),0))&gt;1,NOT(ISBLANK(D420)))</formula>
    </cfRule>
  </conditionalFormatting>
  <conditionalFormatting sqref="D421">
    <cfRule type="expression" dxfId="1136" priority="256">
      <formula>AND(SUMPRODUCT(IFERROR(1*(($D$611&amp;"x")=(D421&amp;"x")),0))&gt;1,NOT(ISBLANK(D421)))</formula>
    </cfRule>
    <cfRule type="duplicateValues" dxfId="1135" priority="49"/>
  </conditionalFormatting>
  <conditionalFormatting sqref="D422">
    <cfRule type="expression" dxfId="1134" priority="255">
      <formula>AND(SUMPRODUCT(IFERROR(1*(($D$612&amp;"x")=(D422&amp;"x")),0))&gt;1,NOT(ISBLANK(D422)))</formula>
    </cfRule>
    <cfRule type="duplicateValues" dxfId="1133" priority="48"/>
  </conditionalFormatting>
  <conditionalFormatting sqref="D423">
    <cfRule type="expression" dxfId="1132" priority="254">
      <formula>AND(SUMPRODUCT(IFERROR(1*(($D$613&amp;"x")=(D423&amp;"x")),0))&gt;1,NOT(ISBLANK(D423)))</formula>
    </cfRule>
    <cfRule type="duplicateValues" dxfId="1131" priority="47"/>
  </conditionalFormatting>
  <conditionalFormatting sqref="D424">
    <cfRule type="expression" dxfId="1130" priority="253">
      <formula>AND(SUMPRODUCT(IFERROR(1*(($D$614&amp;"x")=(D424&amp;"x")),0))&gt;1,NOT(ISBLANK(D424)))</formula>
    </cfRule>
    <cfRule type="duplicateValues" dxfId="1129" priority="46"/>
  </conditionalFormatting>
  <conditionalFormatting sqref="D425">
    <cfRule type="expression" dxfId="1128" priority="252">
      <formula>AND(SUMPRODUCT(IFERROR(1*(($D$615&amp;"x")=(D425&amp;"x")),0))&gt;1,NOT(ISBLANK(D425)))</formula>
    </cfRule>
    <cfRule type="duplicateValues" dxfId="1127" priority="45"/>
  </conditionalFormatting>
  <conditionalFormatting sqref="D426">
    <cfRule type="duplicateValues" dxfId="1126" priority="44"/>
    <cfRule type="expression" dxfId="1125" priority="251">
      <formula>AND(SUMPRODUCT(IFERROR(1*(($D$616&amp;"x")=(D426&amp;"x")),0))&gt;1,NOT(ISBLANK(D426)))</formula>
    </cfRule>
  </conditionalFormatting>
  <conditionalFormatting sqref="D427">
    <cfRule type="duplicateValues" dxfId="1124" priority="43"/>
    <cfRule type="expression" dxfId="1123" priority="250">
      <formula>AND(SUMPRODUCT(IFERROR(1*(($D$617&amp;"x")=(D427&amp;"x")),0))&gt;1,NOT(ISBLANK(D427)))</formula>
    </cfRule>
  </conditionalFormatting>
  <conditionalFormatting sqref="D428">
    <cfRule type="duplicateValues" dxfId="1122" priority="42"/>
    <cfRule type="expression" dxfId="1121" priority="249">
      <formula>AND(SUMPRODUCT(IFERROR(1*(($D$618&amp;"x")=(D428&amp;"x")),0))&gt;1,NOT(ISBLANK(D428)))</formula>
    </cfRule>
  </conditionalFormatting>
  <conditionalFormatting sqref="D429">
    <cfRule type="expression" dxfId="1120" priority="248">
      <formula>AND(SUMPRODUCT(IFERROR(1*(($D$619&amp;"x")=(D429&amp;"x")),0))&gt;1,NOT(ISBLANK(D429)))</formula>
    </cfRule>
    <cfRule type="duplicateValues" dxfId="1119" priority="41"/>
  </conditionalFormatting>
  <conditionalFormatting sqref="D430">
    <cfRule type="duplicateValues" dxfId="1118" priority="40"/>
    <cfRule type="expression" dxfId="1117" priority="247">
      <formula>AND(SUMPRODUCT(IFERROR(1*(($D$620&amp;"x")=(D430&amp;"x")),0))&gt;1,NOT(ISBLANK(D430)))</formula>
    </cfRule>
  </conditionalFormatting>
  <conditionalFormatting sqref="D431">
    <cfRule type="expression" dxfId="1116" priority="246">
      <formula>AND(SUMPRODUCT(IFERROR(1*(($D$621&amp;"x")=(D431&amp;"x")),0))&gt;1,NOT(ISBLANK(D431)))</formula>
    </cfRule>
    <cfRule type="duplicateValues" dxfId="1115" priority="39"/>
  </conditionalFormatting>
  <conditionalFormatting sqref="D432">
    <cfRule type="duplicateValues" dxfId="1114" priority="38"/>
    <cfRule type="expression" dxfId="1113" priority="245">
      <formula>AND(SUMPRODUCT(IFERROR(1*(($D$622&amp;"x")=(D432&amp;"x")),0))&gt;1,NOT(ISBLANK(D432)))</formula>
    </cfRule>
  </conditionalFormatting>
  <conditionalFormatting sqref="D433">
    <cfRule type="duplicateValues" dxfId="1112" priority="37"/>
    <cfRule type="expression" dxfId="1111" priority="244">
      <formula>AND(SUMPRODUCT(IFERROR(1*(($D$623&amp;"x")=(D433&amp;"x")),0))&gt;1,NOT(ISBLANK(D433)))</formula>
    </cfRule>
  </conditionalFormatting>
  <conditionalFormatting sqref="D434">
    <cfRule type="duplicateValues" dxfId="1110" priority="36"/>
    <cfRule type="expression" dxfId="1109" priority="243">
      <formula>AND(SUMPRODUCT(IFERROR(1*(($D$624&amp;"x")=(D434&amp;"x")),0))&gt;1,NOT(ISBLANK(D434)))</formula>
    </cfRule>
  </conditionalFormatting>
  <conditionalFormatting sqref="D435">
    <cfRule type="duplicateValues" dxfId="1108" priority="35"/>
    <cfRule type="expression" dxfId="1107" priority="242">
      <formula>AND(SUMPRODUCT(IFERROR(1*(($D$625&amp;"x")=(D435&amp;"x")),0))&gt;1,NOT(ISBLANK(D435)))</formula>
    </cfRule>
  </conditionalFormatting>
  <conditionalFormatting sqref="D436">
    <cfRule type="duplicateValues" dxfId="1106" priority="34"/>
    <cfRule type="expression" dxfId="1105" priority="241">
      <formula>AND(SUMPRODUCT(IFERROR(1*(($D$626&amp;"x")=(D436&amp;"x")),0))&gt;1,NOT(ISBLANK(D436)))</formula>
    </cfRule>
  </conditionalFormatting>
  <conditionalFormatting sqref="D437">
    <cfRule type="duplicateValues" dxfId="1104" priority="33"/>
    <cfRule type="expression" dxfId="1103" priority="240">
      <formula>AND(SUMPRODUCT(IFERROR(1*(($D$627&amp;"x")=(D437&amp;"x")),0))&gt;1,NOT(ISBLANK(D437)))</formula>
    </cfRule>
  </conditionalFormatting>
  <conditionalFormatting sqref="D438">
    <cfRule type="expression" dxfId="1102" priority="239">
      <formula>AND(SUMPRODUCT(IFERROR(1*(($D$628&amp;"x")=(D438&amp;"x")),0))&gt;1,NOT(ISBLANK(D438)))</formula>
    </cfRule>
    <cfRule type="duplicateValues" dxfId="1101" priority="32"/>
  </conditionalFormatting>
  <conditionalFormatting sqref="D439">
    <cfRule type="expression" dxfId="1100" priority="238">
      <formula>AND(SUMPRODUCT(IFERROR(1*(($D$629&amp;"x")=(D439&amp;"x")),0))&gt;1,NOT(ISBLANK(D439)))</formula>
    </cfRule>
    <cfRule type="duplicateValues" dxfId="1099" priority="31"/>
  </conditionalFormatting>
  <conditionalFormatting sqref="D440">
    <cfRule type="expression" dxfId="1098" priority="237">
      <formula>AND(SUMPRODUCT(IFERROR(1*(($D$630&amp;"x")=(D440&amp;"x")),0))&gt;1,NOT(ISBLANK(D440)))</formula>
    </cfRule>
    <cfRule type="duplicateValues" dxfId="1097" priority="30"/>
  </conditionalFormatting>
  <conditionalFormatting sqref="D441">
    <cfRule type="expression" dxfId="1096" priority="236">
      <formula>AND(SUMPRODUCT(IFERROR(1*(($D$631&amp;"x")=(D441&amp;"x")),0))&gt;1,NOT(ISBLANK(D441)))</formula>
    </cfRule>
    <cfRule type="duplicateValues" dxfId="1095" priority="29"/>
  </conditionalFormatting>
  <conditionalFormatting sqref="D442">
    <cfRule type="expression" dxfId="1094" priority="235">
      <formula>AND(SUMPRODUCT(IFERROR(1*(($D$632&amp;"x")=(D442&amp;"x")),0))&gt;1,NOT(ISBLANK(D442)))</formula>
    </cfRule>
    <cfRule type="duplicateValues" dxfId="1093" priority="28"/>
  </conditionalFormatting>
  <conditionalFormatting sqref="D443">
    <cfRule type="expression" dxfId="1092" priority="234">
      <formula>AND(SUMPRODUCT(IFERROR(1*(($D$633&amp;"x")=(D443&amp;"x")),0))&gt;1,NOT(ISBLANK(D443)))</formula>
    </cfRule>
    <cfRule type="duplicateValues" dxfId="1091" priority="27"/>
  </conditionalFormatting>
  <conditionalFormatting sqref="D444">
    <cfRule type="expression" dxfId="1090" priority="233">
      <formula>AND(SUMPRODUCT(IFERROR(1*(($D$634&amp;"x")=(D444&amp;"x")),0))&gt;1,NOT(ISBLANK(D444)))</formula>
    </cfRule>
    <cfRule type="duplicateValues" dxfId="1089" priority="26"/>
  </conditionalFormatting>
  <conditionalFormatting sqref="D445">
    <cfRule type="expression" dxfId="1088" priority="232">
      <formula>AND(SUMPRODUCT(IFERROR(1*(($D$635&amp;"x")=(D445&amp;"x")),0))&gt;1,NOT(ISBLANK(D445)))</formula>
    </cfRule>
    <cfRule type="duplicateValues" dxfId="1087" priority="25"/>
  </conditionalFormatting>
  <conditionalFormatting sqref="D446">
    <cfRule type="expression" dxfId="1086" priority="231">
      <formula>AND(SUMPRODUCT(IFERROR(1*(($D$636&amp;"x")=(D446&amp;"x")),0))&gt;1,NOT(ISBLANK(D446)))</formula>
    </cfRule>
    <cfRule type="duplicateValues" dxfId="1085" priority="24"/>
  </conditionalFormatting>
  <conditionalFormatting sqref="D447">
    <cfRule type="expression" dxfId="1084" priority="230">
      <formula>AND(SUMPRODUCT(IFERROR(1*(($D$637&amp;"x")=(D447&amp;"x")),0))&gt;1,NOT(ISBLANK(D447)))</formula>
    </cfRule>
    <cfRule type="duplicateValues" dxfId="1083" priority="23"/>
  </conditionalFormatting>
  <conditionalFormatting sqref="D448">
    <cfRule type="expression" dxfId="1082" priority="229">
      <formula>AND(SUMPRODUCT(IFERROR(1*(($D$638&amp;"x")=(D448&amp;"x")),0))&gt;1,NOT(ISBLANK(D448)))</formula>
    </cfRule>
    <cfRule type="duplicateValues" dxfId="1081" priority="22"/>
  </conditionalFormatting>
  <conditionalFormatting sqref="D449">
    <cfRule type="expression" dxfId="1080" priority="228">
      <formula>AND(SUMPRODUCT(IFERROR(1*(($D$639&amp;"x")=(D449&amp;"x")),0))&gt;1,NOT(ISBLANK(D449)))</formula>
    </cfRule>
    <cfRule type="duplicateValues" dxfId="1079" priority="21"/>
  </conditionalFormatting>
  <conditionalFormatting sqref="D450">
    <cfRule type="expression" dxfId="1078" priority="227">
      <formula>AND(SUMPRODUCT(IFERROR(1*(($D$640&amp;"x")=(D450&amp;"x")),0))&gt;1,NOT(ISBLANK(D450)))</formula>
    </cfRule>
    <cfRule type="duplicateValues" dxfId="1077" priority="20"/>
  </conditionalFormatting>
  <conditionalFormatting sqref="D451">
    <cfRule type="expression" dxfId="1076" priority="226">
      <formula>AND(SUMPRODUCT(IFERROR(1*(($D$641&amp;"x")=(D451&amp;"x")),0))&gt;1,NOT(ISBLANK(D451)))</formula>
    </cfRule>
    <cfRule type="duplicateValues" dxfId="1075" priority="19"/>
  </conditionalFormatting>
  <conditionalFormatting sqref="D452">
    <cfRule type="duplicateValues" dxfId="1074" priority="18"/>
    <cfRule type="expression" dxfId="1073" priority="225">
      <formula>AND(SUMPRODUCT(IFERROR(1*(($D$642&amp;"x")=(D452&amp;"x")),0))&gt;1,NOT(ISBLANK(D452)))</formula>
    </cfRule>
  </conditionalFormatting>
  <conditionalFormatting sqref="D453">
    <cfRule type="duplicateValues" dxfId="1072" priority="17"/>
    <cfRule type="expression" dxfId="1071" priority="224">
      <formula>AND(SUMPRODUCT(IFERROR(1*(($D$643&amp;"x")=(D453&amp;"x")),0))&gt;1,NOT(ISBLANK(D453)))</formula>
    </cfRule>
  </conditionalFormatting>
  <conditionalFormatting sqref="D454">
    <cfRule type="duplicateValues" dxfId="1070" priority="16"/>
    <cfRule type="expression" dxfId="1069" priority="223">
      <formula>AND(SUMPRODUCT(IFERROR(1*(($D$644&amp;"x")=(D454&amp;"x")),0))&gt;1,NOT(ISBLANK(D454)))</formula>
    </cfRule>
  </conditionalFormatting>
  <conditionalFormatting sqref="D455">
    <cfRule type="duplicateValues" dxfId="1068" priority="15"/>
    <cfRule type="expression" dxfId="1067" priority="222">
      <formula>AND(SUMPRODUCT(IFERROR(1*(($D$645&amp;"x")=(D455&amp;"x")),0))&gt;1,NOT(ISBLANK(D455)))</formula>
    </cfRule>
  </conditionalFormatting>
  <conditionalFormatting sqref="D456">
    <cfRule type="duplicateValues" dxfId="1066" priority="14"/>
    <cfRule type="expression" dxfId="1065" priority="221">
      <formula>AND(SUMPRODUCT(IFERROR(1*(($D$646&amp;"x")=(D456&amp;"x")),0))&gt;1,NOT(ISBLANK(D456)))</formula>
    </cfRule>
  </conditionalFormatting>
  <conditionalFormatting sqref="D457">
    <cfRule type="duplicateValues" dxfId="1064" priority="13"/>
    <cfRule type="expression" dxfId="1063" priority="220">
      <formula>AND(SUMPRODUCT(IFERROR(1*(($D$647&amp;"x")=(D457&amp;"x")),0))&gt;1,NOT(ISBLANK(D457)))</formula>
    </cfRule>
  </conditionalFormatting>
  <conditionalFormatting sqref="D458">
    <cfRule type="expression" dxfId="1062" priority="219">
      <formula>AND(SUMPRODUCT(IFERROR(1*(($D$648&amp;"x")=(D458&amp;"x")),0))&gt;1,NOT(ISBLANK(D458)))</formula>
    </cfRule>
    <cfRule type="duplicateValues" dxfId="1061" priority="12"/>
  </conditionalFormatting>
  <conditionalFormatting sqref="D459">
    <cfRule type="expression" dxfId="1060" priority="218">
      <formula>AND(SUMPRODUCT(IFERROR(1*(($D$649&amp;"x")=(D459&amp;"x")),0))&gt;1,NOT(ISBLANK(D459)))</formula>
    </cfRule>
    <cfRule type="duplicateValues" dxfId="1059" priority="11"/>
  </conditionalFormatting>
  <conditionalFormatting sqref="D460">
    <cfRule type="expression" dxfId="1058" priority="217">
      <formula>AND(SUMPRODUCT(IFERROR(1*(($D$650&amp;"x")=(D460&amp;"x")),0))&gt;1,NOT(ISBLANK(D460)))</formula>
    </cfRule>
    <cfRule type="duplicateValues" dxfId="1057" priority="10"/>
  </conditionalFormatting>
  <conditionalFormatting sqref="D461">
    <cfRule type="expression" dxfId="1056" priority="216">
      <formula>AND(SUMPRODUCT(IFERROR(1*(($D$651&amp;"x")=(D461&amp;"x")),0))&gt;1,NOT(ISBLANK(D461)))</formula>
    </cfRule>
    <cfRule type="duplicateValues" dxfId="1055" priority="9"/>
  </conditionalFormatting>
  <conditionalFormatting sqref="D462">
    <cfRule type="expression" dxfId="1054" priority="215">
      <formula>AND(SUMPRODUCT(IFERROR(1*(($D$652&amp;"x")=(D462&amp;"x")),0))&gt;1,NOT(ISBLANK(D462)))</formula>
    </cfRule>
    <cfRule type="duplicateValues" dxfId="1053" priority="8"/>
  </conditionalFormatting>
  <conditionalFormatting sqref="D463">
    <cfRule type="expression" dxfId="1052" priority="214">
      <formula>AND(SUMPRODUCT(IFERROR(1*(($D$653&amp;"x")=(D463&amp;"x")),0))&gt;1,NOT(ISBLANK(D463)))</formula>
    </cfRule>
    <cfRule type="duplicateValues" dxfId="1051" priority="7"/>
  </conditionalFormatting>
  <conditionalFormatting sqref="D464">
    <cfRule type="duplicateValues" dxfId="1050" priority="6"/>
    <cfRule type="expression" dxfId="1049" priority="213">
      <formula>AND(SUMPRODUCT(IFERROR(1*(($D$654&amp;"x")=(D464&amp;"x")),0))&gt;1,NOT(ISBLANK(D464)))</formula>
    </cfRule>
  </conditionalFormatting>
  <conditionalFormatting sqref="D465">
    <cfRule type="duplicateValues" dxfId="1048" priority="5"/>
    <cfRule type="expression" dxfId="1047" priority="212">
      <formula>AND(SUMPRODUCT(IFERROR(1*(($D$655&amp;"x")=(D465&amp;"x")),0))&gt;1,NOT(ISBLANK(D465)))</formula>
    </cfRule>
  </conditionalFormatting>
  <conditionalFormatting sqref="D466">
    <cfRule type="expression" dxfId="1046" priority="211">
      <formula>AND(SUMPRODUCT(IFERROR(1*(($D$656&amp;"x")=(D466&amp;"x")),0))&gt;1,NOT(ISBLANK(D466)))</formula>
    </cfRule>
    <cfRule type="duplicateValues" dxfId="1045" priority="4"/>
  </conditionalFormatting>
  <conditionalFormatting sqref="D467">
    <cfRule type="expression" dxfId="1044" priority="210">
      <formula>AND(SUMPRODUCT(IFERROR(1*(($D$657&amp;"x")=(D467&amp;"x")),0))&gt;1,NOT(ISBLANK(D467)))</formula>
    </cfRule>
    <cfRule type="duplicateValues" dxfId="1043" priority="3"/>
  </conditionalFormatting>
  <conditionalFormatting sqref="D468">
    <cfRule type="duplicateValues" dxfId="1042" priority="2"/>
    <cfRule type="expression" dxfId="1041" priority="209">
      <formula>AND(SUMPRODUCT(IFERROR(1*(($D$658&amp;"x")=(D468&amp;"x")),0))&gt;1,NOT(ISBLANK(D468)))</formula>
    </cfRule>
  </conditionalFormatting>
  <conditionalFormatting sqref="D469">
    <cfRule type="expression" dxfId="1040" priority="208">
      <formula>AND(SUMPRODUCT(IFERROR(1*(($D$659&amp;"x")=(D469&amp;"x")),0))&gt;1,NOT(ISBLANK(D469)))</formula>
    </cfRule>
    <cfRule type="duplicateValues" dxfId="103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2"/>
  <sheetViews>
    <sheetView zoomScaleNormal="100" zoomScaleSheetLayoutView="100" workbookViewId="0">
      <selection activeCell="R31" sqref="R31"/>
    </sheetView>
  </sheetViews>
  <sheetFormatPr defaultRowHeight="12"/>
  <cols>
    <col min="1" max="1" width="9" style="3164"/>
    <col min="2" max="3" width="15.875" style="3178" customWidth="1"/>
    <col min="4" max="4" width="36.375" style="3178" customWidth="1"/>
    <col min="5" max="6" width="15.875" style="3178" customWidth="1"/>
    <col min="7" max="7" width="16.5" style="3178" customWidth="1"/>
    <col min="8" max="9" width="15.5" style="3178" customWidth="1"/>
    <col min="10" max="10" width="14.75" style="3163" customWidth="1"/>
    <col min="11" max="12" width="31.125" style="3164" hidden="1" customWidth="1"/>
    <col min="13" max="13" width="10.125" style="3164" hidden="1" customWidth="1"/>
    <col min="14" max="16" width="0" style="3164" hidden="1" customWidth="1"/>
    <col min="17" max="257" width="9" style="3164"/>
    <col min="258" max="259" width="15.875" style="3164" customWidth="1"/>
    <col min="260" max="260" width="36.375" style="3164" customWidth="1"/>
    <col min="261" max="262" width="15.875" style="3164" customWidth="1"/>
    <col min="263" max="263" width="16.5" style="3164" customWidth="1"/>
    <col min="264" max="265" width="15.5" style="3164" customWidth="1"/>
    <col min="266" max="266" width="14.75" style="3164" customWidth="1"/>
    <col min="267" max="268" width="31.125" style="3164" customWidth="1"/>
    <col min="269" max="269" width="10.125" style="3164" bestFit="1" customWidth="1"/>
    <col min="270" max="513" width="9" style="3164"/>
    <col min="514" max="515" width="15.875" style="3164" customWidth="1"/>
    <col min="516" max="516" width="36.375" style="3164" customWidth="1"/>
    <col min="517" max="518" width="15.875" style="3164" customWidth="1"/>
    <col min="519" max="519" width="16.5" style="3164" customWidth="1"/>
    <col min="520" max="521" width="15.5" style="3164" customWidth="1"/>
    <col min="522" max="522" width="14.75" style="3164" customWidth="1"/>
    <col min="523" max="524" width="31.125" style="3164" customWidth="1"/>
    <col min="525" max="525" width="10.125" style="3164" bestFit="1" customWidth="1"/>
    <col min="526" max="769" width="9" style="3164"/>
    <col min="770" max="771" width="15.875" style="3164" customWidth="1"/>
    <col min="772" max="772" width="36.375" style="3164" customWidth="1"/>
    <col min="773" max="774" width="15.875" style="3164" customWidth="1"/>
    <col min="775" max="775" width="16.5" style="3164" customWidth="1"/>
    <col min="776" max="777" width="15.5" style="3164" customWidth="1"/>
    <col min="778" max="778" width="14.75" style="3164" customWidth="1"/>
    <col min="779" max="780" width="31.125" style="3164" customWidth="1"/>
    <col min="781" max="781" width="10.125" style="3164" bestFit="1" customWidth="1"/>
    <col min="782" max="1025" width="9" style="3164"/>
    <col min="1026" max="1027" width="15.875" style="3164" customWidth="1"/>
    <col min="1028" max="1028" width="36.375" style="3164" customWidth="1"/>
    <col min="1029" max="1030" width="15.875" style="3164" customWidth="1"/>
    <col min="1031" max="1031" width="16.5" style="3164" customWidth="1"/>
    <col min="1032" max="1033" width="15.5" style="3164" customWidth="1"/>
    <col min="1034" max="1034" width="14.75" style="3164" customWidth="1"/>
    <col min="1035" max="1036" width="31.125" style="3164" customWidth="1"/>
    <col min="1037" max="1037" width="10.125" style="3164" bestFit="1" customWidth="1"/>
    <col min="1038" max="1281" width="9" style="3164"/>
    <col min="1282" max="1283" width="15.875" style="3164" customWidth="1"/>
    <col min="1284" max="1284" width="36.375" style="3164" customWidth="1"/>
    <col min="1285" max="1286" width="15.875" style="3164" customWidth="1"/>
    <col min="1287" max="1287" width="16.5" style="3164" customWidth="1"/>
    <col min="1288" max="1289" width="15.5" style="3164" customWidth="1"/>
    <col min="1290" max="1290" width="14.75" style="3164" customWidth="1"/>
    <col min="1291" max="1292" width="31.125" style="3164" customWidth="1"/>
    <col min="1293" max="1293" width="10.125" style="3164" bestFit="1" customWidth="1"/>
    <col min="1294" max="1537" width="9" style="3164"/>
    <col min="1538" max="1539" width="15.875" style="3164" customWidth="1"/>
    <col min="1540" max="1540" width="36.375" style="3164" customWidth="1"/>
    <col min="1541" max="1542" width="15.875" style="3164" customWidth="1"/>
    <col min="1543" max="1543" width="16.5" style="3164" customWidth="1"/>
    <col min="1544" max="1545" width="15.5" style="3164" customWidth="1"/>
    <col min="1546" max="1546" width="14.75" style="3164" customWidth="1"/>
    <col min="1547" max="1548" width="31.125" style="3164" customWidth="1"/>
    <col min="1549" max="1549" width="10.125" style="3164" bestFit="1" customWidth="1"/>
    <col min="1550" max="1793" width="9" style="3164"/>
    <col min="1794" max="1795" width="15.875" style="3164" customWidth="1"/>
    <col min="1796" max="1796" width="36.375" style="3164" customWidth="1"/>
    <col min="1797" max="1798" width="15.875" style="3164" customWidth="1"/>
    <col min="1799" max="1799" width="16.5" style="3164" customWidth="1"/>
    <col min="1800" max="1801" width="15.5" style="3164" customWidth="1"/>
    <col min="1802" max="1802" width="14.75" style="3164" customWidth="1"/>
    <col min="1803" max="1804" width="31.125" style="3164" customWidth="1"/>
    <col min="1805" max="1805" width="10.125" style="3164" bestFit="1" customWidth="1"/>
    <col min="1806" max="2049" width="9" style="3164"/>
    <col min="2050" max="2051" width="15.875" style="3164" customWidth="1"/>
    <col min="2052" max="2052" width="36.375" style="3164" customWidth="1"/>
    <col min="2053" max="2054" width="15.875" style="3164" customWidth="1"/>
    <col min="2055" max="2055" width="16.5" style="3164" customWidth="1"/>
    <col min="2056" max="2057" width="15.5" style="3164" customWidth="1"/>
    <col min="2058" max="2058" width="14.75" style="3164" customWidth="1"/>
    <col min="2059" max="2060" width="31.125" style="3164" customWidth="1"/>
    <col min="2061" max="2061" width="10.125" style="3164" bestFit="1" customWidth="1"/>
    <col min="2062" max="2305" width="9" style="3164"/>
    <col min="2306" max="2307" width="15.875" style="3164" customWidth="1"/>
    <col min="2308" max="2308" width="36.375" style="3164" customWidth="1"/>
    <col min="2309" max="2310" width="15.875" style="3164" customWidth="1"/>
    <col min="2311" max="2311" width="16.5" style="3164" customWidth="1"/>
    <col min="2312" max="2313" width="15.5" style="3164" customWidth="1"/>
    <col min="2314" max="2314" width="14.75" style="3164" customWidth="1"/>
    <col min="2315" max="2316" width="31.125" style="3164" customWidth="1"/>
    <col min="2317" max="2317" width="10.125" style="3164" bestFit="1" customWidth="1"/>
    <col min="2318" max="2561" width="9" style="3164"/>
    <col min="2562" max="2563" width="15.875" style="3164" customWidth="1"/>
    <col min="2564" max="2564" width="36.375" style="3164" customWidth="1"/>
    <col min="2565" max="2566" width="15.875" style="3164" customWidth="1"/>
    <col min="2567" max="2567" width="16.5" style="3164" customWidth="1"/>
    <col min="2568" max="2569" width="15.5" style="3164" customWidth="1"/>
    <col min="2570" max="2570" width="14.75" style="3164" customWidth="1"/>
    <col min="2571" max="2572" width="31.125" style="3164" customWidth="1"/>
    <col min="2573" max="2573" width="10.125" style="3164" bestFit="1" customWidth="1"/>
    <col min="2574" max="2817" width="9" style="3164"/>
    <col min="2818" max="2819" width="15.875" style="3164" customWidth="1"/>
    <col min="2820" max="2820" width="36.375" style="3164" customWidth="1"/>
    <col min="2821" max="2822" width="15.875" style="3164" customWidth="1"/>
    <col min="2823" max="2823" width="16.5" style="3164" customWidth="1"/>
    <col min="2824" max="2825" width="15.5" style="3164" customWidth="1"/>
    <col min="2826" max="2826" width="14.75" style="3164" customWidth="1"/>
    <col min="2827" max="2828" width="31.125" style="3164" customWidth="1"/>
    <col min="2829" max="2829" width="10.125" style="3164" bestFit="1" customWidth="1"/>
    <col min="2830" max="3073" width="9" style="3164"/>
    <col min="3074" max="3075" width="15.875" style="3164" customWidth="1"/>
    <col min="3076" max="3076" width="36.375" style="3164" customWidth="1"/>
    <col min="3077" max="3078" width="15.875" style="3164" customWidth="1"/>
    <col min="3079" max="3079" width="16.5" style="3164" customWidth="1"/>
    <col min="3080" max="3081" width="15.5" style="3164" customWidth="1"/>
    <col min="3082" max="3082" width="14.75" style="3164" customWidth="1"/>
    <col min="3083" max="3084" width="31.125" style="3164" customWidth="1"/>
    <col min="3085" max="3085" width="10.125" style="3164" bestFit="1" customWidth="1"/>
    <col min="3086" max="3329" width="9" style="3164"/>
    <col min="3330" max="3331" width="15.875" style="3164" customWidth="1"/>
    <col min="3332" max="3332" width="36.375" style="3164" customWidth="1"/>
    <col min="3333" max="3334" width="15.875" style="3164" customWidth="1"/>
    <col min="3335" max="3335" width="16.5" style="3164" customWidth="1"/>
    <col min="3336" max="3337" width="15.5" style="3164" customWidth="1"/>
    <col min="3338" max="3338" width="14.75" style="3164" customWidth="1"/>
    <col min="3339" max="3340" width="31.125" style="3164" customWidth="1"/>
    <col min="3341" max="3341" width="10.125" style="3164" bestFit="1" customWidth="1"/>
    <col min="3342" max="3585" width="9" style="3164"/>
    <col min="3586" max="3587" width="15.875" style="3164" customWidth="1"/>
    <col min="3588" max="3588" width="36.375" style="3164" customWidth="1"/>
    <col min="3589" max="3590" width="15.875" style="3164" customWidth="1"/>
    <col min="3591" max="3591" width="16.5" style="3164" customWidth="1"/>
    <col min="3592" max="3593" width="15.5" style="3164" customWidth="1"/>
    <col min="3594" max="3594" width="14.75" style="3164" customWidth="1"/>
    <col min="3595" max="3596" width="31.125" style="3164" customWidth="1"/>
    <col min="3597" max="3597" width="10.125" style="3164" bestFit="1" customWidth="1"/>
    <col min="3598" max="3841" width="9" style="3164"/>
    <col min="3842" max="3843" width="15.875" style="3164" customWidth="1"/>
    <col min="3844" max="3844" width="36.375" style="3164" customWidth="1"/>
    <col min="3845" max="3846" width="15.875" style="3164" customWidth="1"/>
    <col min="3847" max="3847" width="16.5" style="3164" customWidth="1"/>
    <col min="3848" max="3849" width="15.5" style="3164" customWidth="1"/>
    <col min="3850" max="3850" width="14.75" style="3164" customWidth="1"/>
    <col min="3851" max="3852" width="31.125" style="3164" customWidth="1"/>
    <col min="3853" max="3853" width="10.125" style="3164" bestFit="1" customWidth="1"/>
    <col min="3854" max="4097" width="9" style="3164"/>
    <col min="4098" max="4099" width="15.875" style="3164" customWidth="1"/>
    <col min="4100" max="4100" width="36.375" style="3164" customWidth="1"/>
    <col min="4101" max="4102" width="15.875" style="3164" customWidth="1"/>
    <col min="4103" max="4103" width="16.5" style="3164" customWidth="1"/>
    <col min="4104" max="4105" width="15.5" style="3164" customWidth="1"/>
    <col min="4106" max="4106" width="14.75" style="3164" customWidth="1"/>
    <col min="4107" max="4108" width="31.125" style="3164" customWidth="1"/>
    <col min="4109" max="4109" width="10.125" style="3164" bestFit="1" customWidth="1"/>
    <col min="4110" max="4353" width="9" style="3164"/>
    <col min="4354" max="4355" width="15.875" style="3164" customWidth="1"/>
    <col min="4356" max="4356" width="36.375" style="3164" customWidth="1"/>
    <col min="4357" max="4358" width="15.875" style="3164" customWidth="1"/>
    <col min="4359" max="4359" width="16.5" style="3164" customWidth="1"/>
    <col min="4360" max="4361" width="15.5" style="3164" customWidth="1"/>
    <col min="4362" max="4362" width="14.75" style="3164" customWidth="1"/>
    <col min="4363" max="4364" width="31.125" style="3164" customWidth="1"/>
    <col min="4365" max="4365" width="10.125" style="3164" bestFit="1" customWidth="1"/>
    <col min="4366" max="4609" width="9" style="3164"/>
    <col min="4610" max="4611" width="15.875" style="3164" customWidth="1"/>
    <col min="4612" max="4612" width="36.375" style="3164" customWidth="1"/>
    <col min="4613" max="4614" width="15.875" style="3164" customWidth="1"/>
    <col min="4615" max="4615" width="16.5" style="3164" customWidth="1"/>
    <col min="4616" max="4617" width="15.5" style="3164" customWidth="1"/>
    <col min="4618" max="4618" width="14.75" style="3164" customWidth="1"/>
    <col min="4619" max="4620" width="31.125" style="3164" customWidth="1"/>
    <col min="4621" max="4621" width="10.125" style="3164" bestFit="1" customWidth="1"/>
    <col min="4622" max="4865" width="9" style="3164"/>
    <col min="4866" max="4867" width="15.875" style="3164" customWidth="1"/>
    <col min="4868" max="4868" width="36.375" style="3164" customWidth="1"/>
    <col min="4869" max="4870" width="15.875" style="3164" customWidth="1"/>
    <col min="4871" max="4871" width="16.5" style="3164" customWidth="1"/>
    <col min="4872" max="4873" width="15.5" style="3164" customWidth="1"/>
    <col min="4874" max="4874" width="14.75" style="3164" customWidth="1"/>
    <col min="4875" max="4876" width="31.125" style="3164" customWidth="1"/>
    <col min="4877" max="4877" width="10.125" style="3164" bestFit="1" customWidth="1"/>
    <col min="4878" max="5121" width="9" style="3164"/>
    <col min="5122" max="5123" width="15.875" style="3164" customWidth="1"/>
    <col min="5124" max="5124" width="36.375" style="3164" customWidth="1"/>
    <col min="5125" max="5126" width="15.875" style="3164" customWidth="1"/>
    <col min="5127" max="5127" width="16.5" style="3164" customWidth="1"/>
    <col min="5128" max="5129" width="15.5" style="3164" customWidth="1"/>
    <col min="5130" max="5130" width="14.75" style="3164" customWidth="1"/>
    <col min="5131" max="5132" width="31.125" style="3164" customWidth="1"/>
    <col min="5133" max="5133" width="10.125" style="3164" bestFit="1" customWidth="1"/>
    <col min="5134" max="5377" width="9" style="3164"/>
    <col min="5378" max="5379" width="15.875" style="3164" customWidth="1"/>
    <col min="5380" max="5380" width="36.375" style="3164" customWidth="1"/>
    <col min="5381" max="5382" width="15.875" style="3164" customWidth="1"/>
    <col min="5383" max="5383" width="16.5" style="3164" customWidth="1"/>
    <col min="5384" max="5385" width="15.5" style="3164" customWidth="1"/>
    <col min="5386" max="5386" width="14.75" style="3164" customWidth="1"/>
    <col min="5387" max="5388" width="31.125" style="3164" customWidth="1"/>
    <col min="5389" max="5389" width="10.125" style="3164" bestFit="1" customWidth="1"/>
    <col min="5390" max="5633" width="9" style="3164"/>
    <col min="5634" max="5635" width="15.875" style="3164" customWidth="1"/>
    <col min="5636" max="5636" width="36.375" style="3164" customWidth="1"/>
    <col min="5637" max="5638" width="15.875" style="3164" customWidth="1"/>
    <col min="5639" max="5639" width="16.5" style="3164" customWidth="1"/>
    <col min="5640" max="5641" width="15.5" style="3164" customWidth="1"/>
    <col min="5642" max="5642" width="14.75" style="3164" customWidth="1"/>
    <col min="5643" max="5644" width="31.125" style="3164" customWidth="1"/>
    <col min="5645" max="5645" width="10.125" style="3164" bestFit="1" customWidth="1"/>
    <col min="5646" max="5889" width="9" style="3164"/>
    <col min="5890" max="5891" width="15.875" style="3164" customWidth="1"/>
    <col min="5892" max="5892" width="36.375" style="3164" customWidth="1"/>
    <col min="5893" max="5894" width="15.875" style="3164" customWidth="1"/>
    <col min="5895" max="5895" width="16.5" style="3164" customWidth="1"/>
    <col min="5896" max="5897" width="15.5" style="3164" customWidth="1"/>
    <col min="5898" max="5898" width="14.75" style="3164" customWidth="1"/>
    <col min="5899" max="5900" width="31.125" style="3164" customWidth="1"/>
    <col min="5901" max="5901" width="10.125" style="3164" bestFit="1" customWidth="1"/>
    <col min="5902" max="6145" width="9" style="3164"/>
    <col min="6146" max="6147" width="15.875" style="3164" customWidth="1"/>
    <col min="6148" max="6148" width="36.375" style="3164" customWidth="1"/>
    <col min="6149" max="6150" width="15.875" style="3164" customWidth="1"/>
    <col min="6151" max="6151" width="16.5" style="3164" customWidth="1"/>
    <col min="6152" max="6153" width="15.5" style="3164" customWidth="1"/>
    <col min="6154" max="6154" width="14.75" style="3164" customWidth="1"/>
    <col min="6155" max="6156" width="31.125" style="3164" customWidth="1"/>
    <col min="6157" max="6157" width="10.125" style="3164" bestFit="1" customWidth="1"/>
    <col min="6158" max="6401" width="9" style="3164"/>
    <col min="6402" max="6403" width="15.875" style="3164" customWidth="1"/>
    <col min="6404" max="6404" width="36.375" style="3164" customWidth="1"/>
    <col min="6405" max="6406" width="15.875" style="3164" customWidth="1"/>
    <col min="6407" max="6407" width="16.5" style="3164" customWidth="1"/>
    <col min="6408" max="6409" width="15.5" style="3164" customWidth="1"/>
    <col min="6410" max="6410" width="14.75" style="3164" customWidth="1"/>
    <col min="6411" max="6412" width="31.125" style="3164" customWidth="1"/>
    <col min="6413" max="6413" width="10.125" style="3164" bestFit="1" customWidth="1"/>
    <col min="6414" max="6657" width="9" style="3164"/>
    <col min="6658" max="6659" width="15.875" style="3164" customWidth="1"/>
    <col min="6660" max="6660" width="36.375" style="3164" customWidth="1"/>
    <col min="6661" max="6662" width="15.875" style="3164" customWidth="1"/>
    <col min="6663" max="6663" width="16.5" style="3164" customWidth="1"/>
    <col min="6664" max="6665" width="15.5" style="3164" customWidth="1"/>
    <col min="6666" max="6666" width="14.75" style="3164" customWidth="1"/>
    <col min="6667" max="6668" width="31.125" style="3164" customWidth="1"/>
    <col min="6669" max="6669" width="10.125" style="3164" bestFit="1" customWidth="1"/>
    <col min="6670" max="6913" width="9" style="3164"/>
    <col min="6914" max="6915" width="15.875" style="3164" customWidth="1"/>
    <col min="6916" max="6916" width="36.375" style="3164" customWidth="1"/>
    <col min="6917" max="6918" width="15.875" style="3164" customWidth="1"/>
    <col min="6919" max="6919" width="16.5" style="3164" customWidth="1"/>
    <col min="6920" max="6921" width="15.5" style="3164" customWidth="1"/>
    <col min="6922" max="6922" width="14.75" style="3164" customWidth="1"/>
    <col min="6923" max="6924" width="31.125" style="3164" customWidth="1"/>
    <col min="6925" max="6925" width="10.125" style="3164" bestFit="1" customWidth="1"/>
    <col min="6926" max="7169" width="9" style="3164"/>
    <col min="7170" max="7171" width="15.875" style="3164" customWidth="1"/>
    <col min="7172" max="7172" width="36.375" style="3164" customWidth="1"/>
    <col min="7173" max="7174" width="15.875" style="3164" customWidth="1"/>
    <col min="7175" max="7175" width="16.5" style="3164" customWidth="1"/>
    <col min="7176" max="7177" width="15.5" style="3164" customWidth="1"/>
    <col min="7178" max="7178" width="14.75" style="3164" customWidth="1"/>
    <col min="7179" max="7180" width="31.125" style="3164" customWidth="1"/>
    <col min="7181" max="7181" width="10.125" style="3164" bestFit="1" customWidth="1"/>
    <col min="7182" max="7425" width="9" style="3164"/>
    <col min="7426" max="7427" width="15.875" style="3164" customWidth="1"/>
    <col min="7428" max="7428" width="36.375" style="3164" customWidth="1"/>
    <col min="7429" max="7430" width="15.875" style="3164" customWidth="1"/>
    <col min="7431" max="7431" width="16.5" style="3164" customWidth="1"/>
    <col min="7432" max="7433" width="15.5" style="3164" customWidth="1"/>
    <col min="7434" max="7434" width="14.75" style="3164" customWidth="1"/>
    <col min="7435" max="7436" width="31.125" style="3164" customWidth="1"/>
    <col min="7437" max="7437" width="10.125" style="3164" bestFit="1" customWidth="1"/>
    <col min="7438" max="7681" width="9" style="3164"/>
    <col min="7682" max="7683" width="15.875" style="3164" customWidth="1"/>
    <col min="7684" max="7684" width="36.375" style="3164" customWidth="1"/>
    <col min="7685" max="7686" width="15.875" style="3164" customWidth="1"/>
    <col min="7687" max="7687" width="16.5" style="3164" customWidth="1"/>
    <col min="7688" max="7689" width="15.5" style="3164" customWidth="1"/>
    <col min="7690" max="7690" width="14.75" style="3164" customWidth="1"/>
    <col min="7691" max="7692" width="31.125" style="3164" customWidth="1"/>
    <col min="7693" max="7693" width="10.125" style="3164" bestFit="1" customWidth="1"/>
    <col min="7694" max="7937" width="9" style="3164"/>
    <col min="7938" max="7939" width="15.875" style="3164" customWidth="1"/>
    <col min="7940" max="7940" width="36.375" style="3164" customWidth="1"/>
    <col min="7941" max="7942" width="15.875" style="3164" customWidth="1"/>
    <col min="7943" max="7943" width="16.5" style="3164" customWidth="1"/>
    <col min="7944" max="7945" width="15.5" style="3164" customWidth="1"/>
    <col min="7946" max="7946" width="14.75" style="3164" customWidth="1"/>
    <col min="7947" max="7948" width="31.125" style="3164" customWidth="1"/>
    <col min="7949" max="7949" width="10.125" style="3164" bestFit="1" customWidth="1"/>
    <col min="7950" max="8193" width="9" style="3164"/>
    <col min="8194" max="8195" width="15.875" style="3164" customWidth="1"/>
    <col min="8196" max="8196" width="36.375" style="3164" customWidth="1"/>
    <col min="8197" max="8198" width="15.875" style="3164" customWidth="1"/>
    <col min="8199" max="8199" width="16.5" style="3164" customWidth="1"/>
    <col min="8200" max="8201" width="15.5" style="3164" customWidth="1"/>
    <col min="8202" max="8202" width="14.75" style="3164" customWidth="1"/>
    <col min="8203" max="8204" width="31.125" style="3164" customWidth="1"/>
    <col min="8205" max="8205" width="10.125" style="3164" bestFit="1" customWidth="1"/>
    <col min="8206" max="8449" width="9" style="3164"/>
    <col min="8450" max="8451" width="15.875" style="3164" customWidth="1"/>
    <col min="8452" max="8452" width="36.375" style="3164" customWidth="1"/>
    <col min="8453" max="8454" width="15.875" style="3164" customWidth="1"/>
    <col min="8455" max="8455" width="16.5" style="3164" customWidth="1"/>
    <col min="8456" max="8457" width="15.5" style="3164" customWidth="1"/>
    <col min="8458" max="8458" width="14.75" style="3164" customWidth="1"/>
    <col min="8459" max="8460" width="31.125" style="3164" customWidth="1"/>
    <col min="8461" max="8461" width="10.125" style="3164" bestFit="1" customWidth="1"/>
    <col min="8462" max="8705" width="9" style="3164"/>
    <col min="8706" max="8707" width="15.875" style="3164" customWidth="1"/>
    <col min="8708" max="8708" width="36.375" style="3164" customWidth="1"/>
    <col min="8709" max="8710" width="15.875" style="3164" customWidth="1"/>
    <col min="8711" max="8711" width="16.5" style="3164" customWidth="1"/>
    <col min="8712" max="8713" width="15.5" style="3164" customWidth="1"/>
    <col min="8714" max="8714" width="14.75" style="3164" customWidth="1"/>
    <col min="8715" max="8716" width="31.125" style="3164" customWidth="1"/>
    <col min="8717" max="8717" width="10.125" style="3164" bestFit="1" customWidth="1"/>
    <col min="8718" max="8961" width="9" style="3164"/>
    <col min="8962" max="8963" width="15.875" style="3164" customWidth="1"/>
    <col min="8964" max="8964" width="36.375" style="3164" customWidth="1"/>
    <col min="8965" max="8966" width="15.875" style="3164" customWidth="1"/>
    <col min="8967" max="8967" width="16.5" style="3164" customWidth="1"/>
    <col min="8968" max="8969" width="15.5" style="3164" customWidth="1"/>
    <col min="8970" max="8970" width="14.75" style="3164" customWidth="1"/>
    <col min="8971" max="8972" width="31.125" style="3164" customWidth="1"/>
    <col min="8973" max="8973" width="10.125" style="3164" bestFit="1" customWidth="1"/>
    <col min="8974" max="9217" width="9" style="3164"/>
    <col min="9218" max="9219" width="15.875" style="3164" customWidth="1"/>
    <col min="9220" max="9220" width="36.375" style="3164" customWidth="1"/>
    <col min="9221" max="9222" width="15.875" style="3164" customWidth="1"/>
    <col min="9223" max="9223" width="16.5" style="3164" customWidth="1"/>
    <col min="9224" max="9225" width="15.5" style="3164" customWidth="1"/>
    <col min="9226" max="9226" width="14.75" style="3164" customWidth="1"/>
    <col min="9227" max="9228" width="31.125" style="3164" customWidth="1"/>
    <col min="9229" max="9229" width="10.125" style="3164" bestFit="1" customWidth="1"/>
    <col min="9230" max="9473" width="9" style="3164"/>
    <col min="9474" max="9475" width="15.875" style="3164" customWidth="1"/>
    <col min="9476" max="9476" width="36.375" style="3164" customWidth="1"/>
    <col min="9477" max="9478" width="15.875" style="3164" customWidth="1"/>
    <col min="9479" max="9479" width="16.5" style="3164" customWidth="1"/>
    <col min="9480" max="9481" width="15.5" style="3164" customWidth="1"/>
    <col min="9482" max="9482" width="14.75" style="3164" customWidth="1"/>
    <col min="9483" max="9484" width="31.125" style="3164" customWidth="1"/>
    <col min="9485" max="9485" width="10.125" style="3164" bestFit="1" customWidth="1"/>
    <col min="9486" max="9729" width="9" style="3164"/>
    <col min="9730" max="9731" width="15.875" style="3164" customWidth="1"/>
    <col min="9732" max="9732" width="36.375" style="3164" customWidth="1"/>
    <col min="9733" max="9734" width="15.875" style="3164" customWidth="1"/>
    <col min="9735" max="9735" width="16.5" style="3164" customWidth="1"/>
    <col min="9736" max="9737" width="15.5" style="3164" customWidth="1"/>
    <col min="9738" max="9738" width="14.75" style="3164" customWidth="1"/>
    <col min="9739" max="9740" width="31.125" style="3164" customWidth="1"/>
    <col min="9741" max="9741" width="10.125" style="3164" bestFit="1" customWidth="1"/>
    <col min="9742" max="9985" width="9" style="3164"/>
    <col min="9986" max="9987" width="15.875" style="3164" customWidth="1"/>
    <col min="9988" max="9988" width="36.375" style="3164" customWidth="1"/>
    <col min="9989" max="9990" width="15.875" style="3164" customWidth="1"/>
    <col min="9991" max="9991" width="16.5" style="3164" customWidth="1"/>
    <col min="9992" max="9993" width="15.5" style="3164" customWidth="1"/>
    <col min="9994" max="9994" width="14.75" style="3164" customWidth="1"/>
    <col min="9995" max="9996" width="31.125" style="3164" customWidth="1"/>
    <col min="9997" max="9997" width="10.125" style="3164" bestFit="1" customWidth="1"/>
    <col min="9998" max="10241" width="9" style="3164"/>
    <col min="10242" max="10243" width="15.875" style="3164" customWidth="1"/>
    <col min="10244" max="10244" width="36.375" style="3164" customWidth="1"/>
    <col min="10245" max="10246" width="15.875" style="3164" customWidth="1"/>
    <col min="10247" max="10247" width="16.5" style="3164" customWidth="1"/>
    <col min="10248" max="10249" width="15.5" style="3164" customWidth="1"/>
    <col min="10250" max="10250" width="14.75" style="3164" customWidth="1"/>
    <col min="10251" max="10252" width="31.125" style="3164" customWidth="1"/>
    <col min="10253" max="10253" width="10.125" style="3164" bestFit="1" customWidth="1"/>
    <col min="10254" max="10497" width="9" style="3164"/>
    <col min="10498" max="10499" width="15.875" style="3164" customWidth="1"/>
    <col min="10500" max="10500" width="36.375" style="3164" customWidth="1"/>
    <col min="10501" max="10502" width="15.875" style="3164" customWidth="1"/>
    <col min="10503" max="10503" width="16.5" style="3164" customWidth="1"/>
    <col min="10504" max="10505" width="15.5" style="3164" customWidth="1"/>
    <col min="10506" max="10506" width="14.75" style="3164" customWidth="1"/>
    <col min="10507" max="10508" width="31.125" style="3164" customWidth="1"/>
    <col min="10509" max="10509" width="10.125" style="3164" bestFit="1" customWidth="1"/>
    <col min="10510" max="10753" width="9" style="3164"/>
    <col min="10754" max="10755" width="15.875" style="3164" customWidth="1"/>
    <col min="10756" max="10756" width="36.375" style="3164" customWidth="1"/>
    <col min="10757" max="10758" width="15.875" style="3164" customWidth="1"/>
    <col min="10759" max="10759" width="16.5" style="3164" customWidth="1"/>
    <col min="10760" max="10761" width="15.5" style="3164" customWidth="1"/>
    <col min="10762" max="10762" width="14.75" style="3164" customWidth="1"/>
    <col min="10763" max="10764" width="31.125" style="3164" customWidth="1"/>
    <col min="10765" max="10765" width="10.125" style="3164" bestFit="1" customWidth="1"/>
    <col min="10766" max="11009" width="9" style="3164"/>
    <col min="11010" max="11011" width="15.875" style="3164" customWidth="1"/>
    <col min="11012" max="11012" width="36.375" style="3164" customWidth="1"/>
    <col min="11013" max="11014" width="15.875" style="3164" customWidth="1"/>
    <col min="11015" max="11015" width="16.5" style="3164" customWidth="1"/>
    <col min="11016" max="11017" width="15.5" style="3164" customWidth="1"/>
    <col min="11018" max="11018" width="14.75" style="3164" customWidth="1"/>
    <col min="11019" max="11020" width="31.125" style="3164" customWidth="1"/>
    <col min="11021" max="11021" width="10.125" style="3164" bestFit="1" customWidth="1"/>
    <col min="11022" max="11265" width="9" style="3164"/>
    <col min="11266" max="11267" width="15.875" style="3164" customWidth="1"/>
    <col min="11268" max="11268" width="36.375" style="3164" customWidth="1"/>
    <col min="11269" max="11270" width="15.875" style="3164" customWidth="1"/>
    <col min="11271" max="11271" width="16.5" style="3164" customWidth="1"/>
    <col min="11272" max="11273" width="15.5" style="3164" customWidth="1"/>
    <col min="11274" max="11274" width="14.75" style="3164" customWidth="1"/>
    <col min="11275" max="11276" width="31.125" style="3164" customWidth="1"/>
    <col min="11277" max="11277" width="10.125" style="3164" bestFit="1" customWidth="1"/>
    <col min="11278" max="11521" width="9" style="3164"/>
    <col min="11522" max="11523" width="15.875" style="3164" customWidth="1"/>
    <col min="11524" max="11524" width="36.375" style="3164" customWidth="1"/>
    <col min="11525" max="11526" width="15.875" style="3164" customWidth="1"/>
    <col min="11527" max="11527" width="16.5" style="3164" customWidth="1"/>
    <col min="11528" max="11529" width="15.5" style="3164" customWidth="1"/>
    <col min="11530" max="11530" width="14.75" style="3164" customWidth="1"/>
    <col min="11531" max="11532" width="31.125" style="3164" customWidth="1"/>
    <col min="11533" max="11533" width="10.125" style="3164" bestFit="1" customWidth="1"/>
    <col min="11534" max="11777" width="9" style="3164"/>
    <col min="11778" max="11779" width="15.875" style="3164" customWidth="1"/>
    <col min="11780" max="11780" width="36.375" style="3164" customWidth="1"/>
    <col min="11781" max="11782" width="15.875" style="3164" customWidth="1"/>
    <col min="11783" max="11783" width="16.5" style="3164" customWidth="1"/>
    <col min="11784" max="11785" width="15.5" style="3164" customWidth="1"/>
    <col min="11786" max="11786" width="14.75" style="3164" customWidth="1"/>
    <col min="11787" max="11788" width="31.125" style="3164" customWidth="1"/>
    <col min="11789" max="11789" width="10.125" style="3164" bestFit="1" customWidth="1"/>
    <col min="11790" max="12033" width="9" style="3164"/>
    <col min="12034" max="12035" width="15.875" style="3164" customWidth="1"/>
    <col min="12036" max="12036" width="36.375" style="3164" customWidth="1"/>
    <col min="12037" max="12038" width="15.875" style="3164" customWidth="1"/>
    <col min="12039" max="12039" width="16.5" style="3164" customWidth="1"/>
    <col min="12040" max="12041" width="15.5" style="3164" customWidth="1"/>
    <col min="12042" max="12042" width="14.75" style="3164" customWidth="1"/>
    <col min="12043" max="12044" width="31.125" style="3164" customWidth="1"/>
    <col min="12045" max="12045" width="10.125" style="3164" bestFit="1" customWidth="1"/>
    <col min="12046" max="12289" width="9" style="3164"/>
    <col min="12290" max="12291" width="15.875" style="3164" customWidth="1"/>
    <col min="12292" max="12292" width="36.375" style="3164" customWidth="1"/>
    <col min="12293" max="12294" width="15.875" style="3164" customWidth="1"/>
    <col min="12295" max="12295" width="16.5" style="3164" customWidth="1"/>
    <col min="12296" max="12297" width="15.5" style="3164" customWidth="1"/>
    <col min="12298" max="12298" width="14.75" style="3164" customWidth="1"/>
    <col min="12299" max="12300" width="31.125" style="3164" customWidth="1"/>
    <col min="12301" max="12301" width="10.125" style="3164" bestFit="1" customWidth="1"/>
    <col min="12302" max="12545" width="9" style="3164"/>
    <col min="12546" max="12547" width="15.875" style="3164" customWidth="1"/>
    <col min="12548" max="12548" width="36.375" style="3164" customWidth="1"/>
    <col min="12549" max="12550" width="15.875" style="3164" customWidth="1"/>
    <col min="12551" max="12551" width="16.5" style="3164" customWidth="1"/>
    <col min="12552" max="12553" width="15.5" style="3164" customWidth="1"/>
    <col min="12554" max="12554" width="14.75" style="3164" customWidth="1"/>
    <col min="12555" max="12556" width="31.125" style="3164" customWidth="1"/>
    <col min="12557" max="12557" width="10.125" style="3164" bestFit="1" customWidth="1"/>
    <col min="12558" max="12801" width="9" style="3164"/>
    <col min="12802" max="12803" width="15.875" style="3164" customWidth="1"/>
    <col min="12804" max="12804" width="36.375" style="3164" customWidth="1"/>
    <col min="12805" max="12806" width="15.875" style="3164" customWidth="1"/>
    <col min="12807" max="12807" width="16.5" style="3164" customWidth="1"/>
    <col min="12808" max="12809" width="15.5" style="3164" customWidth="1"/>
    <col min="12810" max="12810" width="14.75" style="3164" customWidth="1"/>
    <col min="12811" max="12812" width="31.125" style="3164" customWidth="1"/>
    <col min="12813" max="12813" width="10.125" style="3164" bestFit="1" customWidth="1"/>
    <col min="12814" max="13057" width="9" style="3164"/>
    <col min="13058" max="13059" width="15.875" style="3164" customWidth="1"/>
    <col min="13060" max="13060" width="36.375" style="3164" customWidth="1"/>
    <col min="13061" max="13062" width="15.875" style="3164" customWidth="1"/>
    <col min="13063" max="13063" width="16.5" style="3164" customWidth="1"/>
    <col min="13064" max="13065" width="15.5" style="3164" customWidth="1"/>
    <col min="13066" max="13066" width="14.75" style="3164" customWidth="1"/>
    <col min="13067" max="13068" width="31.125" style="3164" customWidth="1"/>
    <col min="13069" max="13069" width="10.125" style="3164" bestFit="1" customWidth="1"/>
    <col min="13070" max="13313" width="9" style="3164"/>
    <col min="13314" max="13315" width="15.875" style="3164" customWidth="1"/>
    <col min="13316" max="13316" width="36.375" style="3164" customWidth="1"/>
    <col min="13317" max="13318" width="15.875" style="3164" customWidth="1"/>
    <col min="13319" max="13319" width="16.5" style="3164" customWidth="1"/>
    <col min="13320" max="13321" width="15.5" style="3164" customWidth="1"/>
    <col min="13322" max="13322" width="14.75" style="3164" customWidth="1"/>
    <col min="13323" max="13324" width="31.125" style="3164" customWidth="1"/>
    <col min="13325" max="13325" width="10.125" style="3164" bestFit="1" customWidth="1"/>
    <col min="13326" max="13569" width="9" style="3164"/>
    <col min="13570" max="13571" width="15.875" style="3164" customWidth="1"/>
    <col min="13572" max="13572" width="36.375" style="3164" customWidth="1"/>
    <col min="13573" max="13574" width="15.875" style="3164" customWidth="1"/>
    <col min="13575" max="13575" width="16.5" style="3164" customWidth="1"/>
    <col min="13576" max="13577" width="15.5" style="3164" customWidth="1"/>
    <col min="13578" max="13578" width="14.75" style="3164" customWidth="1"/>
    <col min="13579" max="13580" width="31.125" style="3164" customWidth="1"/>
    <col min="13581" max="13581" width="10.125" style="3164" bestFit="1" customWidth="1"/>
    <col min="13582" max="13825" width="9" style="3164"/>
    <col min="13826" max="13827" width="15.875" style="3164" customWidth="1"/>
    <col min="13828" max="13828" width="36.375" style="3164" customWidth="1"/>
    <col min="13829" max="13830" width="15.875" style="3164" customWidth="1"/>
    <col min="13831" max="13831" width="16.5" style="3164" customWidth="1"/>
    <col min="13832" max="13833" width="15.5" style="3164" customWidth="1"/>
    <col min="13834" max="13834" width="14.75" style="3164" customWidth="1"/>
    <col min="13835" max="13836" width="31.125" style="3164" customWidth="1"/>
    <col min="13837" max="13837" width="10.125" style="3164" bestFit="1" customWidth="1"/>
    <col min="13838" max="14081" width="9" style="3164"/>
    <col min="14082" max="14083" width="15.875" style="3164" customWidth="1"/>
    <col min="14084" max="14084" width="36.375" style="3164" customWidth="1"/>
    <col min="14085" max="14086" width="15.875" style="3164" customWidth="1"/>
    <col min="14087" max="14087" width="16.5" style="3164" customWidth="1"/>
    <col min="14088" max="14089" width="15.5" style="3164" customWidth="1"/>
    <col min="14090" max="14090" width="14.75" style="3164" customWidth="1"/>
    <col min="14091" max="14092" width="31.125" style="3164" customWidth="1"/>
    <col min="14093" max="14093" width="10.125" style="3164" bestFit="1" customWidth="1"/>
    <col min="14094" max="14337" width="9" style="3164"/>
    <col min="14338" max="14339" width="15.875" style="3164" customWidth="1"/>
    <col min="14340" max="14340" width="36.375" style="3164" customWidth="1"/>
    <col min="14341" max="14342" width="15.875" style="3164" customWidth="1"/>
    <col min="14343" max="14343" width="16.5" style="3164" customWidth="1"/>
    <col min="14344" max="14345" width="15.5" style="3164" customWidth="1"/>
    <col min="14346" max="14346" width="14.75" style="3164" customWidth="1"/>
    <col min="14347" max="14348" width="31.125" style="3164" customWidth="1"/>
    <col min="14349" max="14349" width="10.125" style="3164" bestFit="1" customWidth="1"/>
    <col min="14350" max="14593" width="9" style="3164"/>
    <col min="14594" max="14595" width="15.875" style="3164" customWidth="1"/>
    <col min="14596" max="14596" width="36.375" style="3164" customWidth="1"/>
    <col min="14597" max="14598" width="15.875" style="3164" customWidth="1"/>
    <col min="14599" max="14599" width="16.5" style="3164" customWidth="1"/>
    <col min="14600" max="14601" width="15.5" style="3164" customWidth="1"/>
    <col min="14602" max="14602" width="14.75" style="3164" customWidth="1"/>
    <col min="14603" max="14604" width="31.125" style="3164" customWidth="1"/>
    <col min="14605" max="14605" width="10.125" style="3164" bestFit="1" customWidth="1"/>
    <col min="14606" max="14849" width="9" style="3164"/>
    <col min="14850" max="14851" width="15.875" style="3164" customWidth="1"/>
    <col min="14852" max="14852" width="36.375" style="3164" customWidth="1"/>
    <col min="14853" max="14854" width="15.875" style="3164" customWidth="1"/>
    <col min="14855" max="14855" width="16.5" style="3164" customWidth="1"/>
    <col min="14856" max="14857" width="15.5" style="3164" customWidth="1"/>
    <col min="14858" max="14858" width="14.75" style="3164" customWidth="1"/>
    <col min="14859" max="14860" width="31.125" style="3164" customWidth="1"/>
    <col min="14861" max="14861" width="10.125" style="3164" bestFit="1" customWidth="1"/>
    <col min="14862" max="15105" width="9" style="3164"/>
    <col min="15106" max="15107" width="15.875" style="3164" customWidth="1"/>
    <col min="15108" max="15108" width="36.375" style="3164" customWidth="1"/>
    <col min="15109" max="15110" width="15.875" style="3164" customWidth="1"/>
    <col min="15111" max="15111" width="16.5" style="3164" customWidth="1"/>
    <col min="15112" max="15113" width="15.5" style="3164" customWidth="1"/>
    <col min="15114" max="15114" width="14.75" style="3164" customWidth="1"/>
    <col min="15115" max="15116" width="31.125" style="3164" customWidth="1"/>
    <col min="15117" max="15117" width="10.125" style="3164" bestFit="1" customWidth="1"/>
    <col min="15118" max="15361" width="9" style="3164"/>
    <col min="15362" max="15363" width="15.875" style="3164" customWidth="1"/>
    <col min="15364" max="15364" width="36.375" style="3164" customWidth="1"/>
    <col min="15365" max="15366" width="15.875" style="3164" customWidth="1"/>
    <col min="15367" max="15367" width="16.5" style="3164" customWidth="1"/>
    <col min="15368" max="15369" width="15.5" style="3164" customWidth="1"/>
    <col min="15370" max="15370" width="14.75" style="3164" customWidth="1"/>
    <col min="15371" max="15372" width="31.125" style="3164" customWidth="1"/>
    <col min="15373" max="15373" width="10.125" style="3164" bestFit="1" customWidth="1"/>
    <col min="15374" max="15617" width="9" style="3164"/>
    <col min="15618" max="15619" width="15.875" style="3164" customWidth="1"/>
    <col min="15620" max="15620" width="36.375" style="3164" customWidth="1"/>
    <col min="15621" max="15622" width="15.875" style="3164" customWidth="1"/>
    <col min="15623" max="15623" width="16.5" style="3164" customWidth="1"/>
    <col min="15624" max="15625" width="15.5" style="3164" customWidth="1"/>
    <col min="15626" max="15626" width="14.75" style="3164" customWidth="1"/>
    <col min="15627" max="15628" width="31.125" style="3164" customWidth="1"/>
    <col min="15629" max="15629" width="10.125" style="3164" bestFit="1" customWidth="1"/>
    <col min="15630" max="15873" width="9" style="3164"/>
    <col min="15874" max="15875" width="15.875" style="3164" customWidth="1"/>
    <col min="15876" max="15876" width="36.375" style="3164" customWidth="1"/>
    <col min="15877" max="15878" width="15.875" style="3164" customWidth="1"/>
    <col min="15879" max="15879" width="16.5" style="3164" customWidth="1"/>
    <col min="15880" max="15881" width="15.5" style="3164" customWidth="1"/>
    <col min="15882" max="15882" width="14.75" style="3164" customWidth="1"/>
    <col min="15883" max="15884" width="31.125" style="3164" customWidth="1"/>
    <col min="15885" max="15885" width="10.125" style="3164" bestFit="1" customWidth="1"/>
    <col min="15886" max="16129" width="9" style="3164"/>
    <col min="16130" max="16131" width="15.875" style="3164" customWidth="1"/>
    <col min="16132" max="16132" width="36.375" style="3164" customWidth="1"/>
    <col min="16133" max="16134" width="15.875" style="3164" customWidth="1"/>
    <col min="16135" max="16135" width="16.5" style="3164" customWidth="1"/>
    <col min="16136" max="16137" width="15.5" style="3164" customWidth="1"/>
    <col min="16138" max="16138" width="14.75" style="3164" customWidth="1"/>
    <col min="16139" max="16140" width="31.125" style="3164" customWidth="1"/>
    <col min="16141" max="16141" width="10.125" style="3164" bestFit="1" customWidth="1"/>
    <col min="16142" max="16384" width="9" style="3164"/>
  </cols>
  <sheetData>
    <row r="1" spans="1:13" ht="18.75">
      <c r="A1" s="3262" t="s">
        <v>3437</v>
      </c>
      <c r="B1" s="3262"/>
      <c r="C1" s="3262"/>
      <c r="D1" s="3262"/>
      <c r="E1" s="3262"/>
      <c r="F1" s="3262"/>
      <c r="G1" s="3262"/>
      <c r="H1" s="3262"/>
      <c r="I1" s="3162"/>
      <c r="J1" s="3163" t="s">
        <v>3438</v>
      </c>
    </row>
    <row r="2" spans="1:13">
      <c r="A2" s="3165" t="s">
        <v>3439</v>
      </c>
      <c r="B2" s="3166" t="s">
        <v>3440</v>
      </c>
      <c r="C2" s="3166" t="s">
        <v>3441</v>
      </c>
      <c r="D2" s="3166" t="s">
        <v>3442</v>
      </c>
      <c r="E2" s="3166" t="s">
        <v>3443</v>
      </c>
      <c r="F2" s="3167" t="s">
        <v>3444</v>
      </c>
      <c r="G2" s="3167" t="s">
        <v>3445</v>
      </c>
      <c r="H2" s="3167" t="s">
        <v>3446</v>
      </c>
      <c r="I2" s="3167" t="s">
        <v>3447</v>
      </c>
      <c r="J2" s="3168" t="s">
        <v>3448</v>
      </c>
      <c r="K2" s="3169" t="s">
        <v>3449</v>
      </c>
    </row>
    <row r="3" spans="1:13" ht="16.5">
      <c r="A3" s="3170">
        <v>1</v>
      </c>
      <c r="B3" s="3171" t="s">
        <v>4792</v>
      </c>
      <c r="C3" s="3172" t="s">
        <v>4792</v>
      </c>
      <c r="D3" s="3173" t="s">
        <v>4793</v>
      </c>
      <c r="E3" s="3172" t="s">
        <v>4794</v>
      </c>
      <c r="F3" s="3179" t="s">
        <v>4795</v>
      </c>
      <c r="G3" s="3171">
        <v>-1001</v>
      </c>
      <c r="H3" s="3174">
        <v>35.9</v>
      </c>
      <c r="I3" s="3175">
        <v>600000.29</v>
      </c>
      <c r="J3" s="3176" t="s">
        <v>3453</v>
      </c>
      <c r="K3" s="3163"/>
      <c r="M3" s="3163"/>
    </row>
    <row r="4" spans="1:13" ht="16.5">
      <c r="A4" s="3170">
        <v>2</v>
      </c>
      <c r="B4" s="3171" t="s">
        <v>4792</v>
      </c>
      <c r="C4" s="3172" t="s">
        <v>4792</v>
      </c>
      <c r="D4" s="3173" t="s">
        <v>4796</v>
      </c>
      <c r="E4" s="3172" t="s">
        <v>4797</v>
      </c>
      <c r="F4" s="3179" t="s">
        <v>4795</v>
      </c>
      <c r="G4" s="3171">
        <v>-1002</v>
      </c>
      <c r="H4" s="3174">
        <v>35.9</v>
      </c>
      <c r="I4" s="3175">
        <v>600000.29</v>
      </c>
      <c r="J4" s="3176" t="s">
        <v>3453</v>
      </c>
      <c r="K4" s="3163"/>
      <c r="M4" s="3163"/>
    </row>
    <row r="5" spans="1:13" ht="16.5">
      <c r="A5" s="3170">
        <v>3</v>
      </c>
      <c r="B5" s="3171" t="s">
        <v>4792</v>
      </c>
      <c r="C5" s="3172" t="s">
        <v>4792</v>
      </c>
      <c r="D5" s="3173" t="s">
        <v>4798</v>
      </c>
      <c r="E5" s="3172" t="s">
        <v>4799</v>
      </c>
      <c r="F5" s="3179" t="s">
        <v>4795</v>
      </c>
      <c r="G5" s="3171">
        <v>-1003</v>
      </c>
      <c r="H5" s="3174">
        <v>35.9</v>
      </c>
      <c r="I5" s="3175">
        <v>600000.29</v>
      </c>
      <c r="J5" s="3176" t="s">
        <v>3453</v>
      </c>
      <c r="K5" s="3163"/>
      <c r="M5" s="3163"/>
    </row>
    <row r="6" spans="1:13" ht="16.5">
      <c r="A6" s="3170">
        <v>4</v>
      </c>
      <c r="B6" s="3171" t="s">
        <v>4792</v>
      </c>
      <c r="C6" s="3172" t="s">
        <v>4792</v>
      </c>
      <c r="D6" s="3173" t="s">
        <v>4800</v>
      </c>
      <c r="E6" s="3172" t="s">
        <v>4801</v>
      </c>
      <c r="F6" s="3179" t="s">
        <v>4795</v>
      </c>
      <c r="G6" s="3171">
        <v>-1004</v>
      </c>
      <c r="H6" s="3174">
        <v>35.9</v>
      </c>
      <c r="I6" s="3175">
        <v>600000.29</v>
      </c>
      <c r="J6" s="3176" t="s">
        <v>3453</v>
      </c>
      <c r="K6" s="3163"/>
      <c r="M6" s="3163"/>
    </row>
    <row r="7" spans="1:13" ht="16.5">
      <c r="A7" s="3170">
        <v>5</v>
      </c>
      <c r="B7" s="3171" t="s">
        <v>4792</v>
      </c>
      <c r="C7" s="3172" t="s">
        <v>4792</v>
      </c>
      <c r="D7" s="3173" t="s">
        <v>4802</v>
      </c>
      <c r="E7" s="3172" t="s">
        <v>4803</v>
      </c>
      <c r="F7" s="3179" t="s">
        <v>4795</v>
      </c>
      <c r="G7" s="3171">
        <v>-1005</v>
      </c>
      <c r="H7" s="3174">
        <v>37.39</v>
      </c>
      <c r="I7" s="3175">
        <v>600000.32120000001</v>
      </c>
      <c r="J7" s="3176" t="s">
        <v>3453</v>
      </c>
      <c r="K7" s="3163"/>
      <c r="M7" s="3163"/>
    </row>
    <row r="8" spans="1:13" ht="16.5">
      <c r="A8" s="3170">
        <v>6</v>
      </c>
      <c r="B8" s="3171" t="s">
        <v>4792</v>
      </c>
      <c r="C8" s="3172" t="s">
        <v>4792</v>
      </c>
      <c r="D8" s="3173" t="s">
        <v>4804</v>
      </c>
      <c r="E8" s="3172" t="s">
        <v>4805</v>
      </c>
      <c r="F8" s="3179" t="s">
        <v>4795</v>
      </c>
      <c r="G8" s="3171">
        <v>-1006</v>
      </c>
      <c r="H8" s="3174">
        <v>37.39</v>
      </c>
      <c r="I8" s="3175">
        <v>600000.32120000001</v>
      </c>
      <c r="J8" s="3176" t="s">
        <v>3453</v>
      </c>
      <c r="K8" s="3163"/>
      <c r="M8" s="3163"/>
    </row>
    <row r="9" spans="1:13" ht="16.5">
      <c r="A9" s="3170">
        <v>7</v>
      </c>
      <c r="B9" s="3171" t="s">
        <v>4792</v>
      </c>
      <c r="C9" s="3172" t="s">
        <v>4792</v>
      </c>
      <c r="D9" s="3173" t="s">
        <v>4806</v>
      </c>
      <c r="E9" s="3172" t="s">
        <v>4807</v>
      </c>
      <c r="F9" s="3179" t="s">
        <v>4795</v>
      </c>
      <c r="G9" s="3171">
        <v>-1007</v>
      </c>
      <c r="H9" s="3174">
        <v>37.39</v>
      </c>
      <c r="I9" s="3175">
        <v>600000.32120000001</v>
      </c>
      <c r="J9" s="3176" t="s">
        <v>3453</v>
      </c>
      <c r="K9" s="3163"/>
      <c r="M9" s="3163"/>
    </row>
    <row r="10" spans="1:13" ht="16.5">
      <c r="A10" s="3170">
        <v>8</v>
      </c>
      <c r="B10" s="3171" t="s">
        <v>4792</v>
      </c>
      <c r="C10" s="3172" t="s">
        <v>4792</v>
      </c>
      <c r="D10" s="3173" t="s">
        <v>4808</v>
      </c>
      <c r="E10" s="3172" t="s">
        <v>4809</v>
      </c>
      <c r="F10" s="3179" t="s">
        <v>4795</v>
      </c>
      <c r="G10" s="3171">
        <v>-1008</v>
      </c>
      <c r="H10" s="3174">
        <v>37.39</v>
      </c>
      <c r="I10" s="3175">
        <v>600000.32120000001</v>
      </c>
      <c r="J10" s="3176" t="s">
        <v>3453</v>
      </c>
      <c r="K10" s="3163"/>
      <c r="M10" s="3163"/>
    </row>
    <row r="11" spans="1:13" ht="16.5">
      <c r="A11" s="3170">
        <v>9</v>
      </c>
      <c r="B11" s="3171" t="s">
        <v>4792</v>
      </c>
      <c r="C11" s="3172" t="s">
        <v>4792</v>
      </c>
      <c r="D11" s="3173" t="s">
        <v>4810</v>
      </c>
      <c r="E11" s="3172" t="s">
        <v>4811</v>
      </c>
      <c r="F11" s="3179" t="s">
        <v>4795</v>
      </c>
      <c r="G11" s="3171">
        <v>-1009</v>
      </c>
      <c r="H11" s="3174">
        <v>37.39</v>
      </c>
      <c r="I11" s="3175">
        <v>600000.32120000001</v>
      </c>
      <c r="J11" s="3176" t="s">
        <v>3453</v>
      </c>
      <c r="K11" s="3163"/>
      <c r="M11" s="3163"/>
    </row>
    <row r="12" spans="1:13" ht="16.5">
      <c r="A12" s="3170">
        <v>10</v>
      </c>
      <c r="B12" s="3171" t="s">
        <v>4792</v>
      </c>
      <c r="C12" s="3172" t="s">
        <v>4792</v>
      </c>
      <c r="D12" s="3173" t="s">
        <v>4812</v>
      </c>
      <c r="E12" s="3172" t="s">
        <v>4813</v>
      </c>
      <c r="F12" s="3179" t="s">
        <v>4795</v>
      </c>
      <c r="G12" s="3171">
        <v>-1010</v>
      </c>
      <c r="H12" s="3174">
        <v>37.39</v>
      </c>
      <c r="I12" s="3175">
        <v>600000.32120000001</v>
      </c>
      <c r="J12" s="3176" t="s">
        <v>3453</v>
      </c>
      <c r="K12" s="3163"/>
      <c r="M12" s="3163"/>
    </row>
    <row r="13" spans="1:13" ht="16.5">
      <c r="A13" s="3170">
        <v>11</v>
      </c>
      <c r="B13" s="3171" t="s">
        <v>4792</v>
      </c>
      <c r="C13" s="3172" t="s">
        <v>4792</v>
      </c>
      <c r="D13" s="3173" t="s">
        <v>4814</v>
      </c>
      <c r="E13" s="3172" t="s">
        <v>4815</v>
      </c>
      <c r="F13" s="3179" t="s">
        <v>4795</v>
      </c>
      <c r="G13" s="3171">
        <v>-1011</v>
      </c>
      <c r="H13" s="3174">
        <v>37.39</v>
      </c>
      <c r="I13" s="3175">
        <v>600000.32120000001</v>
      </c>
      <c r="J13" s="3176" t="s">
        <v>3453</v>
      </c>
      <c r="K13" s="3163"/>
      <c r="M13" s="3163"/>
    </row>
    <row r="14" spans="1:13" ht="16.5">
      <c r="A14" s="3170">
        <v>12</v>
      </c>
      <c r="B14" s="3171" t="s">
        <v>4792</v>
      </c>
      <c r="C14" s="3172" t="s">
        <v>4792</v>
      </c>
      <c r="D14" s="3173" t="s">
        <v>4816</v>
      </c>
      <c r="E14" s="3172" t="s">
        <v>4817</v>
      </c>
      <c r="F14" s="3179" t="s">
        <v>4795</v>
      </c>
      <c r="G14" s="3171">
        <v>-1012</v>
      </c>
      <c r="H14" s="3174">
        <v>37.39</v>
      </c>
      <c r="I14" s="3175">
        <v>600000.32120000001</v>
      </c>
      <c r="J14" s="3176" t="s">
        <v>3453</v>
      </c>
      <c r="K14" s="3163"/>
      <c r="M14" s="3163"/>
    </row>
    <row r="15" spans="1:13" ht="16.5">
      <c r="A15" s="3170">
        <v>13</v>
      </c>
      <c r="B15" s="3171" t="s">
        <v>4792</v>
      </c>
      <c r="C15" s="3172" t="s">
        <v>4792</v>
      </c>
      <c r="D15" s="3173" t="s">
        <v>4818</v>
      </c>
      <c r="E15" s="3172" t="s">
        <v>4819</v>
      </c>
      <c r="F15" s="3179" t="s">
        <v>4795</v>
      </c>
      <c r="G15" s="3171">
        <v>-1013</v>
      </c>
      <c r="H15" s="3174">
        <v>37.39</v>
      </c>
      <c r="I15" s="3175">
        <v>600000.32120000001</v>
      </c>
      <c r="J15" s="3176" t="s">
        <v>3453</v>
      </c>
      <c r="K15" s="3163"/>
      <c r="M15" s="3163"/>
    </row>
    <row r="16" spans="1:13" ht="16.5">
      <c r="A16" s="3170">
        <v>14</v>
      </c>
      <c r="B16" s="3171" t="s">
        <v>4792</v>
      </c>
      <c r="C16" s="3172" t="s">
        <v>4792</v>
      </c>
      <c r="D16" s="3173" t="s">
        <v>4820</v>
      </c>
      <c r="E16" s="3172" t="s">
        <v>4821</v>
      </c>
      <c r="F16" s="3179" t="s">
        <v>4795</v>
      </c>
      <c r="G16" s="3171">
        <v>-1014</v>
      </c>
      <c r="H16" s="3174">
        <v>35.9</v>
      </c>
      <c r="I16" s="3175">
        <v>600000.29</v>
      </c>
      <c r="J16" s="3176" t="s">
        <v>3453</v>
      </c>
      <c r="K16" s="3163"/>
      <c r="M16" s="3163"/>
    </row>
    <row r="17" spans="1:13" ht="16.5">
      <c r="A17" s="3170">
        <v>15</v>
      </c>
      <c r="B17" s="3171" t="s">
        <v>4792</v>
      </c>
      <c r="C17" s="3172" t="s">
        <v>4792</v>
      </c>
      <c r="D17" s="3173" t="s">
        <v>4822</v>
      </c>
      <c r="E17" s="3172" t="s">
        <v>4823</v>
      </c>
      <c r="F17" s="3179" t="s">
        <v>4795</v>
      </c>
      <c r="G17" s="3171">
        <v>-1015</v>
      </c>
      <c r="H17" s="3174">
        <v>35.9</v>
      </c>
      <c r="I17" s="3175">
        <v>600000.29</v>
      </c>
      <c r="J17" s="3176" t="s">
        <v>3453</v>
      </c>
      <c r="K17" s="3163"/>
      <c r="M17" s="3163"/>
    </row>
    <row r="18" spans="1:13" ht="16.5">
      <c r="A18" s="3170">
        <v>16</v>
      </c>
      <c r="B18" s="3171" t="s">
        <v>4792</v>
      </c>
      <c r="C18" s="3172" t="s">
        <v>4792</v>
      </c>
      <c r="D18" s="3173" t="s">
        <v>4824</v>
      </c>
      <c r="E18" s="3172" t="s">
        <v>4825</v>
      </c>
      <c r="F18" s="3179" t="s">
        <v>4795</v>
      </c>
      <c r="G18" s="3171">
        <v>-1016</v>
      </c>
      <c r="H18" s="3174">
        <v>35.9</v>
      </c>
      <c r="I18" s="3175">
        <v>600000.29</v>
      </c>
      <c r="J18" s="3176" t="s">
        <v>3453</v>
      </c>
      <c r="K18" s="3163"/>
      <c r="M18" s="3163"/>
    </row>
    <row r="19" spans="1:13" ht="16.5">
      <c r="A19" s="3170">
        <v>17</v>
      </c>
      <c r="B19" s="3171" t="s">
        <v>4792</v>
      </c>
      <c r="C19" s="3172" t="s">
        <v>4792</v>
      </c>
      <c r="D19" s="3173" t="s">
        <v>4826</v>
      </c>
      <c r="E19" s="3172" t="s">
        <v>4827</v>
      </c>
      <c r="F19" s="3179" t="s">
        <v>4795</v>
      </c>
      <c r="G19" s="3171">
        <v>-1017</v>
      </c>
      <c r="H19" s="3174">
        <v>35.9</v>
      </c>
      <c r="I19" s="3175">
        <v>600000.29</v>
      </c>
      <c r="J19" s="3176" t="s">
        <v>3453</v>
      </c>
      <c r="K19" s="3163"/>
      <c r="M19" s="3163"/>
    </row>
    <row r="20" spans="1:13" ht="16.5">
      <c r="A20" s="3170">
        <v>18</v>
      </c>
      <c r="B20" s="3171" t="s">
        <v>4792</v>
      </c>
      <c r="C20" s="3172" t="s">
        <v>4792</v>
      </c>
      <c r="D20" s="3173" t="s">
        <v>4828</v>
      </c>
      <c r="E20" s="3172" t="s">
        <v>4829</v>
      </c>
      <c r="F20" s="3179" t="s">
        <v>4795</v>
      </c>
      <c r="G20" s="3171">
        <v>-1018</v>
      </c>
      <c r="H20" s="3174">
        <v>37.39</v>
      </c>
      <c r="I20" s="3175">
        <v>600000.32120000001</v>
      </c>
      <c r="J20" s="3176" t="s">
        <v>3453</v>
      </c>
      <c r="K20" s="3163"/>
      <c r="M20" s="3163"/>
    </row>
    <row r="21" spans="1:13" ht="16.5">
      <c r="A21" s="3170">
        <v>19</v>
      </c>
      <c r="B21" s="3171" t="s">
        <v>4792</v>
      </c>
      <c r="C21" s="3172" t="s">
        <v>4792</v>
      </c>
      <c r="D21" s="3173" t="s">
        <v>4830</v>
      </c>
      <c r="E21" s="3172" t="s">
        <v>4831</v>
      </c>
      <c r="F21" s="3179" t="s">
        <v>4795</v>
      </c>
      <c r="G21" s="3171">
        <v>-1019</v>
      </c>
      <c r="H21" s="3174">
        <v>37.39</v>
      </c>
      <c r="I21" s="3175">
        <v>600000.32120000001</v>
      </c>
      <c r="J21" s="3176" t="s">
        <v>3453</v>
      </c>
      <c r="K21" s="3163"/>
      <c r="M21" s="3163"/>
    </row>
    <row r="22" spans="1:13" ht="16.5">
      <c r="A22" s="3170">
        <v>20</v>
      </c>
      <c r="B22" s="3171" t="s">
        <v>4792</v>
      </c>
      <c r="C22" s="3172" t="s">
        <v>4792</v>
      </c>
      <c r="D22" s="3173" t="s">
        <v>4832</v>
      </c>
      <c r="E22" s="3172" t="s">
        <v>4833</v>
      </c>
      <c r="F22" s="3179" t="s">
        <v>4795</v>
      </c>
      <c r="G22" s="3171">
        <v>-1020</v>
      </c>
      <c r="H22" s="3174">
        <v>55.34</v>
      </c>
      <c r="I22" s="3175">
        <v>600000.15379999997</v>
      </c>
      <c r="J22" s="3176" t="s">
        <v>3453</v>
      </c>
      <c r="K22" s="3163"/>
      <c r="M22" s="3163"/>
    </row>
    <row r="23" spans="1:13" ht="16.5">
      <c r="A23" s="3170">
        <v>21</v>
      </c>
      <c r="B23" s="3171" t="s">
        <v>4792</v>
      </c>
      <c r="C23" s="3172" t="s">
        <v>4792</v>
      </c>
      <c r="D23" s="3173" t="s">
        <v>4834</v>
      </c>
      <c r="E23" s="3172" t="s">
        <v>4835</v>
      </c>
      <c r="F23" s="3179" t="s">
        <v>4795</v>
      </c>
      <c r="G23" s="3171">
        <v>-1021</v>
      </c>
      <c r="H23" s="3174">
        <v>35.9</v>
      </c>
      <c r="I23" s="3175">
        <v>600000.29</v>
      </c>
      <c r="J23" s="3176" t="s">
        <v>3453</v>
      </c>
      <c r="K23" s="3163"/>
      <c r="M23" s="3163"/>
    </row>
    <row r="24" spans="1:13" ht="16.5">
      <c r="A24" s="3170">
        <v>22</v>
      </c>
      <c r="B24" s="3171" t="s">
        <v>4792</v>
      </c>
      <c r="C24" s="3172" t="s">
        <v>4792</v>
      </c>
      <c r="D24" s="3173" t="s">
        <v>4836</v>
      </c>
      <c r="E24" s="3172" t="s">
        <v>4837</v>
      </c>
      <c r="F24" s="3179" t="s">
        <v>4795</v>
      </c>
      <c r="G24" s="3171">
        <v>-1022</v>
      </c>
      <c r="H24" s="3174">
        <v>35.9</v>
      </c>
      <c r="I24" s="3175">
        <v>600000.29</v>
      </c>
      <c r="J24" s="3176" t="s">
        <v>3453</v>
      </c>
      <c r="K24" s="3163"/>
      <c r="M24" s="3163"/>
    </row>
    <row r="25" spans="1:13" ht="16.5">
      <c r="A25" s="3170">
        <v>23</v>
      </c>
      <c r="B25" s="3171" t="s">
        <v>4792</v>
      </c>
      <c r="C25" s="3172" t="s">
        <v>4792</v>
      </c>
      <c r="D25" s="3173" t="s">
        <v>4838</v>
      </c>
      <c r="E25" s="3172" t="s">
        <v>4839</v>
      </c>
      <c r="F25" s="3179" t="s">
        <v>4795</v>
      </c>
      <c r="G25" s="3171">
        <v>-1023</v>
      </c>
      <c r="H25" s="3174">
        <v>37.39</v>
      </c>
      <c r="I25" s="3175">
        <v>600000.32120000001</v>
      </c>
      <c r="J25" s="3176" t="s">
        <v>3453</v>
      </c>
      <c r="K25" s="3163"/>
      <c r="M25" s="3163"/>
    </row>
    <row r="26" spans="1:13" ht="16.5">
      <c r="A26" s="3170">
        <v>24</v>
      </c>
      <c r="B26" s="3171" t="s">
        <v>4792</v>
      </c>
      <c r="C26" s="3172" t="s">
        <v>4792</v>
      </c>
      <c r="D26" s="3173" t="s">
        <v>4840</v>
      </c>
      <c r="E26" s="3172" t="s">
        <v>4841</v>
      </c>
      <c r="F26" s="3179" t="s">
        <v>4795</v>
      </c>
      <c r="G26" s="3171">
        <v>-1024</v>
      </c>
      <c r="H26" s="3174">
        <v>37.39</v>
      </c>
      <c r="I26" s="3175">
        <v>600000.32120000001</v>
      </c>
      <c r="J26" s="3176" t="s">
        <v>3453</v>
      </c>
      <c r="K26" s="3163"/>
      <c r="M26" s="3163"/>
    </row>
    <row r="27" spans="1:13" ht="16.5">
      <c r="A27" s="3170">
        <v>25</v>
      </c>
      <c r="B27" s="3171" t="s">
        <v>4792</v>
      </c>
      <c r="C27" s="3172" t="s">
        <v>4792</v>
      </c>
      <c r="D27" s="3173" t="s">
        <v>4842</v>
      </c>
      <c r="E27" s="3172" t="s">
        <v>4843</v>
      </c>
      <c r="F27" s="3179" t="s">
        <v>4795</v>
      </c>
      <c r="G27" s="3171">
        <v>-1025</v>
      </c>
      <c r="H27" s="3174">
        <v>35.9</v>
      </c>
      <c r="I27" s="3175">
        <v>600000.29</v>
      </c>
      <c r="J27" s="3176" t="s">
        <v>3469</v>
      </c>
      <c r="K27" s="3163"/>
      <c r="M27" s="3163"/>
    </row>
    <row r="28" spans="1:13" ht="16.5">
      <c r="A28" s="3170">
        <v>26</v>
      </c>
      <c r="B28" s="3171" t="s">
        <v>4792</v>
      </c>
      <c r="C28" s="3172" t="s">
        <v>4792</v>
      </c>
      <c r="D28" s="3173" t="s">
        <v>4844</v>
      </c>
      <c r="E28" s="3172" t="s">
        <v>4845</v>
      </c>
      <c r="F28" s="3179" t="s">
        <v>4795</v>
      </c>
      <c r="G28" s="3171">
        <v>-1026</v>
      </c>
      <c r="H28" s="3174">
        <v>35.9</v>
      </c>
      <c r="I28" s="3175">
        <v>600000.29</v>
      </c>
      <c r="J28" s="3176" t="s">
        <v>3469</v>
      </c>
      <c r="K28" s="3163"/>
      <c r="M28" s="3163"/>
    </row>
    <row r="29" spans="1:13" ht="16.5">
      <c r="A29" s="3170">
        <v>27</v>
      </c>
      <c r="B29" s="3171" t="s">
        <v>4792</v>
      </c>
      <c r="C29" s="3172" t="s">
        <v>4792</v>
      </c>
      <c r="D29" s="3173" t="s">
        <v>4846</v>
      </c>
      <c r="E29" s="3172" t="s">
        <v>4847</v>
      </c>
      <c r="F29" s="3179" t="s">
        <v>4795</v>
      </c>
      <c r="G29" s="3171">
        <v>-1027</v>
      </c>
      <c r="H29" s="3174">
        <v>35.9</v>
      </c>
      <c r="I29" s="3175">
        <v>600000.29</v>
      </c>
      <c r="J29" s="3176" t="s">
        <v>3453</v>
      </c>
      <c r="K29" s="3163"/>
      <c r="M29" s="3163"/>
    </row>
    <row r="30" spans="1:13" ht="16.5">
      <c r="A30" s="3170">
        <v>28</v>
      </c>
      <c r="B30" s="3171" t="s">
        <v>4792</v>
      </c>
      <c r="C30" s="3172" t="s">
        <v>4792</v>
      </c>
      <c r="D30" s="3173" t="s">
        <v>4848</v>
      </c>
      <c r="E30" s="3172" t="s">
        <v>4849</v>
      </c>
      <c r="F30" s="3179" t="s">
        <v>4795</v>
      </c>
      <c r="G30" s="3171">
        <v>-1028</v>
      </c>
      <c r="H30" s="3174">
        <v>35.9</v>
      </c>
      <c r="I30" s="3175">
        <v>600000.29</v>
      </c>
      <c r="J30" s="3176" t="s">
        <v>3453</v>
      </c>
      <c r="K30" s="3163"/>
      <c r="M30" s="3163"/>
    </row>
    <row r="31" spans="1:13" ht="16.5">
      <c r="A31" s="3170">
        <v>29</v>
      </c>
      <c r="B31" s="3171" t="s">
        <v>4792</v>
      </c>
      <c r="C31" s="3172" t="s">
        <v>4792</v>
      </c>
      <c r="D31" s="3173" t="s">
        <v>4850</v>
      </c>
      <c r="E31" s="3172" t="s">
        <v>4851</v>
      </c>
      <c r="F31" s="3179" t="s">
        <v>4795</v>
      </c>
      <c r="G31" s="3171">
        <v>-1031</v>
      </c>
      <c r="H31" s="3174">
        <v>37.39</v>
      </c>
      <c r="I31" s="3175">
        <v>600000.32120000001</v>
      </c>
      <c r="J31" s="3176" t="s">
        <v>3453</v>
      </c>
      <c r="K31" s="3163"/>
      <c r="M31" s="3163"/>
    </row>
    <row r="32" spans="1:13" ht="16.5">
      <c r="A32" s="3170">
        <v>30</v>
      </c>
      <c r="B32" s="3171" t="s">
        <v>4792</v>
      </c>
      <c r="C32" s="3172" t="s">
        <v>4792</v>
      </c>
      <c r="D32" s="3173" t="s">
        <v>4852</v>
      </c>
      <c r="E32" s="3172" t="s">
        <v>4853</v>
      </c>
      <c r="F32" s="3179" t="s">
        <v>4795</v>
      </c>
      <c r="G32" s="3171">
        <v>-1032</v>
      </c>
      <c r="H32" s="3174">
        <v>37.39</v>
      </c>
      <c r="I32" s="3175">
        <v>600000.32120000001</v>
      </c>
      <c r="J32" s="3176" t="s">
        <v>3453</v>
      </c>
      <c r="K32" s="3163"/>
      <c r="M32" s="3163"/>
    </row>
    <row r="33" spans="1:13" ht="16.5">
      <c r="A33" s="3170">
        <v>31</v>
      </c>
      <c r="B33" s="3171" t="s">
        <v>4792</v>
      </c>
      <c r="C33" s="3172" t="s">
        <v>4792</v>
      </c>
      <c r="D33" s="3173" t="s">
        <v>4854</v>
      </c>
      <c r="E33" s="3172" t="s">
        <v>4855</v>
      </c>
      <c r="F33" s="3179" t="s">
        <v>4795</v>
      </c>
      <c r="G33" s="3171">
        <v>-1034</v>
      </c>
      <c r="H33" s="3174">
        <v>37.39</v>
      </c>
      <c r="I33" s="3175">
        <v>600000.32120000001</v>
      </c>
      <c r="J33" s="3176" t="s">
        <v>3453</v>
      </c>
      <c r="K33" s="3163"/>
      <c r="M33" s="3163"/>
    </row>
    <row r="34" spans="1:13" ht="16.5">
      <c r="A34" s="3170">
        <v>32</v>
      </c>
      <c r="B34" s="3171" t="s">
        <v>4792</v>
      </c>
      <c r="C34" s="3172" t="s">
        <v>4792</v>
      </c>
      <c r="D34" s="3173" t="s">
        <v>4856</v>
      </c>
      <c r="E34" s="3172" t="s">
        <v>4857</v>
      </c>
      <c r="F34" s="3179" t="s">
        <v>4795</v>
      </c>
      <c r="G34" s="3171">
        <v>-1035</v>
      </c>
      <c r="H34" s="3174">
        <v>37.39</v>
      </c>
      <c r="I34" s="3175">
        <v>600000.32120000001</v>
      </c>
      <c r="J34" s="3176" t="s">
        <v>3453</v>
      </c>
      <c r="K34" s="3163"/>
      <c r="M34" s="3163"/>
    </row>
    <row r="35" spans="1:13" ht="16.5">
      <c r="A35" s="3170">
        <v>33</v>
      </c>
      <c r="B35" s="3171" t="s">
        <v>4792</v>
      </c>
      <c r="C35" s="3172" t="s">
        <v>4792</v>
      </c>
      <c r="D35" s="3173" t="s">
        <v>4858</v>
      </c>
      <c r="E35" s="3172" t="s">
        <v>4859</v>
      </c>
      <c r="F35" s="3179" t="s">
        <v>4795</v>
      </c>
      <c r="G35" s="3171">
        <v>-1036</v>
      </c>
      <c r="H35" s="3174">
        <v>37.39</v>
      </c>
      <c r="I35" s="3175">
        <v>600000.32120000001</v>
      </c>
      <c r="J35" s="3176" t="s">
        <v>3453</v>
      </c>
      <c r="K35" s="3163"/>
      <c r="M35" s="3163"/>
    </row>
    <row r="36" spans="1:13" ht="16.5">
      <c r="A36" s="3170">
        <v>34</v>
      </c>
      <c r="B36" s="3171" t="s">
        <v>4792</v>
      </c>
      <c r="C36" s="3172" t="s">
        <v>4792</v>
      </c>
      <c r="D36" s="3173" t="s">
        <v>4860</v>
      </c>
      <c r="E36" s="3172" t="s">
        <v>4861</v>
      </c>
      <c r="F36" s="3179" t="s">
        <v>4795</v>
      </c>
      <c r="G36" s="3171">
        <v>-1037</v>
      </c>
      <c r="H36" s="3174">
        <v>37.39</v>
      </c>
      <c r="I36" s="3175">
        <v>600000.32120000001</v>
      </c>
      <c r="J36" s="3176" t="s">
        <v>3453</v>
      </c>
      <c r="K36" s="3163"/>
      <c r="M36" s="3163"/>
    </row>
    <row r="37" spans="1:13" ht="16.5">
      <c r="A37" s="3170">
        <v>35</v>
      </c>
      <c r="B37" s="3171" t="s">
        <v>4792</v>
      </c>
      <c r="C37" s="3172" t="s">
        <v>4792</v>
      </c>
      <c r="D37" s="3173" t="s">
        <v>4862</v>
      </c>
      <c r="E37" s="3172" t="s">
        <v>4863</v>
      </c>
      <c r="F37" s="3179" t="s">
        <v>4795</v>
      </c>
      <c r="G37" s="3171">
        <v>-1038</v>
      </c>
      <c r="H37" s="3174">
        <v>37.39</v>
      </c>
      <c r="I37" s="3175">
        <v>600000.32120000001</v>
      </c>
      <c r="J37" s="3176" t="s">
        <v>3453</v>
      </c>
      <c r="K37" s="3163"/>
      <c r="M37" s="3163"/>
    </row>
    <row r="38" spans="1:13" ht="16.5">
      <c r="A38" s="3170">
        <v>36</v>
      </c>
      <c r="B38" s="3171" t="s">
        <v>4792</v>
      </c>
      <c r="C38" s="3172" t="s">
        <v>4792</v>
      </c>
      <c r="D38" s="3173" t="s">
        <v>4864</v>
      </c>
      <c r="E38" s="3172" t="s">
        <v>4865</v>
      </c>
      <c r="F38" s="3179" t="s">
        <v>4795</v>
      </c>
      <c r="G38" s="3171">
        <v>-1040</v>
      </c>
      <c r="H38" s="3174">
        <v>37.39</v>
      </c>
      <c r="I38" s="3175">
        <v>600000.32120000001</v>
      </c>
      <c r="J38" s="3176" t="s">
        <v>3453</v>
      </c>
      <c r="K38" s="3163"/>
      <c r="M38" s="3163"/>
    </row>
    <row r="39" spans="1:13" ht="16.5">
      <c r="A39" s="3170">
        <v>37</v>
      </c>
      <c r="B39" s="3171" t="s">
        <v>4792</v>
      </c>
      <c r="C39" s="3172" t="s">
        <v>4792</v>
      </c>
      <c r="D39" s="3173" t="s">
        <v>4866</v>
      </c>
      <c r="E39" s="3172" t="s">
        <v>4867</v>
      </c>
      <c r="F39" s="3179" t="s">
        <v>4795</v>
      </c>
      <c r="G39" s="3171">
        <v>-1041</v>
      </c>
      <c r="H39" s="3174">
        <v>37.39</v>
      </c>
      <c r="I39" s="3175">
        <v>600000.32120000001</v>
      </c>
      <c r="J39" s="3176" t="s">
        <v>3453</v>
      </c>
      <c r="K39" s="3163"/>
      <c r="M39" s="3163"/>
    </row>
    <row r="40" spans="1:13" ht="16.5">
      <c r="A40" s="3170">
        <v>38</v>
      </c>
      <c r="B40" s="3171" t="s">
        <v>4792</v>
      </c>
      <c r="C40" s="3172" t="s">
        <v>4792</v>
      </c>
      <c r="D40" s="3173" t="s">
        <v>4868</v>
      </c>
      <c r="E40" s="3172" t="s">
        <v>4869</v>
      </c>
      <c r="F40" s="3179" t="s">
        <v>4795</v>
      </c>
      <c r="G40" s="3171">
        <v>-1044</v>
      </c>
      <c r="H40" s="3174">
        <v>37.39</v>
      </c>
      <c r="I40" s="3175">
        <v>600000.32120000001</v>
      </c>
      <c r="J40" s="3176" t="s">
        <v>3453</v>
      </c>
      <c r="K40" s="3163"/>
      <c r="M40" s="3163"/>
    </row>
    <row r="41" spans="1:13" ht="16.5">
      <c r="A41" s="3170">
        <v>39</v>
      </c>
      <c r="B41" s="3171" t="s">
        <v>4792</v>
      </c>
      <c r="C41" s="3172" t="s">
        <v>4792</v>
      </c>
      <c r="D41" s="3173" t="s">
        <v>4870</v>
      </c>
      <c r="E41" s="3172" t="s">
        <v>4871</v>
      </c>
      <c r="F41" s="3179" t="s">
        <v>4795</v>
      </c>
      <c r="G41" s="3171">
        <v>-1045</v>
      </c>
      <c r="H41" s="3174">
        <v>37.39</v>
      </c>
      <c r="I41" s="3175">
        <v>600000.32120000001</v>
      </c>
      <c r="J41" s="3176" t="s">
        <v>3453</v>
      </c>
      <c r="K41" s="3163"/>
      <c r="M41" s="3163"/>
    </row>
    <row r="42" spans="1:13" ht="16.5">
      <c r="A42" s="3170">
        <v>40</v>
      </c>
      <c r="B42" s="3171" t="s">
        <v>4792</v>
      </c>
      <c r="C42" s="3172" t="s">
        <v>4792</v>
      </c>
      <c r="D42" s="3173" t="s">
        <v>4872</v>
      </c>
      <c r="E42" s="3172" t="s">
        <v>4873</v>
      </c>
      <c r="F42" s="3179" t="s">
        <v>4795</v>
      </c>
      <c r="G42" s="3171">
        <v>-1046</v>
      </c>
      <c r="H42" s="3174">
        <v>37.39</v>
      </c>
      <c r="I42" s="3175">
        <v>600000.32120000001</v>
      </c>
      <c r="J42" s="3176" t="s">
        <v>3453</v>
      </c>
      <c r="K42" s="3163"/>
      <c r="M42" s="3163"/>
    </row>
    <row r="43" spans="1:13" ht="16.5">
      <c r="A43" s="3170">
        <v>41</v>
      </c>
      <c r="B43" s="3171" t="s">
        <v>4792</v>
      </c>
      <c r="C43" s="3172" t="s">
        <v>4792</v>
      </c>
      <c r="D43" s="3173" t="s">
        <v>4874</v>
      </c>
      <c r="E43" s="3172" t="s">
        <v>4875</v>
      </c>
      <c r="F43" s="3179" t="s">
        <v>4795</v>
      </c>
      <c r="G43" s="3171">
        <v>-1047</v>
      </c>
      <c r="H43" s="3174">
        <v>37.39</v>
      </c>
      <c r="I43" s="3175">
        <v>600000.32120000001</v>
      </c>
      <c r="J43" s="3176" t="s">
        <v>3453</v>
      </c>
      <c r="K43" s="3163"/>
      <c r="M43" s="3163"/>
    </row>
    <row r="44" spans="1:13" ht="16.5">
      <c r="A44" s="3170">
        <v>42</v>
      </c>
      <c r="B44" s="3171" t="s">
        <v>4792</v>
      </c>
      <c r="C44" s="3172" t="s">
        <v>4792</v>
      </c>
      <c r="D44" s="3173" t="s">
        <v>4876</v>
      </c>
      <c r="E44" s="3172" t="s">
        <v>4877</v>
      </c>
      <c r="F44" s="3179" t="s">
        <v>4795</v>
      </c>
      <c r="G44" s="3171">
        <v>-1048</v>
      </c>
      <c r="H44" s="3174">
        <v>37.39</v>
      </c>
      <c r="I44" s="3175">
        <v>600000.32120000001</v>
      </c>
      <c r="J44" s="3176" t="s">
        <v>3453</v>
      </c>
      <c r="K44" s="3163"/>
      <c r="M44" s="3163"/>
    </row>
    <row r="45" spans="1:13" ht="16.5">
      <c r="A45" s="3170">
        <v>43</v>
      </c>
      <c r="B45" s="3171" t="s">
        <v>4792</v>
      </c>
      <c r="C45" s="3172" t="s">
        <v>4792</v>
      </c>
      <c r="D45" s="3173" t="s">
        <v>4878</v>
      </c>
      <c r="E45" s="3172" t="s">
        <v>4879</v>
      </c>
      <c r="F45" s="3179" t="s">
        <v>4795</v>
      </c>
      <c r="G45" s="3171">
        <v>-1049</v>
      </c>
      <c r="H45" s="3174">
        <v>37.39</v>
      </c>
      <c r="I45" s="3175">
        <v>600000.32120000001</v>
      </c>
      <c r="J45" s="3176" t="s">
        <v>3453</v>
      </c>
      <c r="K45" s="3163"/>
      <c r="M45" s="3163"/>
    </row>
    <row r="46" spans="1:13" ht="16.5">
      <c r="A46" s="3170">
        <v>44</v>
      </c>
      <c r="B46" s="3171" t="s">
        <v>4792</v>
      </c>
      <c r="C46" s="3172" t="s">
        <v>4792</v>
      </c>
      <c r="D46" s="3173" t="s">
        <v>4880</v>
      </c>
      <c r="E46" s="3172" t="s">
        <v>4881</v>
      </c>
      <c r="F46" s="3179" t="s">
        <v>4795</v>
      </c>
      <c r="G46" s="3171">
        <v>-1050</v>
      </c>
      <c r="H46" s="3174">
        <v>37.39</v>
      </c>
      <c r="I46" s="3175">
        <v>600000.32120000001</v>
      </c>
      <c r="J46" s="3176" t="s">
        <v>3453</v>
      </c>
      <c r="K46" s="3163"/>
      <c r="M46" s="3163"/>
    </row>
    <row r="47" spans="1:13" ht="16.5">
      <c r="A47" s="3170">
        <v>45</v>
      </c>
      <c r="B47" s="3171" t="s">
        <v>4792</v>
      </c>
      <c r="C47" s="3172" t="s">
        <v>4792</v>
      </c>
      <c r="D47" s="3173" t="s">
        <v>4882</v>
      </c>
      <c r="E47" s="3172" t="s">
        <v>4883</v>
      </c>
      <c r="F47" s="3179" t="s">
        <v>4795</v>
      </c>
      <c r="G47" s="3171">
        <v>-1057</v>
      </c>
      <c r="H47" s="3174">
        <v>37.39</v>
      </c>
      <c r="I47" s="3175">
        <v>600000.32120000001</v>
      </c>
      <c r="J47" s="3176" t="s">
        <v>3453</v>
      </c>
      <c r="K47" s="3163"/>
      <c r="M47" s="3163"/>
    </row>
    <row r="48" spans="1:13" ht="16.5">
      <c r="A48" s="3170">
        <v>46</v>
      </c>
      <c r="B48" s="3171" t="s">
        <v>4792</v>
      </c>
      <c r="C48" s="3172" t="s">
        <v>4792</v>
      </c>
      <c r="D48" s="3173" t="s">
        <v>4884</v>
      </c>
      <c r="E48" s="3172" t="s">
        <v>4885</v>
      </c>
      <c r="F48" s="3179" t="s">
        <v>4795</v>
      </c>
      <c r="G48" s="3171">
        <v>-1058</v>
      </c>
      <c r="H48" s="3174">
        <v>37.39</v>
      </c>
      <c r="I48" s="3175">
        <v>600000.32120000001</v>
      </c>
      <c r="J48" s="3176" t="s">
        <v>3453</v>
      </c>
      <c r="K48" s="3163"/>
      <c r="M48" s="3163"/>
    </row>
    <row r="49" spans="1:13" ht="16.5">
      <c r="A49" s="3170">
        <v>47</v>
      </c>
      <c r="B49" s="3171" t="s">
        <v>4792</v>
      </c>
      <c r="C49" s="3172" t="s">
        <v>4792</v>
      </c>
      <c r="D49" s="3173" t="s">
        <v>4886</v>
      </c>
      <c r="E49" s="3172" t="s">
        <v>4887</v>
      </c>
      <c r="F49" s="3179" t="s">
        <v>4795</v>
      </c>
      <c r="G49" s="3171">
        <v>-1059</v>
      </c>
      <c r="H49" s="3174">
        <v>37.39</v>
      </c>
      <c r="I49" s="3175">
        <v>600000.32120000001</v>
      </c>
      <c r="J49" s="3176" t="s">
        <v>3453</v>
      </c>
      <c r="K49" s="3163"/>
      <c r="M49" s="3163"/>
    </row>
    <row r="50" spans="1:13" ht="16.5">
      <c r="A50" s="3170">
        <v>48</v>
      </c>
      <c r="B50" s="3171" t="s">
        <v>4792</v>
      </c>
      <c r="C50" s="3172" t="s">
        <v>4792</v>
      </c>
      <c r="D50" s="3173" t="s">
        <v>4888</v>
      </c>
      <c r="E50" s="3172" t="s">
        <v>4889</v>
      </c>
      <c r="F50" s="3179" t="s">
        <v>4795</v>
      </c>
      <c r="G50" s="3171">
        <v>-1060</v>
      </c>
      <c r="H50" s="3174">
        <v>37.39</v>
      </c>
      <c r="I50" s="3175">
        <v>600000.32120000001</v>
      </c>
      <c r="J50" s="3176" t="s">
        <v>3453</v>
      </c>
      <c r="K50" s="3163"/>
      <c r="M50" s="3163"/>
    </row>
    <row r="51" spans="1:13" ht="16.5">
      <c r="A51" s="3170">
        <v>49</v>
      </c>
      <c r="B51" s="3171" t="s">
        <v>4792</v>
      </c>
      <c r="C51" s="3172" t="s">
        <v>4792</v>
      </c>
      <c r="D51" s="3173" t="s">
        <v>4890</v>
      </c>
      <c r="E51" s="3172" t="s">
        <v>4891</v>
      </c>
      <c r="F51" s="3179" t="s">
        <v>4795</v>
      </c>
      <c r="G51" s="3171">
        <v>-1061</v>
      </c>
      <c r="H51" s="3174">
        <v>37.39</v>
      </c>
      <c r="I51" s="3175">
        <v>600000.32120000001</v>
      </c>
      <c r="J51" s="3176" t="s">
        <v>3453</v>
      </c>
      <c r="K51" s="3163"/>
      <c r="M51" s="3163"/>
    </row>
    <row r="52" spans="1:13" ht="16.5">
      <c r="A52" s="3170">
        <v>50</v>
      </c>
      <c r="B52" s="3171" t="s">
        <v>4792</v>
      </c>
      <c r="C52" s="3172" t="s">
        <v>4792</v>
      </c>
      <c r="D52" s="3173" t="s">
        <v>4892</v>
      </c>
      <c r="E52" s="3172" t="s">
        <v>4893</v>
      </c>
      <c r="F52" s="3179" t="s">
        <v>4795</v>
      </c>
      <c r="G52" s="3171">
        <v>-1062</v>
      </c>
      <c r="H52" s="3174">
        <v>37.39</v>
      </c>
      <c r="I52" s="3175">
        <v>600000.32120000001</v>
      </c>
      <c r="J52" s="3176" t="s">
        <v>3453</v>
      </c>
      <c r="K52" s="3163"/>
      <c r="M52" s="3163"/>
    </row>
    <row r="53" spans="1:13" ht="16.5">
      <c r="A53" s="3170">
        <v>51</v>
      </c>
      <c r="B53" s="3171" t="s">
        <v>4792</v>
      </c>
      <c r="C53" s="3172" t="s">
        <v>4792</v>
      </c>
      <c r="D53" s="3173" t="s">
        <v>4894</v>
      </c>
      <c r="E53" s="3172" t="s">
        <v>4895</v>
      </c>
      <c r="F53" s="3179" t="s">
        <v>4795</v>
      </c>
      <c r="G53" s="3171">
        <v>-1063</v>
      </c>
      <c r="H53" s="3174">
        <v>37.39</v>
      </c>
      <c r="I53" s="3175">
        <v>600000.32120000001</v>
      </c>
      <c r="J53" s="3176" t="s">
        <v>3453</v>
      </c>
      <c r="K53" s="3163"/>
      <c r="M53" s="3163"/>
    </row>
    <row r="54" spans="1:13" ht="16.5">
      <c r="A54" s="3170">
        <v>52</v>
      </c>
      <c r="B54" s="3171" t="s">
        <v>4792</v>
      </c>
      <c r="C54" s="3172" t="s">
        <v>4792</v>
      </c>
      <c r="D54" s="3173" t="s">
        <v>4896</v>
      </c>
      <c r="E54" s="3172" t="s">
        <v>4897</v>
      </c>
      <c r="F54" s="3179" t="s">
        <v>4795</v>
      </c>
      <c r="G54" s="3171">
        <v>-1064</v>
      </c>
      <c r="H54" s="3174">
        <v>37.39</v>
      </c>
      <c r="I54" s="3175">
        <v>600000.32120000001</v>
      </c>
      <c r="J54" s="3176" t="s">
        <v>3453</v>
      </c>
      <c r="K54" s="3163"/>
      <c r="M54" s="3163"/>
    </row>
    <row r="55" spans="1:13" ht="16.5">
      <c r="A55" s="3170">
        <v>53</v>
      </c>
      <c r="B55" s="3171" t="s">
        <v>4792</v>
      </c>
      <c r="C55" s="3172" t="s">
        <v>4792</v>
      </c>
      <c r="D55" s="3173" t="s">
        <v>4898</v>
      </c>
      <c r="E55" s="3172" t="s">
        <v>4899</v>
      </c>
      <c r="F55" s="3179" t="s">
        <v>4795</v>
      </c>
      <c r="G55" s="3171">
        <v>-1065</v>
      </c>
      <c r="H55" s="3174">
        <v>37.39</v>
      </c>
      <c r="I55" s="3175">
        <v>600000.32120000001</v>
      </c>
      <c r="J55" s="3176" t="s">
        <v>3453</v>
      </c>
      <c r="K55" s="3163"/>
      <c r="M55" s="3163"/>
    </row>
    <row r="56" spans="1:13" ht="16.5">
      <c r="A56" s="3170">
        <v>54</v>
      </c>
      <c r="B56" s="3171" t="s">
        <v>4792</v>
      </c>
      <c r="C56" s="3172" t="s">
        <v>4792</v>
      </c>
      <c r="D56" s="3173" t="s">
        <v>4900</v>
      </c>
      <c r="E56" s="3172" t="s">
        <v>4901</v>
      </c>
      <c r="F56" s="3179" t="s">
        <v>4795</v>
      </c>
      <c r="G56" s="3171">
        <v>-1067</v>
      </c>
      <c r="H56" s="3174">
        <v>37.39</v>
      </c>
      <c r="I56" s="3175">
        <v>600000.32120000001</v>
      </c>
      <c r="J56" s="3176" t="s">
        <v>3453</v>
      </c>
      <c r="K56" s="3163"/>
      <c r="M56" s="3163"/>
    </row>
    <row r="57" spans="1:13" ht="16.5">
      <c r="A57" s="3170">
        <v>55</v>
      </c>
      <c r="B57" s="3171" t="s">
        <v>4792</v>
      </c>
      <c r="C57" s="3172" t="s">
        <v>4792</v>
      </c>
      <c r="D57" s="3173" t="s">
        <v>4902</v>
      </c>
      <c r="E57" s="3172" t="s">
        <v>4903</v>
      </c>
      <c r="F57" s="3179" t="s">
        <v>4795</v>
      </c>
      <c r="G57" s="3171">
        <v>-1069</v>
      </c>
      <c r="H57" s="3174">
        <v>37.39</v>
      </c>
      <c r="I57" s="3175">
        <v>600000.32120000001</v>
      </c>
      <c r="J57" s="3176" t="s">
        <v>3453</v>
      </c>
      <c r="K57" s="3163"/>
      <c r="M57" s="3163"/>
    </row>
    <row r="58" spans="1:13" ht="16.5">
      <c r="A58" s="3170">
        <v>56</v>
      </c>
      <c r="B58" s="3171" t="s">
        <v>4792</v>
      </c>
      <c r="C58" s="3172" t="s">
        <v>4792</v>
      </c>
      <c r="D58" s="3173" t="s">
        <v>4904</v>
      </c>
      <c r="E58" s="3172" t="s">
        <v>4905</v>
      </c>
      <c r="F58" s="3179" t="s">
        <v>4795</v>
      </c>
      <c r="G58" s="3171">
        <v>-1070</v>
      </c>
      <c r="H58" s="3174">
        <v>37.39</v>
      </c>
      <c r="I58" s="3175">
        <v>600000.32120000001</v>
      </c>
      <c r="J58" s="3176" t="s">
        <v>3453</v>
      </c>
      <c r="K58" s="3163"/>
      <c r="M58" s="3163"/>
    </row>
    <row r="59" spans="1:13" ht="16.5">
      <c r="A59" s="3170">
        <v>57</v>
      </c>
      <c r="B59" s="3171" t="s">
        <v>4792</v>
      </c>
      <c r="C59" s="3172" t="s">
        <v>4792</v>
      </c>
      <c r="D59" s="3173" t="s">
        <v>4906</v>
      </c>
      <c r="E59" s="3172" t="s">
        <v>4907</v>
      </c>
      <c r="F59" s="3179" t="s">
        <v>4795</v>
      </c>
      <c r="G59" s="3171">
        <v>-1074</v>
      </c>
      <c r="H59" s="3174">
        <v>37.39</v>
      </c>
      <c r="I59" s="3175">
        <v>600000.32120000001</v>
      </c>
      <c r="J59" s="3176" t="s">
        <v>3453</v>
      </c>
      <c r="K59" s="3163"/>
      <c r="M59" s="3163"/>
    </row>
    <row r="60" spans="1:13" ht="16.5">
      <c r="A60" s="3170">
        <v>58</v>
      </c>
      <c r="B60" s="3171" t="s">
        <v>4792</v>
      </c>
      <c r="C60" s="3172" t="s">
        <v>4792</v>
      </c>
      <c r="D60" s="3173" t="s">
        <v>4908</v>
      </c>
      <c r="E60" s="3172" t="s">
        <v>4909</v>
      </c>
      <c r="F60" s="3179" t="s">
        <v>4795</v>
      </c>
      <c r="G60" s="3171">
        <v>-1075</v>
      </c>
      <c r="H60" s="3174">
        <v>37.39</v>
      </c>
      <c r="I60" s="3175">
        <v>600000.32120000001</v>
      </c>
      <c r="J60" s="3176" t="s">
        <v>3453</v>
      </c>
      <c r="K60" s="3163"/>
      <c r="M60" s="3163"/>
    </row>
    <row r="61" spans="1:13" ht="16.5">
      <c r="A61" s="3170">
        <v>59</v>
      </c>
      <c r="B61" s="3171" t="s">
        <v>4792</v>
      </c>
      <c r="C61" s="3172" t="s">
        <v>4792</v>
      </c>
      <c r="D61" s="3173" t="s">
        <v>4910</v>
      </c>
      <c r="E61" s="3172" t="s">
        <v>4911</v>
      </c>
      <c r="F61" s="3179" t="s">
        <v>4795</v>
      </c>
      <c r="G61" s="3171">
        <v>-1076</v>
      </c>
      <c r="H61" s="3174">
        <v>37.39</v>
      </c>
      <c r="I61" s="3175">
        <v>600000.32120000001</v>
      </c>
      <c r="J61" s="3176" t="s">
        <v>3453</v>
      </c>
      <c r="K61" s="3163"/>
      <c r="M61" s="3163"/>
    </row>
    <row r="62" spans="1:13" ht="16.5">
      <c r="A62" s="3170">
        <v>60</v>
      </c>
      <c r="B62" s="3171" t="s">
        <v>4792</v>
      </c>
      <c r="C62" s="3172" t="s">
        <v>4792</v>
      </c>
      <c r="D62" s="3173" t="s">
        <v>4912</v>
      </c>
      <c r="E62" s="3172" t="s">
        <v>4913</v>
      </c>
      <c r="F62" s="3179" t="s">
        <v>4795</v>
      </c>
      <c r="G62" s="3171">
        <v>-1077</v>
      </c>
      <c r="H62" s="3174">
        <v>37.39</v>
      </c>
      <c r="I62" s="3175">
        <v>600000.32120000001</v>
      </c>
      <c r="J62" s="3176" t="s">
        <v>3453</v>
      </c>
      <c r="K62" s="3163"/>
      <c r="M62" s="3163"/>
    </row>
    <row r="63" spans="1:13" ht="16.5">
      <c r="A63" s="3170">
        <v>61</v>
      </c>
      <c r="B63" s="3171" t="s">
        <v>4792</v>
      </c>
      <c r="C63" s="3172" t="s">
        <v>4792</v>
      </c>
      <c r="D63" s="3173" t="s">
        <v>4914</v>
      </c>
      <c r="E63" s="3172" t="s">
        <v>4915</v>
      </c>
      <c r="F63" s="3179" t="s">
        <v>4795</v>
      </c>
      <c r="G63" s="3171">
        <v>-1080</v>
      </c>
      <c r="H63" s="3174">
        <v>37.39</v>
      </c>
      <c r="I63" s="3175">
        <v>600000.32120000001</v>
      </c>
      <c r="J63" s="3176" t="s">
        <v>3453</v>
      </c>
      <c r="K63" s="3163"/>
      <c r="M63" s="3163"/>
    </row>
    <row r="64" spans="1:13" ht="16.5">
      <c r="A64" s="3170">
        <v>62</v>
      </c>
      <c r="B64" s="3171" t="s">
        <v>4792</v>
      </c>
      <c r="C64" s="3172" t="s">
        <v>4792</v>
      </c>
      <c r="D64" s="3173" t="s">
        <v>4916</v>
      </c>
      <c r="E64" s="3172" t="s">
        <v>4917</v>
      </c>
      <c r="F64" s="3179" t="s">
        <v>4795</v>
      </c>
      <c r="G64" s="3171">
        <v>-1081</v>
      </c>
      <c r="H64" s="3174">
        <v>37.39</v>
      </c>
      <c r="I64" s="3175">
        <v>600000.32120000001</v>
      </c>
      <c r="J64" s="3176" t="s">
        <v>3453</v>
      </c>
      <c r="K64" s="3163"/>
      <c r="M64" s="3163"/>
    </row>
    <row r="65" spans="1:13" ht="16.5">
      <c r="A65" s="3170">
        <v>63</v>
      </c>
      <c r="B65" s="3171" t="s">
        <v>4792</v>
      </c>
      <c r="C65" s="3172" t="s">
        <v>4792</v>
      </c>
      <c r="D65" s="3173" t="s">
        <v>4918</v>
      </c>
      <c r="E65" s="3172" t="s">
        <v>4919</v>
      </c>
      <c r="F65" s="3179" t="s">
        <v>4795</v>
      </c>
      <c r="G65" s="3171">
        <v>-1082</v>
      </c>
      <c r="H65" s="3174">
        <v>37.39</v>
      </c>
      <c r="I65" s="3175">
        <v>600000.32120000001</v>
      </c>
      <c r="J65" s="3176" t="s">
        <v>3453</v>
      </c>
      <c r="K65" s="3163"/>
      <c r="M65" s="3163"/>
    </row>
    <row r="66" spans="1:13" ht="16.5">
      <c r="A66" s="3170">
        <v>64</v>
      </c>
      <c r="B66" s="3171" t="s">
        <v>4792</v>
      </c>
      <c r="C66" s="3172" t="s">
        <v>4792</v>
      </c>
      <c r="D66" s="3173" t="s">
        <v>4920</v>
      </c>
      <c r="E66" s="3172" t="s">
        <v>4921</v>
      </c>
      <c r="F66" s="3179" t="s">
        <v>4795</v>
      </c>
      <c r="G66" s="3171">
        <v>-1083</v>
      </c>
      <c r="H66" s="3174">
        <v>37.39</v>
      </c>
      <c r="I66" s="3175">
        <v>600000.32120000001</v>
      </c>
      <c r="J66" s="3176" t="s">
        <v>3453</v>
      </c>
      <c r="K66" s="3163"/>
      <c r="M66" s="3163"/>
    </row>
    <row r="67" spans="1:13" ht="16.5">
      <c r="A67" s="3170">
        <v>65</v>
      </c>
      <c r="B67" s="3171" t="s">
        <v>4792</v>
      </c>
      <c r="C67" s="3172" t="s">
        <v>4792</v>
      </c>
      <c r="D67" s="3173" t="s">
        <v>4922</v>
      </c>
      <c r="E67" s="3172" t="s">
        <v>4923</v>
      </c>
      <c r="F67" s="3179" t="s">
        <v>4795</v>
      </c>
      <c r="G67" s="3171">
        <v>-1084</v>
      </c>
      <c r="H67" s="3174">
        <v>37.39</v>
      </c>
      <c r="I67" s="3175">
        <v>600000.32120000001</v>
      </c>
      <c r="J67" s="3176" t="s">
        <v>3453</v>
      </c>
      <c r="K67" s="3163"/>
      <c r="M67" s="3163"/>
    </row>
    <row r="68" spans="1:13" ht="16.5">
      <c r="A68" s="3170">
        <v>66</v>
      </c>
      <c r="B68" s="3171" t="s">
        <v>4792</v>
      </c>
      <c r="C68" s="3172" t="s">
        <v>4792</v>
      </c>
      <c r="D68" s="3173" t="s">
        <v>4924</v>
      </c>
      <c r="E68" s="3172" t="s">
        <v>4925</v>
      </c>
      <c r="F68" s="3179" t="s">
        <v>4795</v>
      </c>
      <c r="G68" s="3171">
        <v>-1086</v>
      </c>
      <c r="H68" s="3174">
        <v>37.39</v>
      </c>
      <c r="I68" s="3175">
        <v>600000.32120000001</v>
      </c>
      <c r="J68" s="3176" t="s">
        <v>3453</v>
      </c>
      <c r="K68" s="3163"/>
      <c r="M68" s="3163"/>
    </row>
    <row r="69" spans="1:13" ht="16.5">
      <c r="A69" s="3170">
        <v>67</v>
      </c>
      <c r="B69" s="3171" t="s">
        <v>4792</v>
      </c>
      <c r="C69" s="3172" t="s">
        <v>4792</v>
      </c>
      <c r="D69" s="3173" t="s">
        <v>4926</v>
      </c>
      <c r="E69" s="3172" t="s">
        <v>4927</v>
      </c>
      <c r="F69" s="3179" t="s">
        <v>4795</v>
      </c>
      <c r="G69" s="3171">
        <v>-1087</v>
      </c>
      <c r="H69" s="3174">
        <v>35.9</v>
      </c>
      <c r="I69" s="3175">
        <v>600000.29</v>
      </c>
      <c r="J69" s="3176" t="s">
        <v>3453</v>
      </c>
      <c r="K69" s="3163"/>
      <c r="M69" s="3163"/>
    </row>
    <row r="70" spans="1:13" ht="16.5">
      <c r="A70" s="3170">
        <v>68</v>
      </c>
      <c r="B70" s="3171" t="s">
        <v>4792</v>
      </c>
      <c r="C70" s="3172" t="s">
        <v>4792</v>
      </c>
      <c r="D70" s="3173" t="s">
        <v>4928</v>
      </c>
      <c r="E70" s="3172" t="s">
        <v>4929</v>
      </c>
      <c r="F70" s="3179" t="s">
        <v>4795</v>
      </c>
      <c r="G70" s="3171">
        <v>-1088</v>
      </c>
      <c r="H70" s="3174">
        <v>35.9</v>
      </c>
      <c r="I70" s="3175">
        <v>600000.29</v>
      </c>
      <c r="J70" s="3176" t="s">
        <v>3453</v>
      </c>
      <c r="K70" s="3163"/>
      <c r="M70" s="3163"/>
    </row>
    <row r="71" spans="1:13" ht="16.5">
      <c r="A71" s="3170">
        <v>69</v>
      </c>
      <c r="B71" s="3171" t="s">
        <v>4792</v>
      </c>
      <c r="C71" s="3172" t="s">
        <v>4792</v>
      </c>
      <c r="D71" s="3173" t="s">
        <v>4930</v>
      </c>
      <c r="E71" s="3172" t="s">
        <v>4931</v>
      </c>
      <c r="F71" s="3179" t="s">
        <v>4795</v>
      </c>
      <c r="G71" s="3171">
        <v>-1089</v>
      </c>
      <c r="H71" s="3174">
        <v>35.9</v>
      </c>
      <c r="I71" s="3175">
        <v>600000.29</v>
      </c>
      <c r="J71" s="3176" t="s">
        <v>3453</v>
      </c>
      <c r="K71" s="3163"/>
      <c r="M71" s="3163"/>
    </row>
    <row r="72" spans="1:13" ht="16.5">
      <c r="A72" s="3170">
        <v>70</v>
      </c>
      <c r="B72" s="3171" t="s">
        <v>4792</v>
      </c>
      <c r="C72" s="3172" t="s">
        <v>4792</v>
      </c>
      <c r="D72" s="3173" t="s">
        <v>4932</v>
      </c>
      <c r="E72" s="3172" t="s">
        <v>4933</v>
      </c>
      <c r="F72" s="3179" t="s">
        <v>4795</v>
      </c>
      <c r="G72" s="3171">
        <v>-1090</v>
      </c>
      <c r="H72" s="3174">
        <v>35.9</v>
      </c>
      <c r="I72" s="3175">
        <v>600000.29</v>
      </c>
      <c r="J72" s="3176" t="s">
        <v>3453</v>
      </c>
      <c r="K72" s="3163"/>
      <c r="M72" s="3163"/>
    </row>
    <row r="73" spans="1:13" ht="16.5">
      <c r="A73" s="3170">
        <v>71</v>
      </c>
      <c r="B73" s="3171" t="s">
        <v>4792</v>
      </c>
      <c r="C73" s="3172" t="s">
        <v>4792</v>
      </c>
      <c r="D73" s="3173" t="s">
        <v>4934</v>
      </c>
      <c r="E73" s="3172" t="s">
        <v>4935</v>
      </c>
      <c r="F73" s="3179" t="s">
        <v>4795</v>
      </c>
      <c r="G73" s="3171">
        <v>-1091</v>
      </c>
      <c r="H73" s="3174">
        <v>37.39</v>
      </c>
      <c r="I73" s="3175">
        <v>600000.32120000001</v>
      </c>
      <c r="J73" s="3176" t="s">
        <v>3453</v>
      </c>
      <c r="K73" s="3163"/>
      <c r="M73" s="3163"/>
    </row>
    <row r="74" spans="1:13" ht="16.5">
      <c r="A74" s="3170">
        <v>72</v>
      </c>
      <c r="B74" s="3171" t="s">
        <v>4792</v>
      </c>
      <c r="C74" s="3172" t="s">
        <v>4792</v>
      </c>
      <c r="D74" s="3173" t="s">
        <v>4936</v>
      </c>
      <c r="E74" s="3172" t="s">
        <v>4937</v>
      </c>
      <c r="F74" s="3179" t="s">
        <v>4795</v>
      </c>
      <c r="G74" s="3171">
        <v>-1092</v>
      </c>
      <c r="H74" s="3174">
        <v>37.39</v>
      </c>
      <c r="I74" s="3175">
        <v>600000.32120000001</v>
      </c>
      <c r="J74" s="3176" t="s">
        <v>3453</v>
      </c>
      <c r="K74" s="3163"/>
      <c r="M74" s="3163"/>
    </row>
    <row r="75" spans="1:13" ht="16.5">
      <c r="A75" s="3170">
        <v>73</v>
      </c>
      <c r="B75" s="3171" t="s">
        <v>4792</v>
      </c>
      <c r="C75" s="3172" t="s">
        <v>4792</v>
      </c>
      <c r="D75" s="3173" t="s">
        <v>4938</v>
      </c>
      <c r="E75" s="3172" t="s">
        <v>4939</v>
      </c>
      <c r="F75" s="3179" t="s">
        <v>4795</v>
      </c>
      <c r="G75" s="3171">
        <v>-1093</v>
      </c>
      <c r="H75" s="3174">
        <v>37.39</v>
      </c>
      <c r="I75" s="3175">
        <v>600000.32120000001</v>
      </c>
      <c r="J75" s="3176" t="s">
        <v>3453</v>
      </c>
      <c r="K75" s="3163"/>
      <c r="M75" s="3163"/>
    </row>
    <row r="76" spans="1:13" ht="16.5">
      <c r="A76" s="3170">
        <v>74</v>
      </c>
      <c r="B76" s="3171" t="s">
        <v>4792</v>
      </c>
      <c r="C76" s="3172" t="s">
        <v>4792</v>
      </c>
      <c r="D76" s="3173" t="s">
        <v>4940</v>
      </c>
      <c r="E76" s="3172" t="s">
        <v>4941</v>
      </c>
      <c r="F76" s="3179" t="s">
        <v>4795</v>
      </c>
      <c r="G76" s="3171">
        <v>-1094</v>
      </c>
      <c r="H76" s="3174">
        <v>35.9</v>
      </c>
      <c r="I76" s="3175">
        <v>600000.29</v>
      </c>
      <c r="J76" s="3176" t="s">
        <v>3453</v>
      </c>
      <c r="K76" s="3163"/>
      <c r="M76" s="3163"/>
    </row>
    <row r="77" spans="1:13" ht="16.5">
      <c r="A77" s="3170">
        <v>75</v>
      </c>
      <c r="B77" s="3171" t="s">
        <v>4792</v>
      </c>
      <c r="C77" s="3172" t="s">
        <v>4792</v>
      </c>
      <c r="D77" s="3173" t="s">
        <v>4942</v>
      </c>
      <c r="E77" s="3172" t="s">
        <v>4943</v>
      </c>
      <c r="F77" s="3179" t="s">
        <v>4795</v>
      </c>
      <c r="G77" s="3171">
        <v>-1095</v>
      </c>
      <c r="H77" s="3174">
        <v>35.9</v>
      </c>
      <c r="I77" s="3175">
        <v>600000.29</v>
      </c>
      <c r="J77" s="3176" t="s">
        <v>3453</v>
      </c>
      <c r="K77" s="3163"/>
      <c r="M77" s="3163"/>
    </row>
    <row r="78" spans="1:13" ht="16.5">
      <c r="A78" s="3170">
        <v>76</v>
      </c>
      <c r="B78" s="3171" t="s">
        <v>4792</v>
      </c>
      <c r="C78" s="3172" t="s">
        <v>4792</v>
      </c>
      <c r="D78" s="3173" t="s">
        <v>4944</v>
      </c>
      <c r="E78" s="3172" t="s">
        <v>4945</v>
      </c>
      <c r="F78" s="3179" t="s">
        <v>4795</v>
      </c>
      <c r="G78" s="3171">
        <v>-1096</v>
      </c>
      <c r="H78" s="3174">
        <v>37.39</v>
      </c>
      <c r="I78" s="3175">
        <v>600000.32120000001</v>
      </c>
      <c r="J78" s="3176" t="s">
        <v>3453</v>
      </c>
      <c r="K78" s="3163"/>
      <c r="M78" s="3163"/>
    </row>
    <row r="79" spans="1:13" ht="16.5">
      <c r="A79" s="3170">
        <v>77</v>
      </c>
      <c r="B79" s="3171" t="s">
        <v>4792</v>
      </c>
      <c r="C79" s="3172" t="s">
        <v>4792</v>
      </c>
      <c r="D79" s="3173" t="s">
        <v>4946</v>
      </c>
      <c r="E79" s="3172" t="s">
        <v>4947</v>
      </c>
      <c r="F79" s="3179" t="s">
        <v>4795</v>
      </c>
      <c r="G79" s="3171">
        <v>-1097</v>
      </c>
      <c r="H79" s="3174">
        <v>37.39</v>
      </c>
      <c r="I79" s="3175">
        <v>600000.32120000001</v>
      </c>
      <c r="J79" s="3176" t="s">
        <v>3453</v>
      </c>
      <c r="K79" s="3163"/>
      <c r="M79" s="3163"/>
    </row>
    <row r="80" spans="1:13" ht="16.5">
      <c r="A80" s="3170">
        <v>78</v>
      </c>
      <c r="B80" s="3171" t="s">
        <v>4792</v>
      </c>
      <c r="C80" s="3172" t="s">
        <v>4792</v>
      </c>
      <c r="D80" s="3173" t="s">
        <v>4948</v>
      </c>
      <c r="E80" s="3172" t="s">
        <v>4949</v>
      </c>
      <c r="F80" s="3179" t="s">
        <v>4795</v>
      </c>
      <c r="G80" s="3171">
        <v>-1098</v>
      </c>
      <c r="H80" s="3174">
        <v>35.9</v>
      </c>
      <c r="I80" s="3175">
        <v>600000.29</v>
      </c>
      <c r="J80" s="3176" t="s">
        <v>3469</v>
      </c>
      <c r="K80" s="3163"/>
      <c r="M80" s="3163"/>
    </row>
    <row r="81" spans="1:13" ht="16.5">
      <c r="A81" s="3170">
        <v>79</v>
      </c>
      <c r="B81" s="3171" t="s">
        <v>4792</v>
      </c>
      <c r="C81" s="3172" t="s">
        <v>4792</v>
      </c>
      <c r="D81" s="3173" t="s">
        <v>4950</v>
      </c>
      <c r="E81" s="3172" t="s">
        <v>4951</v>
      </c>
      <c r="F81" s="3179" t="s">
        <v>4795</v>
      </c>
      <c r="G81" s="3171">
        <v>-1099</v>
      </c>
      <c r="H81" s="3174">
        <v>35.9</v>
      </c>
      <c r="I81" s="3175">
        <v>600000.29</v>
      </c>
      <c r="J81" s="3176" t="s">
        <v>3469</v>
      </c>
      <c r="K81" s="3163"/>
      <c r="M81" s="3163"/>
    </row>
    <row r="82" spans="1:13" ht="16.5">
      <c r="A82" s="3170">
        <v>80</v>
      </c>
      <c r="B82" s="3171" t="s">
        <v>4792</v>
      </c>
      <c r="C82" s="3172" t="s">
        <v>4792</v>
      </c>
      <c r="D82" s="3173" t="s">
        <v>4952</v>
      </c>
      <c r="E82" s="3172" t="s">
        <v>4953</v>
      </c>
      <c r="F82" s="3179" t="s">
        <v>4795</v>
      </c>
      <c r="G82" s="3171">
        <v>-1100</v>
      </c>
      <c r="H82" s="3174">
        <v>35.9</v>
      </c>
      <c r="I82" s="3175">
        <v>600000.29</v>
      </c>
      <c r="J82" s="3176" t="s">
        <v>3453</v>
      </c>
      <c r="K82" s="3163"/>
      <c r="M82" s="3163"/>
    </row>
    <row r="83" spans="1:13" ht="16.5">
      <c r="A83" s="3170">
        <v>81</v>
      </c>
      <c r="B83" s="3171" t="s">
        <v>4792</v>
      </c>
      <c r="C83" s="3172" t="s">
        <v>4792</v>
      </c>
      <c r="D83" s="3173" t="s">
        <v>4954</v>
      </c>
      <c r="E83" s="3172" t="s">
        <v>4955</v>
      </c>
      <c r="F83" s="3179" t="s">
        <v>4795</v>
      </c>
      <c r="G83" s="3171">
        <v>-1101</v>
      </c>
      <c r="H83" s="3174">
        <v>35.9</v>
      </c>
      <c r="I83" s="3175">
        <v>600000.29</v>
      </c>
      <c r="J83" s="3176" t="s">
        <v>3453</v>
      </c>
      <c r="K83" s="3163"/>
      <c r="M83" s="3163"/>
    </row>
    <row r="84" spans="1:13" ht="16.5">
      <c r="A84" s="3170">
        <v>82</v>
      </c>
      <c r="B84" s="3171" t="s">
        <v>4792</v>
      </c>
      <c r="C84" s="3172" t="s">
        <v>4792</v>
      </c>
      <c r="D84" s="3173" t="s">
        <v>4956</v>
      </c>
      <c r="E84" s="3172" t="s">
        <v>4957</v>
      </c>
      <c r="F84" s="3179" t="s">
        <v>4795</v>
      </c>
      <c r="G84" s="3171">
        <v>-1102</v>
      </c>
      <c r="H84" s="3174">
        <v>37.39</v>
      </c>
      <c r="I84" s="3175">
        <v>600000.32120000001</v>
      </c>
      <c r="J84" s="3176" t="s">
        <v>3453</v>
      </c>
      <c r="K84" s="3163"/>
      <c r="M84" s="3163"/>
    </row>
    <row r="85" spans="1:13" ht="16.5">
      <c r="A85" s="3170">
        <v>83</v>
      </c>
      <c r="B85" s="3171" t="s">
        <v>4792</v>
      </c>
      <c r="C85" s="3172" t="s">
        <v>4792</v>
      </c>
      <c r="D85" s="3173" t="s">
        <v>4958</v>
      </c>
      <c r="E85" s="3172" t="s">
        <v>4959</v>
      </c>
      <c r="F85" s="3179" t="s">
        <v>4795</v>
      </c>
      <c r="G85" s="3171">
        <v>-1103</v>
      </c>
      <c r="H85" s="3174">
        <v>37.39</v>
      </c>
      <c r="I85" s="3175">
        <v>600000.32120000001</v>
      </c>
      <c r="J85" s="3176" t="s">
        <v>3453</v>
      </c>
      <c r="K85" s="3163"/>
      <c r="M85" s="3163"/>
    </row>
    <row r="86" spans="1:13" ht="16.5">
      <c r="A86" s="3170">
        <v>84</v>
      </c>
      <c r="B86" s="3171" t="s">
        <v>4792</v>
      </c>
      <c r="C86" s="3172" t="s">
        <v>4792</v>
      </c>
      <c r="D86" s="3173" t="s">
        <v>4960</v>
      </c>
      <c r="E86" s="3172" t="s">
        <v>4961</v>
      </c>
      <c r="F86" s="3179" t="s">
        <v>4795</v>
      </c>
      <c r="G86" s="3171">
        <v>-1104</v>
      </c>
      <c r="H86" s="3174">
        <v>55.34</v>
      </c>
      <c r="I86" s="3175">
        <v>600000.15379999997</v>
      </c>
      <c r="J86" s="3176" t="s">
        <v>3453</v>
      </c>
      <c r="K86" s="3163"/>
      <c r="M86" s="3163"/>
    </row>
    <row r="87" spans="1:13" ht="16.5">
      <c r="A87" s="3170">
        <v>85</v>
      </c>
      <c r="B87" s="3171" t="s">
        <v>4792</v>
      </c>
      <c r="C87" s="3172" t="s">
        <v>4792</v>
      </c>
      <c r="D87" s="3173" t="s">
        <v>4962</v>
      </c>
      <c r="E87" s="3172" t="s">
        <v>4963</v>
      </c>
      <c r="F87" s="3179" t="s">
        <v>4795</v>
      </c>
      <c r="G87" s="3171">
        <v>-1105</v>
      </c>
      <c r="H87" s="3174">
        <v>35.9</v>
      </c>
      <c r="I87" s="3175">
        <v>600000.29</v>
      </c>
      <c r="J87" s="3176" t="s">
        <v>3453</v>
      </c>
      <c r="K87" s="3163"/>
      <c r="M87" s="3163"/>
    </row>
    <row r="88" spans="1:13" ht="16.5">
      <c r="A88" s="3170">
        <v>86</v>
      </c>
      <c r="B88" s="3171" t="s">
        <v>4792</v>
      </c>
      <c r="C88" s="3172" t="s">
        <v>4792</v>
      </c>
      <c r="D88" s="3173" t="s">
        <v>4964</v>
      </c>
      <c r="E88" s="3172" t="s">
        <v>4965</v>
      </c>
      <c r="F88" s="3179" t="s">
        <v>4795</v>
      </c>
      <c r="G88" s="3171">
        <v>-1106</v>
      </c>
      <c r="H88" s="3174">
        <v>35.9</v>
      </c>
      <c r="I88" s="3175">
        <v>600000.29</v>
      </c>
      <c r="J88" s="3176" t="s">
        <v>3453</v>
      </c>
      <c r="K88" s="3163"/>
      <c r="M88" s="3163"/>
    </row>
    <row r="89" spans="1:13" ht="16.5">
      <c r="A89" s="3170">
        <v>87</v>
      </c>
      <c r="B89" s="3171" t="s">
        <v>4792</v>
      </c>
      <c r="C89" s="3172" t="s">
        <v>4792</v>
      </c>
      <c r="D89" s="3173" t="s">
        <v>4966</v>
      </c>
      <c r="E89" s="3172" t="s">
        <v>4967</v>
      </c>
      <c r="F89" s="3179" t="s">
        <v>4795</v>
      </c>
      <c r="G89" s="3171">
        <v>-1107</v>
      </c>
      <c r="H89" s="3174">
        <v>37.39</v>
      </c>
      <c r="I89" s="3175">
        <v>600000.32120000001</v>
      </c>
      <c r="J89" s="3176" t="s">
        <v>3453</v>
      </c>
      <c r="K89" s="3163"/>
      <c r="M89" s="3163"/>
    </row>
    <row r="90" spans="1:13" ht="16.5">
      <c r="A90" s="3170">
        <v>88</v>
      </c>
      <c r="B90" s="3171" t="s">
        <v>4792</v>
      </c>
      <c r="C90" s="3172" t="s">
        <v>4792</v>
      </c>
      <c r="D90" s="3173" t="s">
        <v>4968</v>
      </c>
      <c r="E90" s="3172" t="s">
        <v>4969</v>
      </c>
      <c r="F90" s="3179" t="s">
        <v>4795</v>
      </c>
      <c r="G90" s="3171">
        <v>-1108</v>
      </c>
      <c r="H90" s="3174">
        <v>37.39</v>
      </c>
      <c r="I90" s="3175">
        <v>600000.32120000001</v>
      </c>
      <c r="J90" s="3176" t="s">
        <v>3453</v>
      </c>
      <c r="K90" s="3163"/>
      <c r="M90" s="3163"/>
    </row>
    <row r="91" spans="1:13" ht="16.5">
      <c r="A91" s="3170">
        <v>89</v>
      </c>
      <c r="B91" s="3171" t="s">
        <v>4792</v>
      </c>
      <c r="C91" s="3172" t="s">
        <v>4792</v>
      </c>
      <c r="D91" s="3173" t="s">
        <v>4970</v>
      </c>
      <c r="E91" s="3172" t="s">
        <v>4971</v>
      </c>
      <c r="F91" s="3179" t="s">
        <v>4795</v>
      </c>
      <c r="G91" s="3171">
        <v>-1109</v>
      </c>
      <c r="H91" s="3174">
        <v>35.9</v>
      </c>
      <c r="I91" s="3175">
        <v>600000.29</v>
      </c>
      <c r="J91" s="3176" t="s">
        <v>3453</v>
      </c>
      <c r="K91" s="3163"/>
      <c r="M91" s="3163"/>
    </row>
    <row r="92" spans="1:13" ht="16.5">
      <c r="A92" s="3170">
        <v>90</v>
      </c>
      <c r="B92" s="3171" t="s">
        <v>4792</v>
      </c>
      <c r="C92" s="3172" t="s">
        <v>4792</v>
      </c>
      <c r="D92" s="3173" t="s">
        <v>4972</v>
      </c>
      <c r="E92" s="3172" t="s">
        <v>4973</v>
      </c>
      <c r="F92" s="3179" t="s">
        <v>4795</v>
      </c>
      <c r="G92" s="3171">
        <v>-1110</v>
      </c>
      <c r="H92" s="3174">
        <v>35.9</v>
      </c>
      <c r="I92" s="3175">
        <v>600000.29</v>
      </c>
      <c r="J92" s="3176" t="s">
        <v>3453</v>
      </c>
      <c r="K92" s="3163"/>
      <c r="M92" s="3163"/>
    </row>
    <row r="93" spans="1:13" ht="16.5">
      <c r="A93" s="3170">
        <v>91</v>
      </c>
      <c r="B93" s="3171" t="s">
        <v>4792</v>
      </c>
      <c r="C93" s="3172" t="s">
        <v>4792</v>
      </c>
      <c r="D93" s="3173" t="s">
        <v>4974</v>
      </c>
      <c r="E93" s="3172" t="s">
        <v>4975</v>
      </c>
      <c r="F93" s="3179" t="s">
        <v>4795</v>
      </c>
      <c r="G93" s="3171">
        <v>-1111</v>
      </c>
      <c r="H93" s="3174">
        <v>35.9</v>
      </c>
      <c r="I93" s="3175">
        <v>600000.29</v>
      </c>
      <c r="J93" s="3176" t="s">
        <v>3453</v>
      </c>
      <c r="K93" s="3163"/>
      <c r="M93" s="3163"/>
    </row>
    <row r="94" spans="1:13" ht="16.5">
      <c r="A94" s="3170">
        <v>92</v>
      </c>
      <c r="B94" s="3171" t="s">
        <v>4792</v>
      </c>
      <c r="C94" s="3172" t="s">
        <v>4792</v>
      </c>
      <c r="D94" s="3173" t="s">
        <v>4976</v>
      </c>
      <c r="E94" s="3172" t="s">
        <v>4977</v>
      </c>
      <c r="F94" s="3179" t="s">
        <v>4795</v>
      </c>
      <c r="G94" s="3171">
        <v>-1112</v>
      </c>
      <c r="H94" s="3174">
        <v>35.9</v>
      </c>
      <c r="I94" s="3175">
        <v>600000.29</v>
      </c>
      <c r="J94" s="3176" t="s">
        <v>3453</v>
      </c>
      <c r="K94" s="3163"/>
      <c r="M94" s="3163"/>
    </row>
    <row r="95" spans="1:13" ht="16.5">
      <c r="A95" s="3170">
        <v>93</v>
      </c>
      <c r="B95" s="3171" t="s">
        <v>4792</v>
      </c>
      <c r="C95" s="3172" t="s">
        <v>4792</v>
      </c>
      <c r="D95" s="3173" t="s">
        <v>4978</v>
      </c>
      <c r="E95" s="3172" t="s">
        <v>4979</v>
      </c>
      <c r="F95" s="3179" t="s">
        <v>4795</v>
      </c>
      <c r="G95" s="3171">
        <v>-1115</v>
      </c>
      <c r="H95" s="3174">
        <v>37.39</v>
      </c>
      <c r="I95" s="3175">
        <v>600000.32120000001</v>
      </c>
      <c r="J95" s="3176" t="s">
        <v>3453</v>
      </c>
      <c r="K95" s="3163"/>
      <c r="M95" s="3163"/>
    </row>
    <row r="96" spans="1:13" ht="16.5">
      <c r="A96" s="3170">
        <v>94</v>
      </c>
      <c r="B96" s="3171" t="s">
        <v>4792</v>
      </c>
      <c r="C96" s="3172" t="s">
        <v>4792</v>
      </c>
      <c r="D96" s="3173" t="s">
        <v>4980</v>
      </c>
      <c r="E96" s="3172" t="s">
        <v>4981</v>
      </c>
      <c r="F96" s="3179" t="s">
        <v>4795</v>
      </c>
      <c r="G96" s="3171">
        <v>-1116</v>
      </c>
      <c r="H96" s="3174">
        <v>37.39</v>
      </c>
      <c r="I96" s="3175">
        <v>600000.32120000001</v>
      </c>
      <c r="J96" s="3176" t="s">
        <v>3453</v>
      </c>
      <c r="K96" s="3163"/>
      <c r="M96" s="3163"/>
    </row>
    <row r="97" spans="1:13" ht="16.5">
      <c r="A97" s="3170">
        <v>95</v>
      </c>
      <c r="B97" s="3171" t="s">
        <v>4792</v>
      </c>
      <c r="C97" s="3172" t="s">
        <v>4792</v>
      </c>
      <c r="D97" s="3173" t="s">
        <v>4982</v>
      </c>
      <c r="E97" s="3172" t="s">
        <v>4983</v>
      </c>
      <c r="F97" s="3179" t="s">
        <v>4795</v>
      </c>
      <c r="G97" s="3171">
        <v>-1119</v>
      </c>
      <c r="H97" s="3174">
        <v>37.39</v>
      </c>
      <c r="I97" s="3175">
        <v>600000.32120000001</v>
      </c>
      <c r="J97" s="3176" t="s">
        <v>3453</v>
      </c>
      <c r="K97" s="3163"/>
      <c r="M97" s="3163"/>
    </row>
    <row r="98" spans="1:13" ht="16.5">
      <c r="A98" s="3170">
        <v>96</v>
      </c>
      <c r="B98" s="3171" t="s">
        <v>4792</v>
      </c>
      <c r="C98" s="3172" t="s">
        <v>4792</v>
      </c>
      <c r="D98" s="3173" t="s">
        <v>4984</v>
      </c>
      <c r="E98" s="3172" t="s">
        <v>4985</v>
      </c>
      <c r="F98" s="3179" t="s">
        <v>4795</v>
      </c>
      <c r="G98" s="3171">
        <v>-1120</v>
      </c>
      <c r="H98" s="3174">
        <v>37.39</v>
      </c>
      <c r="I98" s="3175">
        <v>600000.32120000001</v>
      </c>
      <c r="J98" s="3176" t="s">
        <v>3453</v>
      </c>
      <c r="K98" s="3163"/>
      <c r="M98" s="3163"/>
    </row>
    <row r="99" spans="1:13" ht="16.5">
      <c r="A99" s="3170">
        <v>97</v>
      </c>
      <c r="B99" s="3171" t="s">
        <v>4792</v>
      </c>
      <c r="C99" s="3172" t="s">
        <v>4792</v>
      </c>
      <c r="D99" s="3173" t="s">
        <v>4986</v>
      </c>
      <c r="E99" s="3172" t="s">
        <v>4987</v>
      </c>
      <c r="F99" s="3179" t="s">
        <v>4795</v>
      </c>
      <c r="G99" s="3171">
        <v>-1121</v>
      </c>
      <c r="H99" s="3174">
        <v>37.39</v>
      </c>
      <c r="I99" s="3175">
        <v>600000.32120000001</v>
      </c>
      <c r="J99" s="3176" t="s">
        <v>3453</v>
      </c>
      <c r="K99" s="3163"/>
      <c r="M99" s="3163"/>
    </row>
    <row r="100" spans="1:13" ht="16.5">
      <c r="A100" s="3170">
        <v>98</v>
      </c>
      <c r="B100" s="3171" t="s">
        <v>4792</v>
      </c>
      <c r="C100" s="3172" t="s">
        <v>4792</v>
      </c>
      <c r="D100" s="3173" t="s">
        <v>4988</v>
      </c>
      <c r="E100" s="3172" t="s">
        <v>4989</v>
      </c>
      <c r="F100" s="3179" t="s">
        <v>4795</v>
      </c>
      <c r="G100" s="3171">
        <v>-1123</v>
      </c>
      <c r="H100" s="3174">
        <v>37.39</v>
      </c>
      <c r="I100" s="3175">
        <v>600000.32120000001</v>
      </c>
      <c r="J100" s="3176" t="s">
        <v>3453</v>
      </c>
      <c r="K100" s="3163"/>
      <c r="M100" s="3163"/>
    </row>
    <row r="101" spans="1:13" ht="16.5">
      <c r="A101" s="3170">
        <v>99</v>
      </c>
      <c r="B101" s="3171" t="s">
        <v>4792</v>
      </c>
      <c r="C101" s="3172" t="s">
        <v>4792</v>
      </c>
      <c r="D101" s="3173" t="s">
        <v>4990</v>
      </c>
      <c r="E101" s="3172" t="s">
        <v>4991</v>
      </c>
      <c r="F101" s="3179" t="s">
        <v>4795</v>
      </c>
      <c r="G101" s="3171">
        <v>-1124</v>
      </c>
      <c r="H101" s="3174">
        <v>37.39</v>
      </c>
      <c r="I101" s="3175">
        <v>600000.32120000001</v>
      </c>
      <c r="J101" s="3176" t="s">
        <v>3453</v>
      </c>
      <c r="K101" s="3163"/>
      <c r="M101" s="3163"/>
    </row>
    <row r="102" spans="1:13" ht="16.5">
      <c r="A102" s="3170">
        <v>100</v>
      </c>
      <c r="B102" s="3171" t="s">
        <v>4792</v>
      </c>
      <c r="C102" s="3172" t="s">
        <v>4792</v>
      </c>
      <c r="D102" s="3173" t="s">
        <v>4992</v>
      </c>
      <c r="E102" s="3172" t="s">
        <v>4993</v>
      </c>
      <c r="F102" s="3179" t="s">
        <v>4795</v>
      </c>
      <c r="G102" s="3171">
        <v>-1127</v>
      </c>
      <c r="H102" s="3174">
        <v>37.39</v>
      </c>
      <c r="I102" s="3175">
        <v>600000.32120000001</v>
      </c>
      <c r="J102" s="3176" t="s">
        <v>3453</v>
      </c>
      <c r="K102" s="3163"/>
      <c r="M102" s="3163"/>
    </row>
    <row r="103" spans="1:13" ht="16.5">
      <c r="A103" s="3170">
        <v>101</v>
      </c>
      <c r="B103" s="3171" t="s">
        <v>4792</v>
      </c>
      <c r="C103" s="3172" t="s">
        <v>4792</v>
      </c>
      <c r="D103" s="3173" t="s">
        <v>4994</v>
      </c>
      <c r="E103" s="3172" t="s">
        <v>4995</v>
      </c>
      <c r="F103" s="3179" t="s">
        <v>4795</v>
      </c>
      <c r="G103" s="3171">
        <v>-1128</v>
      </c>
      <c r="H103" s="3174">
        <v>37.39</v>
      </c>
      <c r="I103" s="3175">
        <v>600000.32120000001</v>
      </c>
      <c r="J103" s="3176" t="s">
        <v>3453</v>
      </c>
      <c r="K103" s="3163"/>
      <c r="M103" s="3163"/>
    </row>
    <row r="104" spans="1:13" ht="16.5">
      <c r="A104" s="3170">
        <v>102</v>
      </c>
      <c r="B104" s="3171" t="s">
        <v>4792</v>
      </c>
      <c r="C104" s="3172" t="s">
        <v>4792</v>
      </c>
      <c r="D104" s="3173" t="s">
        <v>4996</v>
      </c>
      <c r="E104" s="3172" t="s">
        <v>4997</v>
      </c>
      <c r="F104" s="3179" t="s">
        <v>4795</v>
      </c>
      <c r="G104" s="3171">
        <v>-1129</v>
      </c>
      <c r="H104" s="3174">
        <v>37.39</v>
      </c>
      <c r="I104" s="3175">
        <v>600000.32120000001</v>
      </c>
      <c r="J104" s="3176" t="s">
        <v>3453</v>
      </c>
      <c r="K104" s="3163"/>
      <c r="M104" s="3163"/>
    </row>
    <row r="105" spans="1:13" ht="16.5">
      <c r="A105" s="3170">
        <v>103</v>
      </c>
      <c r="B105" s="3171" t="s">
        <v>4792</v>
      </c>
      <c r="C105" s="3172" t="s">
        <v>4792</v>
      </c>
      <c r="D105" s="3173" t="s">
        <v>4998</v>
      </c>
      <c r="E105" s="3172" t="s">
        <v>4999</v>
      </c>
      <c r="F105" s="3179" t="s">
        <v>4795</v>
      </c>
      <c r="G105" s="3171">
        <v>-1130</v>
      </c>
      <c r="H105" s="3174">
        <v>37.39</v>
      </c>
      <c r="I105" s="3175">
        <v>600000.32120000001</v>
      </c>
      <c r="J105" s="3176" t="s">
        <v>3453</v>
      </c>
      <c r="K105" s="3163"/>
      <c r="M105" s="3163"/>
    </row>
    <row r="106" spans="1:13" ht="16.5">
      <c r="A106" s="3170">
        <v>104</v>
      </c>
      <c r="B106" s="3171" t="s">
        <v>4792</v>
      </c>
      <c r="C106" s="3172" t="s">
        <v>4792</v>
      </c>
      <c r="D106" s="3173" t="s">
        <v>5000</v>
      </c>
      <c r="E106" s="3172" t="s">
        <v>5001</v>
      </c>
      <c r="F106" s="3179" t="s">
        <v>4795</v>
      </c>
      <c r="G106" s="3171">
        <v>-1131</v>
      </c>
      <c r="H106" s="3174">
        <v>37.39</v>
      </c>
      <c r="I106" s="3175">
        <v>600000.32120000001</v>
      </c>
      <c r="J106" s="3176" t="s">
        <v>3453</v>
      </c>
      <c r="K106" s="3163"/>
      <c r="M106" s="3163"/>
    </row>
    <row r="107" spans="1:13" ht="16.5">
      <c r="A107" s="3170">
        <v>105</v>
      </c>
      <c r="B107" s="3171" t="s">
        <v>4792</v>
      </c>
      <c r="C107" s="3172" t="s">
        <v>4792</v>
      </c>
      <c r="D107" s="3173" t="s">
        <v>5002</v>
      </c>
      <c r="E107" s="3172" t="s">
        <v>5003</v>
      </c>
      <c r="F107" s="3179" t="s">
        <v>4795</v>
      </c>
      <c r="G107" s="3171">
        <v>-1134</v>
      </c>
      <c r="H107" s="3174">
        <v>37.39</v>
      </c>
      <c r="I107" s="3175">
        <v>600000.32120000001</v>
      </c>
      <c r="J107" s="3176" t="s">
        <v>3453</v>
      </c>
      <c r="K107" s="3163"/>
      <c r="M107" s="3163"/>
    </row>
    <row r="108" spans="1:13" ht="16.5">
      <c r="A108" s="3170">
        <v>106</v>
      </c>
      <c r="B108" s="3171" t="s">
        <v>4792</v>
      </c>
      <c r="C108" s="3172" t="s">
        <v>4792</v>
      </c>
      <c r="D108" s="3173" t="s">
        <v>5004</v>
      </c>
      <c r="E108" s="3172" t="s">
        <v>5005</v>
      </c>
      <c r="F108" s="3179" t="s">
        <v>4795</v>
      </c>
      <c r="G108" s="3171">
        <v>-1137</v>
      </c>
      <c r="H108" s="3174">
        <v>37.39</v>
      </c>
      <c r="I108" s="3175">
        <v>600000.32120000001</v>
      </c>
      <c r="J108" s="3176" t="s">
        <v>3469</v>
      </c>
      <c r="K108" s="3163"/>
      <c r="M108" s="3163"/>
    </row>
    <row r="109" spans="1:13" ht="16.5">
      <c r="A109" s="3170">
        <v>107</v>
      </c>
      <c r="B109" s="3171" t="s">
        <v>4792</v>
      </c>
      <c r="C109" s="3172" t="s">
        <v>4792</v>
      </c>
      <c r="D109" s="3173" t="s">
        <v>5006</v>
      </c>
      <c r="E109" s="3172" t="s">
        <v>5007</v>
      </c>
      <c r="F109" s="3179" t="s">
        <v>4795</v>
      </c>
      <c r="G109" s="3171">
        <v>-1141</v>
      </c>
      <c r="H109" s="3174">
        <v>37.39</v>
      </c>
      <c r="I109" s="3175">
        <v>600000.32120000001</v>
      </c>
      <c r="J109" s="3176" t="s">
        <v>3453</v>
      </c>
      <c r="K109" s="3163"/>
      <c r="M109" s="3163"/>
    </row>
    <row r="110" spans="1:13" ht="16.5">
      <c r="A110" s="3170">
        <v>108</v>
      </c>
      <c r="B110" s="3171" t="s">
        <v>4792</v>
      </c>
      <c r="C110" s="3172" t="s">
        <v>4792</v>
      </c>
      <c r="D110" s="3173" t="s">
        <v>5008</v>
      </c>
      <c r="E110" s="3172" t="s">
        <v>5009</v>
      </c>
      <c r="F110" s="3179" t="s">
        <v>4795</v>
      </c>
      <c r="G110" s="3171">
        <v>-1142</v>
      </c>
      <c r="H110" s="3174">
        <v>37.39</v>
      </c>
      <c r="I110" s="3175">
        <v>600000.32120000001</v>
      </c>
      <c r="J110" s="3176" t="s">
        <v>3453</v>
      </c>
      <c r="K110" s="3163"/>
      <c r="M110" s="3163"/>
    </row>
    <row r="111" spans="1:13" ht="16.5">
      <c r="A111" s="3170">
        <v>109</v>
      </c>
      <c r="B111" s="3171" t="s">
        <v>4792</v>
      </c>
      <c r="C111" s="3172" t="s">
        <v>4792</v>
      </c>
      <c r="D111" s="3173" t="s">
        <v>5010</v>
      </c>
      <c r="E111" s="3172" t="s">
        <v>5011</v>
      </c>
      <c r="F111" s="3179" t="s">
        <v>4795</v>
      </c>
      <c r="G111" s="3171">
        <v>-1146</v>
      </c>
      <c r="H111" s="3174">
        <v>37.39</v>
      </c>
      <c r="I111" s="3175">
        <v>600000.32120000001</v>
      </c>
      <c r="J111" s="3176" t="s">
        <v>3453</v>
      </c>
      <c r="K111" s="3163"/>
      <c r="M111" s="3163"/>
    </row>
    <row r="112" spans="1:13" ht="16.5">
      <c r="A112" s="3170">
        <v>110</v>
      </c>
      <c r="B112" s="3171" t="s">
        <v>4792</v>
      </c>
      <c r="C112" s="3172" t="s">
        <v>4792</v>
      </c>
      <c r="D112" s="3173" t="s">
        <v>5012</v>
      </c>
      <c r="E112" s="3172" t="s">
        <v>5013</v>
      </c>
      <c r="F112" s="3179" t="s">
        <v>4795</v>
      </c>
      <c r="G112" s="3171">
        <v>-1147</v>
      </c>
      <c r="H112" s="3174">
        <v>37.39</v>
      </c>
      <c r="I112" s="3175">
        <v>600000.32120000001</v>
      </c>
      <c r="J112" s="3176" t="s">
        <v>3453</v>
      </c>
      <c r="K112" s="3163"/>
      <c r="M112" s="3163"/>
    </row>
    <row r="113" spans="1:13" ht="16.5">
      <c r="A113" s="3170">
        <v>111</v>
      </c>
      <c r="B113" s="3171" t="s">
        <v>4792</v>
      </c>
      <c r="C113" s="3172" t="s">
        <v>4792</v>
      </c>
      <c r="D113" s="3173" t="s">
        <v>5014</v>
      </c>
      <c r="E113" s="3172" t="s">
        <v>5015</v>
      </c>
      <c r="F113" s="3179" t="s">
        <v>4795</v>
      </c>
      <c r="G113" s="3171">
        <v>-1148</v>
      </c>
      <c r="H113" s="3174">
        <v>37.39</v>
      </c>
      <c r="I113" s="3175">
        <v>600000.32120000001</v>
      </c>
      <c r="J113" s="3176" t="s">
        <v>3453</v>
      </c>
      <c r="K113" s="3163"/>
      <c r="M113" s="3163"/>
    </row>
    <row r="114" spans="1:13" ht="16.5">
      <c r="A114" s="3170">
        <v>112</v>
      </c>
      <c r="B114" s="3171" t="s">
        <v>4792</v>
      </c>
      <c r="C114" s="3172" t="s">
        <v>4792</v>
      </c>
      <c r="D114" s="3173" t="s">
        <v>5016</v>
      </c>
      <c r="E114" s="3172" t="s">
        <v>5017</v>
      </c>
      <c r="F114" s="3179" t="s">
        <v>4795</v>
      </c>
      <c r="G114" s="3171">
        <v>-1150</v>
      </c>
      <c r="H114" s="3174">
        <v>37.39</v>
      </c>
      <c r="I114" s="3175">
        <v>600000.32120000001</v>
      </c>
      <c r="J114" s="3176" t="s">
        <v>3469</v>
      </c>
      <c r="K114" s="3163"/>
      <c r="M114" s="3163"/>
    </row>
    <row r="115" spans="1:13" ht="16.5">
      <c r="A115" s="3170">
        <v>113</v>
      </c>
      <c r="B115" s="3171" t="s">
        <v>4792</v>
      </c>
      <c r="C115" s="3172" t="s">
        <v>4792</v>
      </c>
      <c r="D115" s="3173" t="s">
        <v>5018</v>
      </c>
      <c r="E115" s="3172" t="s">
        <v>5019</v>
      </c>
      <c r="F115" s="3179" t="s">
        <v>4795</v>
      </c>
      <c r="G115" s="3171">
        <v>-1152</v>
      </c>
      <c r="H115" s="3174">
        <v>37.39</v>
      </c>
      <c r="I115" s="3175">
        <v>600000.32120000001</v>
      </c>
      <c r="J115" s="3176" t="s">
        <v>3453</v>
      </c>
      <c r="K115" s="3163"/>
      <c r="M115" s="3163"/>
    </row>
    <row r="116" spans="1:13" ht="16.5">
      <c r="A116" s="3170">
        <v>114</v>
      </c>
      <c r="B116" s="3171" t="s">
        <v>4792</v>
      </c>
      <c r="C116" s="3172" t="s">
        <v>4792</v>
      </c>
      <c r="D116" s="3173" t="s">
        <v>5020</v>
      </c>
      <c r="E116" s="3172" t="s">
        <v>5021</v>
      </c>
      <c r="F116" s="3179" t="s">
        <v>4795</v>
      </c>
      <c r="G116" s="3171">
        <v>-1153</v>
      </c>
      <c r="H116" s="3174">
        <v>37.39</v>
      </c>
      <c r="I116" s="3175">
        <v>600000.32120000001</v>
      </c>
      <c r="J116" s="3176" t="s">
        <v>3469</v>
      </c>
      <c r="K116" s="3163"/>
      <c r="M116" s="3163"/>
    </row>
    <row r="117" spans="1:13" ht="16.5">
      <c r="A117" s="3170">
        <v>115</v>
      </c>
      <c r="B117" s="3171" t="s">
        <v>4792</v>
      </c>
      <c r="C117" s="3172" t="s">
        <v>4792</v>
      </c>
      <c r="D117" s="3173" t="s">
        <v>5022</v>
      </c>
      <c r="E117" s="3172" t="s">
        <v>5023</v>
      </c>
      <c r="F117" s="3179" t="s">
        <v>4795</v>
      </c>
      <c r="G117" s="3171">
        <v>-1154</v>
      </c>
      <c r="H117" s="3174">
        <v>37.39</v>
      </c>
      <c r="I117" s="3175">
        <v>600000.32120000001</v>
      </c>
      <c r="J117" s="3176" t="s">
        <v>3453</v>
      </c>
      <c r="K117" s="3163"/>
      <c r="M117" s="3163"/>
    </row>
    <row r="118" spans="1:13" ht="16.5">
      <c r="A118" s="3170">
        <v>116</v>
      </c>
      <c r="B118" s="3171" t="s">
        <v>4792</v>
      </c>
      <c r="C118" s="3172" t="s">
        <v>4792</v>
      </c>
      <c r="D118" s="3173" t="s">
        <v>5024</v>
      </c>
      <c r="E118" s="3172" t="s">
        <v>5025</v>
      </c>
      <c r="F118" s="3179" t="s">
        <v>4795</v>
      </c>
      <c r="G118" s="3171">
        <v>-1155</v>
      </c>
      <c r="H118" s="3174">
        <v>37.39</v>
      </c>
      <c r="I118" s="3175">
        <v>600000.32120000001</v>
      </c>
      <c r="J118" s="3176" t="s">
        <v>3453</v>
      </c>
      <c r="K118" s="3163"/>
      <c r="M118" s="3163"/>
    </row>
    <row r="119" spans="1:13" ht="16.5">
      <c r="A119" s="3170">
        <v>117</v>
      </c>
      <c r="B119" s="3171" t="s">
        <v>4792</v>
      </c>
      <c r="C119" s="3172" t="s">
        <v>4792</v>
      </c>
      <c r="D119" s="3173" t="s">
        <v>5026</v>
      </c>
      <c r="E119" s="3172" t="s">
        <v>5027</v>
      </c>
      <c r="F119" s="3179" t="s">
        <v>4795</v>
      </c>
      <c r="G119" s="3171">
        <v>-1157</v>
      </c>
      <c r="H119" s="3174">
        <v>37.39</v>
      </c>
      <c r="I119" s="3175">
        <v>600000.32120000001</v>
      </c>
      <c r="J119" s="3176" t="s">
        <v>3453</v>
      </c>
      <c r="K119" s="3163"/>
      <c r="M119" s="3163"/>
    </row>
    <row r="120" spans="1:13" ht="16.5">
      <c r="A120" s="3170">
        <v>118</v>
      </c>
      <c r="B120" s="3171" t="s">
        <v>4792</v>
      </c>
      <c r="C120" s="3172" t="s">
        <v>4792</v>
      </c>
      <c r="D120" s="3173" t="s">
        <v>5028</v>
      </c>
      <c r="E120" s="3172" t="s">
        <v>5029</v>
      </c>
      <c r="F120" s="3179" t="s">
        <v>4795</v>
      </c>
      <c r="G120" s="3171">
        <v>-1158</v>
      </c>
      <c r="H120" s="3174">
        <v>37.39</v>
      </c>
      <c r="I120" s="3175">
        <v>600000.32120000001</v>
      </c>
      <c r="J120" s="3176" t="s">
        <v>3453</v>
      </c>
      <c r="K120" s="3163"/>
      <c r="M120" s="3163"/>
    </row>
    <row r="121" spans="1:13" ht="16.5">
      <c r="A121" s="3170">
        <v>119</v>
      </c>
      <c r="B121" s="3171" t="s">
        <v>4792</v>
      </c>
      <c r="C121" s="3172" t="s">
        <v>4792</v>
      </c>
      <c r="D121" s="3173" t="s">
        <v>5030</v>
      </c>
      <c r="E121" s="3172" t="s">
        <v>5031</v>
      </c>
      <c r="F121" s="3179" t="s">
        <v>4795</v>
      </c>
      <c r="G121" s="3171">
        <v>-1159</v>
      </c>
      <c r="H121" s="3174">
        <v>37.39</v>
      </c>
      <c r="I121" s="3175">
        <v>600000.32120000001</v>
      </c>
      <c r="J121" s="3176" t="s">
        <v>3453</v>
      </c>
      <c r="K121" s="3163"/>
      <c r="M121" s="3163"/>
    </row>
    <row r="122" spans="1:13" ht="16.5">
      <c r="A122" s="3170">
        <v>120</v>
      </c>
      <c r="B122" s="3171" t="s">
        <v>4792</v>
      </c>
      <c r="C122" s="3172" t="s">
        <v>4792</v>
      </c>
      <c r="D122" s="3173" t="s">
        <v>5032</v>
      </c>
      <c r="E122" s="3172" t="s">
        <v>5033</v>
      </c>
      <c r="F122" s="3179" t="s">
        <v>4795</v>
      </c>
      <c r="G122" s="3171">
        <v>-1160</v>
      </c>
      <c r="H122" s="3174">
        <v>35.9</v>
      </c>
      <c r="I122" s="3175">
        <v>600000.29</v>
      </c>
      <c r="J122" s="3176" t="s">
        <v>3453</v>
      </c>
      <c r="K122" s="3163"/>
      <c r="M122" s="3163"/>
    </row>
    <row r="123" spans="1:13" ht="16.5">
      <c r="A123" s="3170">
        <v>121</v>
      </c>
      <c r="B123" s="3171" t="s">
        <v>4792</v>
      </c>
      <c r="C123" s="3172" t="s">
        <v>4792</v>
      </c>
      <c r="D123" s="3173" t="s">
        <v>5034</v>
      </c>
      <c r="E123" s="3172" t="s">
        <v>5035</v>
      </c>
      <c r="F123" s="3179" t="s">
        <v>4795</v>
      </c>
      <c r="G123" s="3171">
        <v>-1161</v>
      </c>
      <c r="H123" s="3174">
        <v>35.9</v>
      </c>
      <c r="I123" s="3175">
        <v>600000.29</v>
      </c>
      <c r="J123" s="3176" t="s">
        <v>3453</v>
      </c>
      <c r="K123" s="3163"/>
      <c r="M123" s="3163"/>
    </row>
    <row r="124" spans="1:13" ht="16.5">
      <c r="A124" s="3170">
        <v>122</v>
      </c>
      <c r="B124" s="3171" t="s">
        <v>4792</v>
      </c>
      <c r="C124" s="3172" t="s">
        <v>4792</v>
      </c>
      <c r="D124" s="3173" t="s">
        <v>5036</v>
      </c>
      <c r="E124" s="3172" t="s">
        <v>5037</v>
      </c>
      <c r="F124" s="3179" t="s">
        <v>4795</v>
      </c>
      <c r="G124" s="3171">
        <v>-1162</v>
      </c>
      <c r="H124" s="3174">
        <v>37.39</v>
      </c>
      <c r="I124" s="3175">
        <v>600000.32120000001</v>
      </c>
      <c r="J124" s="3176" t="s">
        <v>3453</v>
      </c>
      <c r="K124" s="3163"/>
      <c r="M124" s="3163"/>
    </row>
    <row r="125" spans="1:13" ht="16.5">
      <c r="A125" s="3170">
        <v>123</v>
      </c>
      <c r="B125" s="3171" t="s">
        <v>4792</v>
      </c>
      <c r="C125" s="3172" t="s">
        <v>4792</v>
      </c>
      <c r="D125" s="3173" t="s">
        <v>5038</v>
      </c>
      <c r="E125" s="3172" t="s">
        <v>5039</v>
      </c>
      <c r="F125" s="3179" t="s">
        <v>4795</v>
      </c>
      <c r="G125" s="3171">
        <v>-1163</v>
      </c>
      <c r="H125" s="3174">
        <v>37.39</v>
      </c>
      <c r="I125" s="3175">
        <v>600000.32120000001</v>
      </c>
      <c r="J125" s="3176" t="s">
        <v>3453</v>
      </c>
      <c r="K125" s="3163"/>
      <c r="M125" s="3163"/>
    </row>
    <row r="126" spans="1:13" ht="16.5">
      <c r="A126" s="3170">
        <v>124</v>
      </c>
      <c r="B126" s="3171" t="s">
        <v>4792</v>
      </c>
      <c r="C126" s="3172" t="s">
        <v>4792</v>
      </c>
      <c r="D126" s="3173" t="s">
        <v>5040</v>
      </c>
      <c r="E126" s="3172" t="s">
        <v>5041</v>
      </c>
      <c r="F126" s="3179" t="s">
        <v>4795</v>
      </c>
      <c r="G126" s="3171">
        <v>-1164</v>
      </c>
      <c r="H126" s="3174">
        <v>55.34</v>
      </c>
      <c r="I126" s="3175">
        <v>600000.15379999997</v>
      </c>
      <c r="J126" s="3176" t="s">
        <v>3453</v>
      </c>
      <c r="K126" s="3163"/>
      <c r="M126" s="3163"/>
    </row>
    <row r="127" spans="1:13" ht="16.5">
      <c r="A127" s="3170">
        <v>125</v>
      </c>
      <c r="B127" s="3171" t="s">
        <v>4792</v>
      </c>
      <c r="C127" s="3172" t="s">
        <v>4792</v>
      </c>
      <c r="D127" s="3173" t="s">
        <v>5042</v>
      </c>
      <c r="E127" s="3172" t="s">
        <v>5043</v>
      </c>
      <c r="F127" s="3179" t="s">
        <v>4795</v>
      </c>
      <c r="G127" s="3171">
        <v>-1165</v>
      </c>
      <c r="H127" s="3174">
        <v>35.9</v>
      </c>
      <c r="I127" s="3175">
        <v>600000.29</v>
      </c>
      <c r="J127" s="3176" t="s">
        <v>3453</v>
      </c>
      <c r="K127" s="3163"/>
      <c r="M127" s="3163"/>
    </row>
    <row r="128" spans="1:13" ht="16.5">
      <c r="A128" s="3170">
        <v>126</v>
      </c>
      <c r="B128" s="3171" t="s">
        <v>4792</v>
      </c>
      <c r="C128" s="3172" t="s">
        <v>4792</v>
      </c>
      <c r="D128" s="3173" t="s">
        <v>5044</v>
      </c>
      <c r="E128" s="3172" t="s">
        <v>5045</v>
      </c>
      <c r="F128" s="3179" t="s">
        <v>4795</v>
      </c>
      <c r="G128" s="3171">
        <v>-1166</v>
      </c>
      <c r="H128" s="3174">
        <v>35.9</v>
      </c>
      <c r="I128" s="3175">
        <v>600000.29</v>
      </c>
      <c r="J128" s="3176" t="s">
        <v>3453</v>
      </c>
      <c r="K128" s="3163"/>
      <c r="M128" s="3163"/>
    </row>
    <row r="129" spans="1:13" ht="16.5">
      <c r="A129" s="3170">
        <v>127</v>
      </c>
      <c r="B129" s="3171" t="s">
        <v>4792</v>
      </c>
      <c r="C129" s="3172" t="s">
        <v>4792</v>
      </c>
      <c r="D129" s="3173" t="s">
        <v>5046</v>
      </c>
      <c r="E129" s="3172" t="s">
        <v>5047</v>
      </c>
      <c r="F129" s="3179" t="s">
        <v>4795</v>
      </c>
      <c r="G129" s="3171">
        <v>-1168</v>
      </c>
      <c r="H129" s="3174">
        <v>37.39</v>
      </c>
      <c r="I129" s="3175">
        <v>600000.32120000001</v>
      </c>
      <c r="J129" s="3176" t="s">
        <v>3453</v>
      </c>
      <c r="K129" s="3163"/>
      <c r="M129" s="3163"/>
    </row>
    <row r="130" spans="1:13" ht="16.5">
      <c r="A130" s="3170">
        <v>128</v>
      </c>
      <c r="B130" s="3171" t="s">
        <v>4792</v>
      </c>
      <c r="C130" s="3172" t="s">
        <v>4792</v>
      </c>
      <c r="D130" s="3173" t="s">
        <v>5048</v>
      </c>
      <c r="E130" s="3172" t="s">
        <v>5049</v>
      </c>
      <c r="F130" s="3179" t="s">
        <v>4795</v>
      </c>
      <c r="G130" s="3171">
        <v>-1169</v>
      </c>
      <c r="H130" s="3174">
        <v>37.39</v>
      </c>
      <c r="I130" s="3175">
        <v>600000.32120000001</v>
      </c>
      <c r="J130" s="3176" t="s">
        <v>3453</v>
      </c>
      <c r="K130" s="3163"/>
      <c r="M130" s="3163"/>
    </row>
    <row r="131" spans="1:13" ht="16.5">
      <c r="A131" s="3170">
        <v>129</v>
      </c>
      <c r="B131" s="3171" t="s">
        <v>4792</v>
      </c>
      <c r="C131" s="3172" t="s">
        <v>4792</v>
      </c>
      <c r="D131" s="3173" t="s">
        <v>5050</v>
      </c>
      <c r="E131" s="3172" t="s">
        <v>5051</v>
      </c>
      <c r="F131" s="3179" t="s">
        <v>4795</v>
      </c>
      <c r="G131" s="3171">
        <v>-1170</v>
      </c>
      <c r="H131" s="3174">
        <v>35.9</v>
      </c>
      <c r="I131" s="3175">
        <v>600000.29</v>
      </c>
      <c r="J131" s="3176" t="s">
        <v>3453</v>
      </c>
      <c r="K131" s="3163"/>
      <c r="M131" s="3163"/>
    </row>
    <row r="132" spans="1:13" ht="16.5">
      <c r="A132" s="3170">
        <v>130</v>
      </c>
      <c r="B132" s="3171" t="s">
        <v>4792</v>
      </c>
      <c r="C132" s="3172" t="s">
        <v>4792</v>
      </c>
      <c r="D132" s="3173" t="s">
        <v>5052</v>
      </c>
      <c r="E132" s="3172" t="s">
        <v>5053</v>
      </c>
      <c r="F132" s="3179" t="s">
        <v>4795</v>
      </c>
      <c r="G132" s="3171">
        <v>-1171</v>
      </c>
      <c r="H132" s="3174">
        <v>35.9</v>
      </c>
      <c r="I132" s="3175">
        <v>600000.29</v>
      </c>
      <c r="J132" s="3176" t="s">
        <v>3453</v>
      </c>
      <c r="K132" s="3163"/>
      <c r="M132" s="3163"/>
    </row>
    <row r="133" spans="1:13" ht="16.5">
      <c r="A133" s="3170">
        <v>131</v>
      </c>
      <c r="B133" s="3171" t="s">
        <v>4792</v>
      </c>
      <c r="C133" s="3172" t="s">
        <v>4792</v>
      </c>
      <c r="D133" s="3173" t="s">
        <v>5054</v>
      </c>
      <c r="E133" s="3172" t="s">
        <v>5055</v>
      </c>
      <c r="F133" s="3179" t="s">
        <v>4795</v>
      </c>
      <c r="G133" s="3171">
        <v>-1174</v>
      </c>
      <c r="H133" s="3174">
        <v>37.39</v>
      </c>
      <c r="I133" s="3175">
        <v>600000.32120000001</v>
      </c>
      <c r="J133" s="3176" t="s">
        <v>3453</v>
      </c>
      <c r="K133" s="3163"/>
      <c r="M133" s="3163"/>
    </row>
    <row r="134" spans="1:13" ht="16.5">
      <c r="A134" s="3170">
        <v>132</v>
      </c>
      <c r="B134" s="3171" t="s">
        <v>4792</v>
      </c>
      <c r="C134" s="3172" t="s">
        <v>4792</v>
      </c>
      <c r="D134" s="3173" t="s">
        <v>5056</v>
      </c>
      <c r="E134" s="3172" t="s">
        <v>5057</v>
      </c>
      <c r="F134" s="3179" t="s">
        <v>4795</v>
      </c>
      <c r="G134" s="3171">
        <v>-1175</v>
      </c>
      <c r="H134" s="3174">
        <v>37.39</v>
      </c>
      <c r="I134" s="3175">
        <v>600000.32120000001</v>
      </c>
      <c r="J134" s="3176" t="s">
        <v>3453</v>
      </c>
      <c r="K134" s="3163"/>
      <c r="M134" s="3163"/>
    </row>
    <row r="135" spans="1:13" ht="16.5">
      <c r="A135" s="3170">
        <v>133</v>
      </c>
      <c r="B135" s="3171" t="s">
        <v>4792</v>
      </c>
      <c r="C135" s="3172" t="s">
        <v>4792</v>
      </c>
      <c r="D135" s="3173" t="s">
        <v>5058</v>
      </c>
      <c r="E135" s="3172" t="s">
        <v>5059</v>
      </c>
      <c r="F135" s="3179" t="s">
        <v>4795</v>
      </c>
      <c r="G135" s="3171">
        <v>-1177</v>
      </c>
      <c r="H135" s="3174">
        <v>37.39</v>
      </c>
      <c r="I135" s="3175">
        <v>600000.32120000001</v>
      </c>
      <c r="J135" s="3176" t="s">
        <v>3453</v>
      </c>
      <c r="K135" s="3163"/>
      <c r="M135" s="3163"/>
    </row>
    <row r="136" spans="1:13" ht="16.5">
      <c r="A136" s="3170">
        <v>134</v>
      </c>
      <c r="B136" s="3171" t="s">
        <v>4792</v>
      </c>
      <c r="C136" s="3172" t="s">
        <v>4792</v>
      </c>
      <c r="D136" s="3173" t="s">
        <v>5060</v>
      </c>
      <c r="E136" s="3172" t="s">
        <v>5061</v>
      </c>
      <c r="F136" s="3179" t="s">
        <v>4795</v>
      </c>
      <c r="G136" s="3171">
        <v>-1178</v>
      </c>
      <c r="H136" s="3174">
        <v>37.39</v>
      </c>
      <c r="I136" s="3175">
        <v>600000.32120000001</v>
      </c>
      <c r="J136" s="3176" t="s">
        <v>3453</v>
      </c>
      <c r="K136" s="3163"/>
      <c r="M136" s="3163"/>
    </row>
    <row r="137" spans="1:13" ht="16.5">
      <c r="A137" s="3170">
        <v>135</v>
      </c>
      <c r="B137" s="3171" t="s">
        <v>4792</v>
      </c>
      <c r="C137" s="3172" t="s">
        <v>4792</v>
      </c>
      <c r="D137" s="3173" t="s">
        <v>5062</v>
      </c>
      <c r="E137" s="3172" t="s">
        <v>5063</v>
      </c>
      <c r="F137" s="3179" t="s">
        <v>4795</v>
      </c>
      <c r="G137" s="3171">
        <v>-1179</v>
      </c>
      <c r="H137" s="3174">
        <v>37.39</v>
      </c>
      <c r="I137" s="3175">
        <v>600000.32120000001</v>
      </c>
      <c r="J137" s="3176" t="s">
        <v>3453</v>
      </c>
      <c r="K137" s="3163"/>
      <c r="M137" s="3163"/>
    </row>
    <row r="138" spans="1:13" ht="16.5">
      <c r="A138" s="3170">
        <v>136</v>
      </c>
      <c r="B138" s="3171" t="s">
        <v>4792</v>
      </c>
      <c r="C138" s="3172" t="s">
        <v>4792</v>
      </c>
      <c r="D138" s="3173" t="s">
        <v>5064</v>
      </c>
      <c r="E138" s="3172" t="s">
        <v>5065</v>
      </c>
      <c r="F138" s="3179" t="s">
        <v>4795</v>
      </c>
      <c r="G138" s="3171">
        <v>-1180</v>
      </c>
      <c r="H138" s="3174">
        <v>37.39</v>
      </c>
      <c r="I138" s="3175">
        <v>600000.32120000001</v>
      </c>
      <c r="J138" s="3176" t="s">
        <v>3453</v>
      </c>
      <c r="K138" s="3163"/>
      <c r="M138" s="3163"/>
    </row>
    <row r="139" spans="1:13" ht="16.5">
      <c r="A139" s="3170">
        <v>137</v>
      </c>
      <c r="B139" s="3171" t="s">
        <v>4792</v>
      </c>
      <c r="C139" s="3172" t="s">
        <v>4792</v>
      </c>
      <c r="D139" s="3173" t="s">
        <v>5066</v>
      </c>
      <c r="E139" s="3172" t="s">
        <v>5067</v>
      </c>
      <c r="F139" s="3179" t="s">
        <v>4795</v>
      </c>
      <c r="G139" s="3171">
        <v>-1181</v>
      </c>
      <c r="H139" s="3174">
        <v>37.39</v>
      </c>
      <c r="I139" s="3175">
        <v>600000.32120000001</v>
      </c>
      <c r="J139" s="3176" t="s">
        <v>3453</v>
      </c>
      <c r="K139" s="3163"/>
      <c r="M139" s="3163"/>
    </row>
    <row r="140" spans="1:13" ht="16.5">
      <c r="A140" s="3170">
        <v>138</v>
      </c>
      <c r="B140" s="3171" t="s">
        <v>4792</v>
      </c>
      <c r="C140" s="3172" t="s">
        <v>4792</v>
      </c>
      <c r="D140" s="3173" t="s">
        <v>5068</v>
      </c>
      <c r="E140" s="3172" t="s">
        <v>5069</v>
      </c>
      <c r="F140" s="3179" t="s">
        <v>4795</v>
      </c>
      <c r="G140" s="3171">
        <v>-1182</v>
      </c>
      <c r="H140" s="3174">
        <v>37.39</v>
      </c>
      <c r="I140" s="3175">
        <v>600000.32120000001</v>
      </c>
      <c r="J140" s="3176" t="s">
        <v>3453</v>
      </c>
      <c r="K140" s="3163"/>
      <c r="M140" s="3163"/>
    </row>
    <row r="141" spans="1:13" ht="16.5">
      <c r="A141" s="3170">
        <v>139</v>
      </c>
      <c r="B141" s="3171" t="s">
        <v>4792</v>
      </c>
      <c r="C141" s="3172" t="s">
        <v>4792</v>
      </c>
      <c r="D141" s="3173" t="s">
        <v>5070</v>
      </c>
      <c r="E141" s="3172" t="s">
        <v>5071</v>
      </c>
      <c r="F141" s="3179" t="s">
        <v>4795</v>
      </c>
      <c r="G141" s="3171">
        <v>-1183</v>
      </c>
      <c r="H141" s="3174">
        <v>37.39</v>
      </c>
      <c r="I141" s="3175">
        <v>600000.32120000001</v>
      </c>
      <c r="J141" s="3176" t="s">
        <v>3453</v>
      </c>
      <c r="K141" s="3163"/>
      <c r="M141" s="3163"/>
    </row>
    <row r="142" spans="1:13" ht="16.5">
      <c r="A142" s="3170">
        <v>140</v>
      </c>
      <c r="B142" s="3171" t="s">
        <v>4792</v>
      </c>
      <c r="C142" s="3172" t="s">
        <v>4792</v>
      </c>
      <c r="D142" s="3173" t="s">
        <v>5072</v>
      </c>
      <c r="E142" s="3172" t="s">
        <v>5073</v>
      </c>
      <c r="F142" s="3179" t="s">
        <v>4795</v>
      </c>
      <c r="G142" s="3171">
        <v>-1184</v>
      </c>
      <c r="H142" s="3174">
        <v>37.39</v>
      </c>
      <c r="I142" s="3175">
        <v>600000.32120000001</v>
      </c>
      <c r="J142" s="3176" t="s">
        <v>3453</v>
      </c>
      <c r="K142" s="3163"/>
      <c r="M142" s="3163"/>
    </row>
    <row r="143" spans="1:13" ht="16.5">
      <c r="A143" s="3170">
        <v>141</v>
      </c>
      <c r="B143" s="3171" t="s">
        <v>4792</v>
      </c>
      <c r="C143" s="3172" t="s">
        <v>4792</v>
      </c>
      <c r="D143" s="3173" t="s">
        <v>5074</v>
      </c>
      <c r="E143" s="3172" t="s">
        <v>5075</v>
      </c>
      <c r="F143" s="3179" t="s">
        <v>4795</v>
      </c>
      <c r="G143" s="3171">
        <v>-1186</v>
      </c>
      <c r="H143" s="3174">
        <v>37.39</v>
      </c>
      <c r="I143" s="3175">
        <v>600000.32120000001</v>
      </c>
      <c r="J143" s="3176" t="s">
        <v>3453</v>
      </c>
      <c r="K143" s="3163"/>
      <c r="M143" s="3163"/>
    </row>
    <row r="144" spans="1:13" ht="16.5">
      <c r="A144" s="3170">
        <v>142</v>
      </c>
      <c r="B144" s="3171" t="s">
        <v>4792</v>
      </c>
      <c r="C144" s="3172" t="s">
        <v>4792</v>
      </c>
      <c r="D144" s="3173" t="s">
        <v>5076</v>
      </c>
      <c r="E144" s="3172" t="s">
        <v>5077</v>
      </c>
      <c r="F144" s="3179" t="s">
        <v>4795</v>
      </c>
      <c r="G144" s="3171">
        <v>-1187</v>
      </c>
      <c r="H144" s="3174">
        <v>37.39</v>
      </c>
      <c r="I144" s="3175">
        <v>600000.32120000001</v>
      </c>
      <c r="J144" s="3176" t="s">
        <v>3453</v>
      </c>
      <c r="K144" s="3163"/>
      <c r="M144" s="3163"/>
    </row>
    <row r="145" spans="1:13" ht="16.5">
      <c r="A145" s="3170">
        <v>143</v>
      </c>
      <c r="B145" s="3171" t="s">
        <v>4792</v>
      </c>
      <c r="C145" s="3172" t="s">
        <v>4792</v>
      </c>
      <c r="D145" s="3173" t="s">
        <v>5078</v>
      </c>
      <c r="E145" s="3172" t="s">
        <v>5079</v>
      </c>
      <c r="F145" s="3179" t="s">
        <v>4795</v>
      </c>
      <c r="G145" s="3171">
        <v>-1196</v>
      </c>
      <c r="H145" s="3174">
        <v>37.39</v>
      </c>
      <c r="I145" s="3175">
        <v>600000.32120000001</v>
      </c>
      <c r="J145" s="3176" t="s">
        <v>3453</v>
      </c>
      <c r="K145" s="3163"/>
      <c r="M145" s="3163"/>
    </row>
    <row r="146" spans="1:13" ht="16.5">
      <c r="A146" s="3170">
        <v>144</v>
      </c>
      <c r="B146" s="3171" t="s">
        <v>4792</v>
      </c>
      <c r="C146" s="3172" t="s">
        <v>4792</v>
      </c>
      <c r="D146" s="3173" t="s">
        <v>5080</v>
      </c>
      <c r="E146" s="3172" t="s">
        <v>5081</v>
      </c>
      <c r="F146" s="3179" t="s">
        <v>4795</v>
      </c>
      <c r="G146" s="3171">
        <v>-1197</v>
      </c>
      <c r="H146" s="3174">
        <v>37.39</v>
      </c>
      <c r="I146" s="3175">
        <v>600000.32120000001</v>
      </c>
      <c r="J146" s="3176" t="s">
        <v>3453</v>
      </c>
      <c r="K146" s="3163"/>
      <c r="M146" s="3163"/>
    </row>
    <row r="147" spans="1:13" ht="16.5">
      <c r="A147" s="3170">
        <v>145</v>
      </c>
      <c r="B147" s="3171" t="s">
        <v>4792</v>
      </c>
      <c r="C147" s="3172" t="s">
        <v>4792</v>
      </c>
      <c r="D147" s="3173" t="s">
        <v>5082</v>
      </c>
      <c r="E147" s="3172" t="s">
        <v>5083</v>
      </c>
      <c r="F147" s="3179" t="s">
        <v>4795</v>
      </c>
      <c r="G147" s="3171">
        <v>-1198</v>
      </c>
      <c r="H147" s="3174">
        <v>35.9</v>
      </c>
      <c r="I147" s="3175">
        <v>600000.29</v>
      </c>
      <c r="J147" s="3176" t="s">
        <v>3453</v>
      </c>
      <c r="K147" s="3163"/>
      <c r="M147" s="3163"/>
    </row>
    <row r="148" spans="1:13" ht="16.5">
      <c r="A148" s="3170">
        <v>146</v>
      </c>
      <c r="B148" s="3171" t="s">
        <v>4792</v>
      </c>
      <c r="C148" s="3172" t="s">
        <v>4792</v>
      </c>
      <c r="D148" s="3173" t="s">
        <v>5084</v>
      </c>
      <c r="E148" s="3172" t="s">
        <v>5085</v>
      </c>
      <c r="F148" s="3179" t="s">
        <v>4795</v>
      </c>
      <c r="G148" s="3171">
        <v>-1199</v>
      </c>
      <c r="H148" s="3174">
        <v>35.9</v>
      </c>
      <c r="I148" s="3175">
        <v>600000.29</v>
      </c>
      <c r="J148" s="3176" t="s">
        <v>3453</v>
      </c>
      <c r="K148" s="3163"/>
      <c r="M148" s="3163"/>
    </row>
    <row r="149" spans="1:13" ht="16.5">
      <c r="A149" s="3170">
        <v>147</v>
      </c>
      <c r="B149" s="3171" t="s">
        <v>4792</v>
      </c>
      <c r="C149" s="3172" t="s">
        <v>4792</v>
      </c>
      <c r="D149" s="3173" t="s">
        <v>5086</v>
      </c>
      <c r="E149" s="3172" t="s">
        <v>5087</v>
      </c>
      <c r="F149" s="3179" t="s">
        <v>4795</v>
      </c>
      <c r="G149" s="3171">
        <v>-1200</v>
      </c>
      <c r="H149" s="3174">
        <v>37.39</v>
      </c>
      <c r="I149" s="3175">
        <v>600000.32120000001</v>
      </c>
      <c r="J149" s="3176" t="s">
        <v>3453</v>
      </c>
      <c r="K149" s="3163"/>
      <c r="M149" s="3163"/>
    </row>
    <row r="150" spans="1:13" ht="16.5">
      <c r="A150" s="3170">
        <v>148</v>
      </c>
      <c r="B150" s="3171" t="s">
        <v>4792</v>
      </c>
      <c r="C150" s="3172" t="s">
        <v>4792</v>
      </c>
      <c r="D150" s="3173" t="s">
        <v>5088</v>
      </c>
      <c r="E150" s="3172" t="s">
        <v>5089</v>
      </c>
      <c r="F150" s="3179" t="s">
        <v>4795</v>
      </c>
      <c r="G150" s="3171">
        <v>-1201</v>
      </c>
      <c r="H150" s="3174">
        <v>37.39</v>
      </c>
      <c r="I150" s="3175">
        <v>600000.32120000001</v>
      </c>
      <c r="J150" s="3176" t="s">
        <v>3453</v>
      </c>
      <c r="K150" s="3163"/>
      <c r="M150" s="3163"/>
    </row>
    <row r="151" spans="1:13" ht="16.5">
      <c r="A151" s="3170">
        <v>149</v>
      </c>
      <c r="B151" s="3171" t="s">
        <v>4792</v>
      </c>
      <c r="C151" s="3172" t="s">
        <v>4792</v>
      </c>
      <c r="D151" s="3173" t="s">
        <v>5090</v>
      </c>
      <c r="E151" s="3172" t="s">
        <v>5091</v>
      </c>
      <c r="F151" s="3179" t="s">
        <v>4795</v>
      </c>
      <c r="G151" s="3171">
        <v>-1202</v>
      </c>
      <c r="H151" s="3174">
        <v>55.34</v>
      </c>
      <c r="I151" s="3175">
        <v>600000.15379999997</v>
      </c>
      <c r="J151" s="3176" t="s">
        <v>3453</v>
      </c>
      <c r="K151" s="3163"/>
      <c r="M151" s="3163"/>
    </row>
    <row r="152" spans="1:13" ht="16.5">
      <c r="A152" s="3170">
        <v>150</v>
      </c>
      <c r="B152" s="3171" t="s">
        <v>4792</v>
      </c>
      <c r="C152" s="3172" t="s">
        <v>4792</v>
      </c>
      <c r="D152" s="3173" t="s">
        <v>5092</v>
      </c>
      <c r="E152" s="3172" t="s">
        <v>5093</v>
      </c>
      <c r="F152" s="3179" t="s">
        <v>4795</v>
      </c>
      <c r="G152" s="3171">
        <v>-1204</v>
      </c>
      <c r="H152" s="3174">
        <v>35.9</v>
      </c>
      <c r="I152" s="3175">
        <v>600000.29</v>
      </c>
      <c r="J152" s="3176" t="s">
        <v>3453</v>
      </c>
      <c r="K152" s="3163"/>
      <c r="M152" s="3163"/>
    </row>
    <row r="153" spans="1:13" ht="16.5">
      <c r="A153" s="3170">
        <v>151</v>
      </c>
      <c r="B153" s="3171" t="s">
        <v>4792</v>
      </c>
      <c r="C153" s="3172" t="s">
        <v>4792</v>
      </c>
      <c r="D153" s="3173" t="s">
        <v>5094</v>
      </c>
      <c r="E153" s="3172" t="s">
        <v>5095</v>
      </c>
      <c r="F153" s="3179" t="s">
        <v>4795</v>
      </c>
      <c r="G153" s="3171">
        <v>-1205</v>
      </c>
      <c r="H153" s="3174">
        <v>37.39</v>
      </c>
      <c r="I153" s="3175">
        <v>600000.32120000001</v>
      </c>
      <c r="J153" s="3176" t="s">
        <v>3453</v>
      </c>
      <c r="K153" s="3163"/>
      <c r="M153" s="3163"/>
    </row>
    <row r="154" spans="1:13" ht="16.5">
      <c r="A154" s="3170">
        <v>152</v>
      </c>
      <c r="B154" s="3171" t="s">
        <v>4792</v>
      </c>
      <c r="C154" s="3172" t="s">
        <v>4792</v>
      </c>
      <c r="D154" s="3173" t="s">
        <v>5096</v>
      </c>
      <c r="E154" s="3172" t="s">
        <v>5097</v>
      </c>
      <c r="F154" s="3179" t="s">
        <v>4795</v>
      </c>
      <c r="G154" s="3171">
        <v>-1206</v>
      </c>
      <c r="H154" s="3174">
        <v>37.39</v>
      </c>
      <c r="I154" s="3175">
        <v>600000.32120000001</v>
      </c>
      <c r="J154" s="3176" t="s">
        <v>3453</v>
      </c>
      <c r="K154" s="3163"/>
      <c r="M154" s="3163"/>
    </row>
    <row r="155" spans="1:13" ht="16.5">
      <c r="A155" s="3170">
        <v>153</v>
      </c>
      <c r="B155" s="3171" t="s">
        <v>4792</v>
      </c>
      <c r="C155" s="3172" t="s">
        <v>4792</v>
      </c>
      <c r="D155" s="3173" t="s">
        <v>5098</v>
      </c>
      <c r="E155" s="3172" t="s">
        <v>5099</v>
      </c>
      <c r="F155" s="3179" t="s">
        <v>4795</v>
      </c>
      <c r="G155" s="3171">
        <v>-1207</v>
      </c>
      <c r="H155" s="3174">
        <v>35.9</v>
      </c>
      <c r="I155" s="3175">
        <v>600000.29</v>
      </c>
      <c r="J155" s="3176" t="s">
        <v>3453</v>
      </c>
      <c r="K155" s="3163"/>
      <c r="M155" s="3163"/>
    </row>
    <row r="156" spans="1:13" ht="16.5">
      <c r="A156" s="3170">
        <v>154</v>
      </c>
      <c r="B156" s="3171" t="s">
        <v>4792</v>
      </c>
      <c r="C156" s="3172" t="s">
        <v>4792</v>
      </c>
      <c r="D156" s="3173" t="s">
        <v>5100</v>
      </c>
      <c r="E156" s="3172" t="s">
        <v>5101</v>
      </c>
      <c r="F156" s="3179" t="s">
        <v>4795</v>
      </c>
      <c r="G156" s="3171">
        <v>-1208</v>
      </c>
      <c r="H156" s="3174">
        <v>35.9</v>
      </c>
      <c r="I156" s="3175">
        <v>600000.29</v>
      </c>
      <c r="J156" s="3176" t="s">
        <v>3453</v>
      </c>
      <c r="K156" s="3163"/>
      <c r="M156" s="3163"/>
    </row>
    <row r="157" spans="1:13" ht="16.5">
      <c r="A157" s="3170">
        <v>155</v>
      </c>
      <c r="B157" s="3171" t="s">
        <v>4792</v>
      </c>
      <c r="C157" s="3172" t="s">
        <v>4792</v>
      </c>
      <c r="D157" s="3173" t="s">
        <v>5102</v>
      </c>
      <c r="E157" s="3172" t="s">
        <v>5103</v>
      </c>
      <c r="F157" s="3179" t="s">
        <v>4795</v>
      </c>
      <c r="G157" s="3171">
        <v>-1213</v>
      </c>
      <c r="H157" s="3174">
        <v>37.39</v>
      </c>
      <c r="I157" s="3175">
        <v>600000.32120000001</v>
      </c>
      <c r="J157" s="3176" t="s">
        <v>3453</v>
      </c>
      <c r="K157" s="3163"/>
      <c r="M157" s="3163"/>
    </row>
    <row r="158" spans="1:13" ht="16.5">
      <c r="A158" s="3170">
        <v>156</v>
      </c>
      <c r="B158" s="3171" t="s">
        <v>4792</v>
      </c>
      <c r="C158" s="3172" t="s">
        <v>4792</v>
      </c>
      <c r="D158" s="3173" t="s">
        <v>5104</v>
      </c>
      <c r="E158" s="3172" t="s">
        <v>5105</v>
      </c>
      <c r="F158" s="3179" t="s">
        <v>4795</v>
      </c>
      <c r="G158" s="3171">
        <v>-1214</v>
      </c>
      <c r="H158" s="3174">
        <v>37.39</v>
      </c>
      <c r="I158" s="3175">
        <v>600000.32120000001</v>
      </c>
      <c r="J158" s="3176" t="s">
        <v>3453</v>
      </c>
      <c r="K158" s="3163"/>
      <c r="M158" s="3163"/>
    </row>
    <row r="159" spans="1:13" ht="16.5">
      <c r="A159" s="3170">
        <v>157</v>
      </c>
      <c r="B159" s="3171" t="s">
        <v>4792</v>
      </c>
      <c r="C159" s="3172" t="s">
        <v>4792</v>
      </c>
      <c r="D159" s="3173" t="s">
        <v>5106</v>
      </c>
      <c r="E159" s="3172" t="s">
        <v>5107</v>
      </c>
      <c r="F159" s="3179" t="s">
        <v>4795</v>
      </c>
      <c r="G159" s="3171">
        <v>-1216</v>
      </c>
      <c r="H159" s="3174">
        <v>37.39</v>
      </c>
      <c r="I159" s="3175">
        <v>600000.32120000001</v>
      </c>
      <c r="J159" s="3176" t="s">
        <v>3453</v>
      </c>
      <c r="K159" s="3163"/>
      <c r="M159" s="3163"/>
    </row>
    <row r="160" spans="1:13" ht="16.5">
      <c r="A160" s="3170">
        <v>158</v>
      </c>
      <c r="B160" s="3171" t="s">
        <v>4792</v>
      </c>
      <c r="C160" s="3172" t="s">
        <v>4792</v>
      </c>
      <c r="D160" s="3173" t="s">
        <v>5108</v>
      </c>
      <c r="E160" s="3172" t="s">
        <v>5109</v>
      </c>
      <c r="F160" s="3179" t="s">
        <v>4795</v>
      </c>
      <c r="G160" s="3171">
        <v>-1218</v>
      </c>
      <c r="H160" s="3174">
        <v>37.39</v>
      </c>
      <c r="I160" s="3175">
        <v>600000.32120000001</v>
      </c>
      <c r="J160" s="3176" t="s">
        <v>3469</v>
      </c>
      <c r="K160" s="3163"/>
      <c r="M160" s="3163"/>
    </row>
    <row r="161" spans="1:13" ht="16.5">
      <c r="A161" s="3170">
        <v>159</v>
      </c>
      <c r="B161" s="3171" t="s">
        <v>4792</v>
      </c>
      <c r="C161" s="3172" t="s">
        <v>4792</v>
      </c>
      <c r="D161" s="3173" t="s">
        <v>5110</v>
      </c>
      <c r="E161" s="3172" t="s">
        <v>5111</v>
      </c>
      <c r="F161" s="3179" t="s">
        <v>4795</v>
      </c>
      <c r="G161" s="3171">
        <v>-1219</v>
      </c>
      <c r="H161" s="3174">
        <v>37.39</v>
      </c>
      <c r="I161" s="3175">
        <v>600000.32120000001</v>
      </c>
      <c r="J161" s="3176" t="s">
        <v>3453</v>
      </c>
      <c r="K161" s="3163"/>
      <c r="M161" s="3163"/>
    </row>
    <row r="162" spans="1:13" ht="16.5">
      <c r="A162" s="3170">
        <v>160</v>
      </c>
      <c r="B162" s="3171" t="s">
        <v>4792</v>
      </c>
      <c r="C162" s="3172" t="s">
        <v>4792</v>
      </c>
      <c r="D162" s="3173" t="s">
        <v>5112</v>
      </c>
      <c r="E162" s="3172" t="s">
        <v>5113</v>
      </c>
      <c r="F162" s="3179" t="s">
        <v>4795</v>
      </c>
      <c r="G162" s="3171">
        <v>-1220</v>
      </c>
      <c r="H162" s="3174">
        <v>37.39</v>
      </c>
      <c r="I162" s="3175">
        <v>600000.32120000001</v>
      </c>
      <c r="J162" s="3176" t="s">
        <v>3453</v>
      </c>
      <c r="K162" s="3163"/>
      <c r="M162" s="3163"/>
    </row>
    <row r="163" spans="1:13" ht="16.5">
      <c r="A163" s="3170">
        <v>161</v>
      </c>
      <c r="B163" s="3171" t="s">
        <v>4792</v>
      </c>
      <c r="C163" s="3172" t="s">
        <v>4792</v>
      </c>
      <c r="D163" s="3173" t="s">
        <v>5114</v>
      </c>
      <c r="E163" s="3172" t="s">
        <v>5115</v>
      </c>
      <c r="F163" s="3179" t="s">
        <v>4795</v>
      </c>
      <c r="G163" s="3171">
        <v>-1221</v>
      </c>
      <c r="H163" s="3174">
        <v>37.39</v>
      </c>
      <c r="I163" s="3175">
        <v>600000.32120000001</v>
      </c>
      <c r="J163" s="3176" t="s">
        <v>3453</v>
      </c>
      <c r="K163" s="3163"/>
      <c r="M163" s="3163"/>
    </row>
    <row r="164" spans="1:13" ht="16.5">
      <c r="A164" s="3170">
        <v>162</v>
      </c>
      <c r="B164" s="3171" t="s">
        <v>4792</v>
      </c>
      <c r="C164" s="3172" t="s">
        <v>4792</v>
      </c>
      <c r="D164" s="3173" t="s">
        <v>5116</v>
      </c>
      <c r="E164" s="3172" t="s">
        <v>5117</v>
      </c>
      <c r="F164" s="3179" t="s">
        <v>4795</v>
      </c>
      <c r="G164" s="3171">
        <v>-1223</v>
      </c>
      <c r="H164" s="3174">
        <v>37.39</v>
      </c>
      <c r="I164" s="3175">
        <v>600000.32120000001</v>
      </c>
      <c r="J164" s="3176" t="s">
        <v>3453</v>
      </c>
      <c r="K164" s="3163"/>
      <c r="M164" s="3163"/>
    </row>
    <row r="165" spans="1:13" ht="16.5">
      <c r="A165" s="3170">
        <v>163</v>
      </c>
      <c r="B165" s="3171" t="s">
        <v>4792</v>
      </c>
      <c r="C165" s="3172" t="s">
        <v>4792</v>
      </c>
      <c r="D165" s="3173" t="s">
        <v>5118</v>
      </c>
      <c r="E165" s="3172" t="s">
        <v>5119</v>
      </c>
      <c r="F165" s="3179" t="s">
        <v>4795</v>
      </c>
      <c r="G165" s="3171">
        <v>-1224</v>
      </c>
      <c r="H165" s="3174">
        <v>37.39</v>
      </c>
      <c r="I165" s="3175">
        <v>600000.32120000001</v>
      </c>
      <c r="J165" s="3176" t="s">
        <v>3469</v>
      </c>
      <c r="K165" s="3163"/>
      <c r="M165" s="3163"/>
    </row>
    <row r="166" spans="1:13" ht="16.5">
      <c r="A166" s="3170">
        <v>164</v>
      </c>
      <c r="B166" s="3171" t="s">
        <v>4792</v>
      </c>
      <c r="C166" s="3172" t="s">
        <v>4792</v>
      </c>
      <c r="D166" s="3173" t="s">
        <v>5120</v>
      </c>
      <c r="E166" s="3172" t="s">
        <v>5121</v>
      </c>
      <c r="F166" s="3179" t="s">
        <v>4795</v>
      </c>
      <c r="G166" s="3171">
        <v>-1225</v>
      </c>
      <c r="H166" s="3174">
        <v>37.39</v>
      </c>
      <c r="I166" s="3175">
        <v>600000.32120000001</v>
      </c>
      <c r="J166" s="3176" t="s">
        <v>3469</v>
      </c>
      <c r="K166" s="3163"/>
      <c r="M166" s="3163"/>
    </row>
    <row r="167" spans="1:13" ht="16.5">
      <c r="A167" s="3170">
        <v>165</v>
      </c>
      <c r="B167" s="3171" t="s">
        <v>4792</v>
      </c>
      <c r="C167" s="3172" t="s">
        <v>4792</v>
      </c>
      <c r="D167" s="3173" t="s">
        <v>5122</v>
      </c>
      <c r="E167" s="3172" t="s">
        <v>5123</v>
      </c>
      <c r="F167" s="3179" t="s">
        <v>4795</v>
      </c>
      <c r="G167" s="3171">
        <v>-1231</v>
      </c>
      <c r="H167" s="3174">
        <v>37.39</v>
      </c>
      <c r="I167" s="3175">
        <v>600000.32120000001</v>
      </c>
      <c r="J167" s="3176" t="s">
        <v>3453</v>
      </c>
      <c r="K167" s="3163"/>
      <c r="M167" s="3163"/>
    </row>
    <row r="168" spans="1:13" ht="16.5">
      <c r="A168" s="3170">
        <v>166</v>
      </c>
      <c r="B168" s="3171" t="s">
        <v>4792</v>
      </c>
      <c r="C168" s="3172" t="s">
        <v>4792</v>
      </c>
      <c r="D168" s="3173" t="s">
        <v>5124</v>
      </c>
      <c r="E168" s="3172" t="s">
        <v>5125</v>
      </c>
      <c r="F168" s="3179" t="s">
        <v>4795</v>
      </c>
      <c r="G168" s="3171">
        <v>-1233</v>
      </c>
      <c r="H168" s="3174">
        <v>37.39</v>
      </c>
      <c r="I168" s="3175">
        <v>600000.32120000001</v>
      </c>
      <c r="J168" s="3176" t="s">
        <v>3469</v>
      </c>
      <c r="K168" s="3163"/>
      <c r="M168" s="3163"/>
    </row>
    <row r="169" spans="1:13" ht="16.5">
      <c r="A169" s="3170">
        <v>167</v>
      </c>
      <c r="B169" s="3171" t="s">
        <v>4792</v>
      </c>
      <c r="C169" s="3172" t="s">
        <v>4792</v>
      </c>
      <c r="D169" s="3173" t="s">
        <v>5126</v>
      </c>
      <c r="E169" s="3172" t="s">
        <v>5127</v>
      </c>
      <c r="F169" s="3179" t="s">
        <v>4795</v>
      </c>
      <c r="G169" s="3171">
        <v>-1237</v>
      </c>
      <c r="H169" s="3174">
        <v>55.34</v>
      </c>
      <c r="I169" s="3175">
        <v>600000.15379999997</v>
      </c>
      <c r="J169" s="3176" t="s">
        <v>3453</v>
      </c>
      <c r="K169" s="3163"/>
      <c r="M169" s="3163"/>
    </row>
    <row r="170" spans="1:13" ht="16.5">
      <c r="A170" s="3170">
        <v>168</v>
      </c>
      <c r="B170" s="3171" t="s">
        <v>4792</v>
      </c>
      <c r="C170" s="3172" t="s">
        <v>4792</v>
      </c>
      <c r="D170" s="3173" t="s">
        <v>5128</v>
      </c>
      <c r="E170" s="3172" t="s">
        <v>5129</v>
      </c>
      <c r="F170" s="3179" t="s">
        <v>4795</v>
      </c>
      <c r="G170" s="3171">
        <v>-1238</v>
      </c>
      <c r="H170" s="3174">
        <v>35.9</v>
      </c>
      <c r="I170" s="3175">
        <v>600000.29</v>
      </c>
      <c r="J170" s="3176" t="s">
        <v>3453</v>
      </c>
      <c r="K170" s="3163"/>
      <c r="M170" s="3163"/>
    </row>
    <row r="171" spans="1:13" ht="16.5">
      <c r="A171" s="3170">
        <v>169</v>
      </c>
      <c r="B171" s="3171" t="s">
        <v>4792</v>
      </c>
      <c r="C171" s="3172" t="s">
        <v>4792</v>
      </c>
      <c r="D171" s="3173" t="s">
        <v>5130</v>
      </c>
      <c r="E171" s="3172" t="s">
        <v>5131</v>
      </c>
      <c r="F171" s="3179" t="s">
        <v>4795</v>
      </c>
      <c r="G171" s="3171">
        <v>-1239</v>
      </c>
      <c r="H171" s="3174">
        <v>35.9</v>
      </c>
      <c r="I171" s="3175">
        <v>600000.29</v>
      </c>
      <c r="J171" s="3176" t="s">
        <v>3453</v>
      </c>
      <c r="K171" s="3163"/>
      <c r="M171" s="3163"/>
    </row>
    <row r="172" spans="1:13" ht="16.5">
      <c r="A172" s="3170">
        <v>170</v>
      </c>
      <c r="B172" s="3171" t="s">
        <v>4792</v>
      </c>
      <c r="C172" s="3172" t="s">
        <v>4792</v>
      </c>
      <c r="D172" s="3173" t="s">
        <v>5132</v>
      </c>
      <c r="E172" s="3172" t="s">
        <v>5133</v>
      </c>
      <c r="F172" s="3179" t="s">
        <v>4795</v>
      </c>
      <c r="G172" s="3171">
        <v>-1240</v>
      </c>
      <c r="H172" s="3174">
        <v>37.39</v>
      </c>
      <c r="I172" s="3175">
        <v>600000.32120000001</v>
      </c>
      <c r="J172" s="3176" t="s">
        <v>3453</v>
      </c>
      <c r="K172" s="3163"/>
      <c r="M172" s="3163"/>
    </row>
    <row r="173" spans="1:13" ht="16.5">
      <c r="A173" s="3170">
        <v>171</v>
      </c>
      <c r="B173" s="3171" t="s">
        <v>4792</v>
      </c>
      <c r="C173" s="3172" t="s">
        <v>4792</v>
      </c>
      <c r="D173" s="3173" t="s">
        <v>5134</v>
      </c>
      <c r="E173" s="3172" t="s">
        <v>5135</v>
      </c>
      <c r="F173" s="3179" t="s">
        <v>4795</v>
      </c>
      <c r="G173" s="3171">
        <v>-1242</v>
      </c>
      <c r="H173" s="3174">
        <v>37.39</v>
      </c>
      <c r="I173" s="3175">
        <v>600000.32120000001</v>
      </c>
      <c r="J173" s="3176" t="s">
        <v>3453</v>
      </c>
      <c r="K173" s="3163"/>
      <c r="M173" s="3163"/>
    </row>
    <row r="174" spans="1:13" ht="16.5">
      <c r="A174" s="3170">
        <v>172</v>
      </c>
      <c r="B174" s="3171" t="s">
        <v>4792</v>
      </c>
      <c r="C174" s="3172" t="s">
        <v>4792</v>
      </c>
      <c r="D174" s="3173" t="s">
        <v>5136</v>
      </c>
      <c r="E174" s="3172" t="s">
        <v>5137</v>
      </c>
      <c r="F174" s="3179" t="s">
        <v>4795</v>
      </c>
      <c r="G174" s="3171">
        <v>-1243</v>
      </c>
      <c r="H174" s="3174">
        <v>35.9</v>
      </c>
      <c r="I174" s="3175">
        <v>600000.29</v>
      </c>
      <c r="J174" s="3176" t="s">
        <v>3453</v>
      </c>
      <c r="K174" s="3163"/>
      <c r="M174" s="3163"/>
    </row>
    <row r="175" spans="1:13" ht="16.5">
      <c r="A175" s="3170">
        <v>173</v>
      </c>
      <c r="B175" s="3171" t="s">
        <v>4792</v>
      </c>
      <c r="C175" s="3172" t="s">
        <v>4792</v>
      </c>
      <c r="D175" s="3173" t="s">
        <v>5138</v>
      </c>
      <c r="E175" s="3172" t="s">
        <v>5139</v>
      </c>
      <c r="F175" s="3179" t="s">
        <v>4795</v>
      </c>
      <c r="G175" s="3171">
        <v>-1244</v>
      </c>
      <c r="H175" s="3174">
        <v>35.9</v>
      </c>
      <c r="I175" s="3175">
        <v>600000.29</v>
      </c>
      <c r="J175" s="3176" t="s">
        <v>3453</v>
      </c>
      <c r="K175" s="3163"/>
      <c r="M175" s="3163"/>
    </row>
    <row r="176" spans="1:13" ht="16.5">
      <c r="A176" s="3170">
        <v>174</v>
      </c>
      <c r="B176" s="3171" t="s">
        <v>4792</v>
      </c>
      <c r="C176" s="3172" t="s">
        <v>4792</v>
      </c>
      <c r="D176" s="3173" t="s">
        <v>5140</v>
      </c>
      <c r="E176" s="3172" t="s">
        <v>5141</v>
      </c>
      <c r="F176" s="3179" t="s">
        <v>4795</v>
      </c>
      <c r="G176" s="3171">
        <v>-1245</v>
      </c>
      <c r="H176" s="3174">
        <v>35.9</v>
      </c>
      <c r="I176" s="3175">
        <v>600000.29</v>
      </c>
      <c r="J176" s="3176" t="s">
        <v>3453</v>
      </c>
      <c r="K176" s="3163"/>
      <c r="M176" s="3163"/>
    </row>
    <row r="177" spans="1:13" ht="16.5">
      <c r="A177" s="3170">
        <v>175</v>
      </c>
      <c r="B177" s="3171" t="s">
        <v>4792</v>
      </c>
      <c r="C177" s="3172" t="s">
        <v>4792</v>
      </c>
      <c r="D177" s="3173" t="s">
        <v>5142</v>
      </c>
      <c r="E177" s="3172" t="s">
        <v>5143</v>
      </c>
      <c r="F177" s="3179" t="s">
        <v>4795</v>
      </c>
      <c r="G177" s="3171">
        <v>-1246</v>
      </c>
      <c r="H177" s="3174">
        <v>35.9</v>
      </c>
      <c r="I177" s="3175">
        <v>600000.29</v>
      </c>
      <c r="J177" s="3176" t="s">
        <v>3453</v>
      </c>
      <c r="K177" s="3163"/>
      <c r="M177" s="3163"/>
    </row>
    <row r="178" spans="1:13" ht="16.5">
      <c r="A178" s="3170">
        <v>176</v>
      </c>
      <c r="B178" s="3171" t="s">
        <v>4792</v>
      </c>
      <c r="C178" s="3172" t="s">
        <v>4792</v>
      </c>
      <c r="D178" s="3173" t="s">
        <v>5144</v>
      </c>
      <c r="E178" s="3172" t="s">
        <v>5145</v>
      </c>
      <c r="F178" s="3179" t="s">
        <v>4795</v>
      </c>
      <c r="G178" s="3171">
        <v>-1247</v>
      </c>
      <c r="H178" s="3174">
        <v>37.39</v>
      </c>
      <c r="I178" s="3175">
        <v>600000.32120000001</v>
      </c>
      <c r="J178" s="3176" t="s">
        <v>3453</v>
      </c>
      <c r="K178" s="3163"/>
      <c r="M178" s="3163"/>
    </row>
    <row r="179" spans="1:13" ht="16.5">
      <c r="A179" s="3170">
        <v>177</v>
      </c>
      <c r="B179" s="3171" t="s">
        <v>4792</v>
      </c>
      <c r="C179" s="3172" t="s">
        <v>4792</v>
      </c>
      <c r="D179" s="3173" t="s">
        <v>5146</v>
      </c>
      <c r="E179" s="3172" t="s">
        <v>5147</v>
      </c>
      <c r="F179" s="3179" t="s">
        <v>4795</v>
      </c>
      <c r="G179" s="3171">
        <v>-1248</v>
      </c>
      <c r="H179" s="3174">
        <v>37.39</v>
      </c>
      <c r="I179" s="3175">
        <v>600000.32120000001</v>
      </c>
      <c r="J179" s="3176" t="s">
        <v>3453</v>
      </c>
      <c r="K179" s="3163"/>
      <c r="M179" s="3163"/>
    </row>
    <row r="180" spans="1:13" ht="16.5">
      <c r="A180" s="3170">
        <v>178</v>
      </c>
      <c r="B180" s="3171" t="s">
        <v>4792</v>
      </c>
      <c r="C180" s="3172" t="s">
        <v>4792</v>
      </c>
      <c r="D180" s="3173" t="s">
        <v>5148</v>
      </c>
      <c r="E180" s="3172" t="s">
        <v>5149</v>
      </c>
      <c r="F180" s="3179" t="s">
        <v>4795</v>
      </c>
      <c r="G180" s="3171">
        <v>-1249</v>
      </c>
      <c r="H180" s="3174">
        <v>35.9</v>
      </c>
      <c r="I180" s="3175">
        <v>600000.29</v>
      </c>
      <c r="J180" s="3176" t="s">
        <v>3453</v>
      </c>
      <c r="K180" s="3163"/>
      <c r="M180" s="3163"/>
    </row>
    <row r="181" spans="1:13" ht="16.5">
      <c r="A181" s="3170">
        <v>179</v>
      </c>
      <c r="B181" s="3171" t="s">
        <v>4792</v>
      </c>
      <c r="C181" s="3172" t="s">
        <v>4792</v>
      </c>
      <c r="D181" s="3173" t="s">
        <v>5150</v>
      </c>
      <c r="E181" s="3172" t="s">
        <v>5151</v>
      </c>
      <c r="F181" s="3179" t="s">
        <v>4795</v>
      </c>
      <c r="G181" s="3171">
        <v>-1250</v>
      </c>
      <c r="H181" s="3174">
        <v>35.9</v>
      </c>
      <c r="I181" s="3175">
        <v>600000.29</v>
      </c>
      <c r="J181" s="3176" t="s">
        <v>3453</v>
      </c>
      <c r="K181" s="3163"/>
      <c r="M181" s="3163"/>
    </row>
    <row r="182" spans="1:13" ht="16.5">
      <c r="A182" s="3170">
        <v>180</v>
      </c>
      <c r="B182" s="3171" t="s">
        <v>4792</v>
      </c>
      <c r="C182" s="3172" t="s">
        <v>4792</v>
      </c>
      <c r="D182" s="3173" t="s">
        <v>5152</v>
      </c>
      <c r="E182" s="3172" t="s">
        <v>5153</v>
      </c>
      <c r="F182" s="3179" t="s">
        <v>4795</v>
      </c>
      <c r="G182" s="3171">
        <v>-1251</v>
      </c>
      <c r="H182" s="3174">
        <v>35.9</v>
      </c>
      <c r="I182" s="3175">
        <v>600000.29</v>
      </c>
      <c r="J182" s="3176" t="s">
        <v>3453</v>
      </c>
      <c r="K182" s="3163"/>
      <c r="M182" s="3163"/>
    </row>
    <row r="183" spans="1:13" ht="16.5">
      <c r="A183" s="3170">
        <v>181</v>
      </c>
      <c r="B183" s="3171" t="s">
        <v>4792</v>
      </c>
      <c r="C183" s="3172" t="s">
        <v>4792</v>
      </c>
      <c r="D183" s="3173" t="s">
        <v>5154</v>
      </c>
      <c r="E183" s="3172" t="s">
        <v>5155</v>
      </c>
      <c r="F183" s="3179" t="s">
        <v>4795</v>
      </c>
      <c r="G183" s="3171">
        <v>-1252</v>
      </c>
      <c r="H183" s="3174">
        <v>35.9</v>
      </c>
      <c r="I183" s="3175">
        <v>600000.29</v>
      </c>
      <c r="J183" s="3176" t="s">
        <v>3453</v>
      </c>
      <c r="K183" s="3163"/>
      <c r="M183" s="3163"/>
    </row>
    <row r="184" spans="1:13" ht="16.5">
      <c r="A184" s="3170">
        <v>182</v>
      </c>
      <c r="B184" s="3171" t="s">
        <v>4792</v>
      </c>
      <c r="C184" s="3172" t="s">
        <v>4792</v>
      </c>
      <c r="D184" s="3173" t="s">
        <v>5156</v>
      </c>
      <c r="E184" s="3172" t="s">
        <v>5157</v>
      </c>
      <c r="F184" s="3179" t="s">
        <v>4795</v>
      </c>
      <c r="G184" s="3171">
        <v>-1253</v>
      </c>
      <c r="H184" s="3174">
        <v>37.39</v>
      </c>
      <c r="I184" s="3175">
        <v>600000.32120000001</v>
      </c>
      <c r="J184" s="3176" t="s">
        <v>3453</v>
      </c>
      <c r="K184" s="3163"/>
      <c r="M184" s="3163"/>
    </row>
    <row r="185" spans="1:13" ht="16.5">
      <c r="A185" s="3170">
        <v>183</v>
      </c>
      <c r="B185" s="3171" t="s">
        <v>4792</v>
      </c>
      <c r="C185" s="3172" t="s">
        <v>4792</v>
      </c>
      <c r="D185" s="3173" t="s">
        <v>5158</v>
      </c>
      <c r="E185" s="3172" t="s">
        <v>5159</v>
      </c>
      <c r="F185" s="3179" t="s">
        <v>4795</v>
      </c>
      <c r="G185" s="3171">
        <v>-1255</v>
      </c>
      <c r="H185" s="3174">
        <v>37.39</v>
      </c>
      <c r="I185" s="3175">
        <v>600000.32120000001</v>
      </c>
      <c r="J185" s="3176" t="s">
        <v>3453</v>
      </c>
      <c r="K185" s="3163"/>
      <c r="M185" s="3163"/>
    </row>
    <row r="186" spans="1:13" ht="16.5">
      <c r="A186" s="3170">
        <v>184</v>
      </c>
      <c r="B186" s="3171" t="s">
        <v>4792</v>
      </c>
      <c r="C186" s="3172" t="s">
        <v>4792</v>
      </c>
      <c r="D186" s="3173" t="s">
        <v>5160</v>
      </c>
      <c r="E186" s="3172" t="s">
        <v>5161</v>
      </c>
      <c r="F186" s="3179" t="s">
        <v>4795</v>
      </c>
      <c r="G186" s="3171">
        <v>-1256</v>
      </c>
      <c r="H186" s="3174">
        <v>37.39</v>
      </c>
      <c r="I186" s="3175">
        <v>600000.32120000001</v>
      </c>
      <c r="J186" s="3176" t="s">
        <v>3453</v>
      </c>
      <c r="K186" s="3163"/>
      <c r="M186" s="3163"/>
    </row>
    <row r="187" spans="1:13" ht="16.5">
      <c r="A187" s="3170">
        <v>185</v>
      </c>
      <c r="B187" s="3171" t="s">
        <v>4792</v>
      </c>
      <c r="C187" s="3172" t="s">
        <v>4792</v>
      </c>
      <c r="D187" s="3173" t="s">
        <v>5162</v>
      </c>
      <c r="E187" s="3172" t="s">
        <v>5163</v>
      </c>
      <c r="F187" s="3179" t="s">
        <v>4795</v>
      </c>
      <c r="G187" s="3171">
        <v>-1260</v>
      </c>
      <c r="H187" s="3174">
        <v>37.39</v>
      </c>
      <c r="I187" s="3175">
        <v>600000.32120000001</v>
      </c>
      <c r="J187" s="3176" t="s">
        <v>3453</v>
      </c>
      <c r="K187" s="3163"/>
      <c r="M187" s="3163"/>
    </row>
    <row r="188" spans="1:13" ht="16.5">
      <c r="A188" s="3170">
        <v>186</v>
      </c>
      <c r="B188" s="3171" t="s">
        <v>4792</v>
      </c>
      <c r="C188" s="3172" t="s">
        <v>4792</v>
      </c>
      <c r="D188" s="3173" t="s">
        <v>5164</v>
      </c>
      <c r="E188" s="3172" t="s">
        <v>5165</v>
      </c>
      <c r="F188" s="3179" t="s">
        <v>4795</v>
      </c>
      <c r="G188" s="3171">
        <v>-1269</v>
      </c>
      <c r="H188" s="3174">
        <v>37.39</v>
      </c>
      <c r="I188" s="3175">
        <v>600000.32120000001</v>
      </c>
      <c r="J188" s="3176" t="s">
        <v>3453</v>
      </c>
      <c r="K188" s="3163"/>
      <c r="M188" s="3163"/>
    </row>
    <row r="189" spans="1:13" ht="16.5">
      <c r="A189" s="3170">
        <v>187</v>
      </c>
      <c r="B189" s="3171" t="s">
        <v>4792</v>
      </c>
      <c r="C189" s="3172" t="s">
        <v>4792</v>
      </c>
      <c r="D189" s="3173" t="s">
        <v>5166</v>
      </c>
      <c r="E189" s="3172" t="s">
        <v>5167</v>
      </c>
      <c r="F189" s="3179" t="s">
        <v>4795</v>
      </c>
      <c r="G189" s="3171">
        <v>-1270</v>
      </c>
      <c r="H189" s="3174">
        <v>37.39</v>
      </c>
      <c r="I189" s="3175">
        <v>600000.32120000001</v>
      </c>
      <c r="J189" s="3176" t="s">
        <v>3453</v>
      </c>
      <c r="K189" s="3163"/>
      <c r="M189" s="3163"/>
    </row>
    <row r="190" spans="1:13" ht="16.5">
      <c r="A190" s="3170">
        <v>188</v>
      </c>
      <c r="B190" s="3171" t="s">
        <v>4792</v>
      </c>
      <c r="C190" s="3172" t="s">
        <v>4792</v>
      </c>
      <c r="D190" s="3173" t="s">
        <v>5168</v>
      </c>
      <c r="E190" s="3172" t="s">
        <v>5169</v>
      </c>
      <c r="F190" s="3179" t="s">
        <v>4795</v>
      </c>
      <c r="G190" s="3171">
        <v>-1271</v>
      </c>
      <c r="H190" s="3174">
        <v>37.39</v>
      </c>
      <c r="I190" s="3175">
        <v>600000.32120000001</v>
      </c>
      <c r="J190" s="3176" t="s">
        <v>3453</v>
      </c>
      <c r="K190" s="3163"/>
      <c r="M190" s="3163"/>
    </row>
    <row r="191" spans="1:13" ht="16.5">
      <c r="A191" s="3170">
        <v>189</v>
      </c>
      <c r="B191" s="3171" t="s">
        <v>4792</v>
      </c>
      <c r="C191" s="3172" t="s">
        <v>4792</v>
      </c>
      <c r="D191" s="3173" t="s">
        <v>5170</v>
      </c>
      <c r="E191" s="3172" t="s">
        <v>5171</v>
      </c>
      <c r="F191" s="3179" t="s">
        <v>4795</v>
      </c>
      <c r="G191" s="3171">
        <v>-1272</v>
      </c>
      <c r="H191" s="3174">
        <v>37.39</v>
      </c>
      <c r="I191" s="3175">
        <v>600000.32120000001</v>
      </c>
      <c r="J191" s="3176" t="s">
        <v>3453</v>
      </c>
      <c r="K191" s="3163"/>
      <c r="M191" s="3163"/>
    </row>
    <row r="192" spans="1:13" ht="16.5">
      <c r="A192" s="3170">
        <v>190</v>
      </c>
      <c r="B192" s="3171" t="s">
        <v>4792</v>
      </c>
      <c r="C192" s="3172" t="s">
        <v>4792</v>
      </c>
      <c r="D192" s="3173" t="s">
        <v>5172</v>
      </c>
      <c r="E192" s="3172" t="s">
        <v>5173</v>
      </c>
      <c r="F192" s="3179" t="s">
        <v>4795</v>
      </c>
      <c r="G192" s="3171">
        <v>-1273</v>
      </c>
      <c r="H192" s="3174">
        <v>37.39</v>
      </c>
      <c r="I192" s="3175">
        <v>600000.32120000001</v>
      </c>
      <c r="J192" s="3176" t="s">
        <v>3453</v>
      </c>
      <c r="K192" s="3163"/>
      <c r="M192" s="3163"/>
    </row>
    <row r="193" spans="1:13" ht="16.5">
      <c r="A193" s="3170">
        <v>191</v>
      </c>
      <c r="B193" s="3171" t="s">
        <v>4792</v>
      </c>
      <c r="C193" s="3172" t="s">
        <v>4792</v>
      </c>
      <c r="D193" s="3173" t="s">
        <v>5174</v>
      </c>
      <c r="E193" s="3172" t="s">
        <v>5175</v>
      </c>
      <c r="F193" s="3179" t="s">
        <v>4795</v>
      </c>
      <c r="G193" s="3171">
        <v>-1274</v>
      </c>
      <c r="H193" s="3174">
        <v>37.39</v>
      </c>
      <c r="I193" s="3175">
        <v>600000.32120000001</v>
      </c>
      <c r="J193" s="3176" t="s">
        <v>3453</v>
      </c>
      <c r="K193" s="3163"/>
      <c r="M193" s="3163"/>
    </row>
    <row r="194" spans="1:13" ht="16.5">
      <c r="A194" s="3170">
        <v>192</v>
      </c>
      <c r="B194" s="3171" t="s">
        <v>4792</v>
      </c>
      <c r="C194" s="3172" t="s">
        <v>4792</v>
      </c>
      <c r="D194" s="3173" t="s">
        <v>5176</v>
      </c>
      <c r="E194" s="3172" t="s">
        <v>5177</v>
      </c>
      <c r="F194" s="3179" t="s">
        <v>4795</v>
      </c>
      <c r="G194" s="3171">
        <v>-1277</v>
      </c>
      <c r="H194" s="3174">
        <v>37.39</v>
      </c>
      <c r="I194" s="3175">
        <v>600000.32120000001</v>
      </c>
      <c r="J194" s="3176" t="s">
        <v>3453</v>
      </c>
      <c r="K194" s="3163"/>
      <c r="M194" s="3163"/>
    </row>
    <row r="195" spans="1:13" ht="16.5">
      <c r="A195" s="3170">
        <v>193</v>
      </c>
      <c r="B195" s="3171" t="s">
        <v>4792</v>
      </c>
      <c r="C195" s="3172" t="s">
        <v>4792</v>
      </c>
      <c r="D195" s="3173" t="s">
        <v>5178</v>
      </c>
      <c r="E195" s="3172" t="s">
        <v>5179</v>
      </c>
      <c r="F195" s="3179" t="s">
        <v>4795</v>
      </c>
      <c r="G195" s="3171">
        <v>-1278</v>
      </c>
      <c r="H195" s="3174">
        <v>37.39</v>
      </c>
      <c r="I195" s="3175">
        <v>600000.32120000001</v>
      </c>
      <c r="J195" s="3176" t="s">
        <v>3453</v>
      </c>
      <c r="K195" s="3163"/>
      <c r="M195" s="3163"/>
    </row>
    <row r="196" spans="1:13" ht="16.5">
      <c r="A196" s="3170">
        <v>194</v>
      </c>
      <c r="B196" s="3171" t="s">
        <v>4792</v>
      </c>
      <c r="C196" s="3172" t="s">
        <v>4792</v>
      </c>
      <c r="D196" s="3173" t="s">
        <v>5180</v>
      </c>
      <c r="E196" s="3172" t="s">
        <v>5181</v>
      </c>
      <c r="F196" s="3179" t="s">
        <v>4795</v>
      </c>
      <c r="G196" s="3171">
        <v>-1279</v>
      </c>
      <c r="H196" s="3174">
        <v>37.39</v>
      </c>
      <c r="I196" s="3175">
        <v>600000.32120000001</v>
      </c>
      <c r="J196" s="3176" t="s">
        <v>3453</v>
      </c>
      <c r="K196" s="3163"/>
      <c r="M196" s="3163"/>
    </row>
    <row r="197" spans="1:13" ht="16.5">
      <c r="A197" s="3170">
        <v>195</v>
      </c>
      <c r="B197" s="3171" t="s">
        <v>4792</v>
      </c>
      <c r="C197" s="3172" t="s">
        <v>4792</v>
      </c>
      <c r="D197" s="3173" t="s">
        <v>5182</v>
      </c>
      <c r="E197" s="3172" t="s">
        <v>5183</v>
      </c>
      <c r="F197" s="3179" t="s">
        <v>4795</v>
      </c>
      <c r="G197" s="3171">
        <v>-1281</v>
      </c>
      <c r="H197" s="3174">
        <v>37.39</v>
      </c>
      <c r="I197" s="3175">
        <v>600000.32120000001</v>
      </c>
      <c r="J197" s="3176" t="s">
        <v>3453</v>
      </c>
      <c r="K197" s="3163"/>
      <c r="M197" s="3163"/>
    </row>
    <row r="198" spans="1:13" ht="16.5">
      <c r="A198" s="3170">
        <v>196</v>
      </c>
      <c r="B198" s="3171" t="s">
        <v>4792</v>
      </c>
      <c r="C198" s="3172" t="s">
        <v>4792</v>
      </c>
      <c r="D198" s="3173" t="s">
        <v>5184</v>
      </c>
      <c r="E198" s="3172" t="s">
        <v>5185</v>
      </c>
      <c r="F198" s="3179" t="s">
        <v>4795</v>
      </c>
      <c r="G198" s="3171">
        <v>-1283</v>
      </c>
      <c r="H198" s="3174">
        <v>37.39</v>
      </c>
      <c r="I198" s="3175">
        <v>600000.32120000001</v>
      </c>
      <c r="J198" s="3176" t="s">
        <v>3453</v>
      </c>
      <c r="K198" s="3163"/>
      <c r="M198" s="3163"/>
    </row>
    <row r="199" spans="1:13" ht="16.5">
      <c r="A199" s="3170">
        <v>197</v>
      </c>
      <c r="B199" s="3171" t="s">
        <v>4792</v>
      </c>
      <c r="C199" s="3172" t="s">
        <v>4792</v>
      </c>
      <c r="D199" s="3173" t="s">
        <v>5186</v>
      </c>
      <c r="E199" s="3172" t="s">
        <v>5187</v>
      </c>
      <c r="F199" s="3179" t="s">
        <v>4795</v>
      </c>
      <c r="G199" s="3171">
        <v>-1284</v>
      </c>
      <c r="H199" s="3174">
        <v>37.39</v>
      </c>
      <c r="I199" s="3175">
        <v>600000.32120000001</v>
      </c>
      <c r="J199" s="3176" t="s">
        <v>3453</v>
      </c>
      <c r="K199" s="3163"/>
      <c r="M199" s="3163"/>
    </row>
    <row r="200" spans="1:13" ht="16.5">
      <c r="A200" s="3170">
        <v>198</v>
      </c>
      <c r="B200" s="3171" t="s">
        <v>4792</v>
      </c>
      <c r="C200" s="3172" t="s">
        <v>4792</v>
      </c>
      <c r="D200" s="3173" t="s">
        <v>5188</v>
      </c>
      <c r="E200" s="3172" t="s">
        <v>5189</v>
      </c>
      <c r="F200" s="3179" t="s">
        <v>4795</v>
      </c>
      <c r="G200" s="3171">
        <v>-1287</v>
      </c>
      <c r="H200" s="3174">
        <v>37.39</v>
      </c>
      <c r="I200" s="3175">
        <v>600000.32120000001</v>
      </c>
      <c r="J200" s="3176" t="s">
        <v>3453</v>
      </c>
      <c r="K200" s="3163"/>
      <c r="M200" s="3163"/>
    </row>
    <row r="201" spans="1:13" ht="16.5">
      <c r="A201" s="3170">
        <v>199</v>
      </c>
      <c r="B201" s="3171" t="s">
        <v>4792</v>
      </c>
      <c r="C201" s="3172" t="s">
        <v>4792</v>
      </c>
      <c r="D201" s="3173" t="s">
        <v>5190</v>
      </c>
      <c r="E201" s="3172" t="s">
        <v>5191</v>
      </c>
      <c r="F201" s="3179" t="s">
        <v>4795</v>
      </c>
      <c r="G201" s="3171">
        <v>-1288</v>
      </c>
      <c r="H201" s="3174">
        <v>37.39</v>
      </c>
      <c r="I201" s="3175">
        <v>600000.32120000001</v>
      </c>
      <c r="J201" s="3176" t="s">
        <v>3453</v>
      </c>
      <c r="K201" s="3163"/>
      <c r="M201" s="3163"/>
    </row>
    <row r="202" spans="1:13" ht="16.5">
      <c r="A202" s="3170">
        <v>200</v>
      </c>
      <c r="B202" s="3171" t="s">
        <v>4792</v>
      </c>
      <c r="C202" s="3172" t="s">
        <v>4792</v>
      </c>
      <c r="D202" s="3173" t="s">
        <v>5192</v>
      </c>
      <c r="E202" s="3172" t="s">
        <v>5193</v>
      </c>
      <c r="F202" s="3179" t="s">
        <v>4795</v>
      </c>
      <c r="G202" s="3171">
        <v>-1293</v>
      </c>
      <c r="H202" s="3174">
        <v>37.39</v>
      </c>
      <c r="I202" s="3175">
        <v>600000.32120000001</v>
      </c>
      <c r="J202" s="3176" t="s">
        <v>3453</v>
      </c>
      <c r="K202" s="3163"/>
      <c r="M202" s="3163"/>
    </row>
    <row r="203" spans="1:13" ht="16.5">
      <c r="A203" s="3170">
        <v>201</v>
      </c>
      <c r="B203" s="3171" t="s">
        <v>4792</v>
      </c>
      <c r="C203" s="3172" t="s">
        <v>4792</v>
      </c>
      <c r="D203" s="3173" t="s">
        <v>5194</v>
      </c>
      <c r="E203" s="3172" t="s">
        <v>5195</v>
      </c>
      <c r="F203" s="3179" t="s">
        <v>4795</v>
      </c>
      <c r="G203" s="3171">
        <v>-1294</v>
      </c>
      <c r="H203" s="3174">
        <v>37.39</v>
      </c>
      <c r="I203" s="3175">
        <v>600000.32120000001</v>
      </c>
      <c r="J203" s="3176" t="s">
        <v>3453</v>
      </c>
      <c r="K203" s="3163"/>
      <c r="M203" s="3163"/>
    </row>
    <row r="204" spans="1:13" ht="16.5">
      <c r="A204" s="3170">
        <v>202</v>
      </c>
      <c r="B204" s="3171" t="s">
        <v>4792</v>
      </c>
      <c r="C204" s="3172" t="s">
        <v>4792</v>
      </c>
      <c r="D204" s="3173" t="s">
        <v>5196</v>
      </c>
      <c r="E204" s="3172" t="s">
        <v>5197</v>
      </c>
      <c r="F204" s="3179" t="s">
        <v>4795</v>
      </c>
      <c r="G204" s="3171">
        <v>-1295</v>
      </c>
      <c r="H204" s="3174">
        <v>37.39</v>
      </c>
      <c r="I204" s="3175">
        <v>600000.32120000001</v>
      </c>
      <c r="J204" s="3176" t="s">
        <v>3453</v>
      </c>
      <c r="K204" s="3163"/>
      <c r="M204" s="3163"/>
    </row>
    <row r="205" spans="1:13" ht="16.5">
      <c r="A205" s="3170">
        <v>203</v>
      </c>
      <c r="B205" s="3171" t="s">
        <v>4792</v>
      </c>
      <c r="C205" s="3172" t="s">
        <v>4792</v>
      </c>
      <c r="D205" s="3173" t="s">
        <v>5198</v>
      </c>
      <c r="E205" s="3172" t="s">
        <v>5199</v>
      </c>
      <c r="F205" s="3179" t="s">
        <v>4795</v>
      </c>
      <c r="G205" s="3171">
        <v>-1296</v>
      </c>
      <c r="H205" s="3174">
        <v>37.39</v>
      </c>
      <c r="I205" s="3175">
        <v>600000.32120000001</v>
      </c>
      <c r="J205" s="3176" t="s">
        <v>3453</v>
      </c>
      <c r="K205" s="3163"/>
      <c r="M205" s="3163"/>
    </row>
    <row r="206" spans="1:13" ht="16.5">
      <c r="A206" s="3170">
        <v>204</v>
      </c>
      <c r="B206" s="3171" t="s">
        <v>4792</v>
      </c>
      <c r="C206" s="3172" t="s">
        <v>4792</v>
      </c>
      <c r="D206" s="3173" t="s">
        <v>5200</v>
      </c>
      <c r="E206" s="3172" t="s">
        <v>5201</v>
      </c>
      <c r="F206" s="3179" t="s">
        <v>4795</v>
      </c>
      <c r="G206" s="3171">
        <v>-1297</v>
      </c>
      <c r="H206" s="3174">
        <v>37.39</v>
      </c>
      <c r="I206" s="3175">
        <v>600000.32120000001</v>
      </c>
      <c r="J206" s="3176" t="s">
        <v>3453</v>
      </c>
      <c r="K206" s="3163"/>
      <c r="M206" s="3163"/>
    </row>
    <row r="207" spans="1:13" ht="16.5">
      <c r="A207" s="3170">
        <v>205</v>
      </c>
      <c r="B207" s="3171" t="s">
        <v>4792</v>
      </c>
      <c r="C207" s="3172" t="s">
        <v>4792</v>
      </c>
      <c r="D207" s="3173" t="s">
        <v>5202</v>
      </c>
      <c r="E207" s="3172" t="s">
        <v>5203</v>
      </c>
      <c r="F207" s="3179" t="s">
        <v>4795</v>
      </c>
      <c r="G207" s="3171">
        <v>-1298</v>
      </c>
      <c r="H207" s="3174">
        <v>37.39</v>
      </c>
      <c r="I207" s="3175">
        <v>600000.32120000001</v>
      </c>
      <c r="J207" s="3176" t="s">
        <v>3453</v>
      </c>
      <c r="K207" s="3163"/>
      <c r="M207" s="3163"/>
    </row>
    <row r="208" spans="1:13" ht="16.5">
      <c r="A208" s="3170">
        <v>206</v>
      </c>
      <c r="B208" s="3171" t="s">
        <v>4792</v>
      </c>
      <c r="C208" s="3172" t="s">
        <v>4792</v>
      </c>
      <c r="D208" s="3173" t="s">
        <v>5204</v>
      </c>
      <c r="E208" s="3172" t="s">
        <v>5205</v>
      </c>
      <c r="F208" s="3179" t="s">
        <v>4795</v>
      </c>
      <c r="G208" s="3171">
        <v>-1299</v>
      </c>
      <c r="H208" s="3174">
        <v>37.39</v>
      </c>
      <c r="I208" s="3175">
        <v>600000.32120000001</v>
      </c>
      <c r="J208" s="3176" t="s">
        <v>3453</v>
      </c>
      <c r="K208" s="3163"/>
      <c r="M208" s="3163"/>
    </row>
    <row r="209" spans="1:13" ht="16.5">
      <c r="A209" s="3170">
        <v>207</v>
      </c>
      <c r="B209" s="3171" t="s">
        <v>4792</v>
      </c>
      <c r="C209" s="3172" t="s">
        <v>4792</v>
      </c>
      <c r="D209" s="3173" t="s">
        <v>5206</v>
      </c>
      <c r="E209" s="3172" t="s">
        <v>5207</v>
      </c>
      <c r="F209" s="3179" t="s">
        <v>4795</v>
      </c>
      <c r="G209" s="3171">
        <v>-1300</v>
      </c>
      <c r="H209" s="3174">
        <v>37.39</v>
      </c>
      <c r="I209" s="3175">
        <v>600000.32120000001</v>
      </c>
      <c r="J209" s="3176" t="s">
        <v>3453</v>
      </c>
      <c r="K209" s="3163"/>
      <c r="M209" s="3163"/>
    </row>
    <row r="210" spans="1:13" ht="16.5">
      <c r="A210" s="3170">
        <v>208</v>
      </c>
      <c r="B210" s="3171" t="s">
        <v>4792</v>
      </c>
      <c r="C210" s="3172" t="s">
        <v>4792</v>
      </c>
      <c r="D210" s="3173" t="s">
        <v>5208</v>
      </c>
      <c r="E210" s="3172" t="s">
        <v>5209</v>
      </c>
      <c r="F210" s="3179" t="s">
        <v>4795</v>
      </c>
      <c r="G210" s="3171">
        <v>-1301</v>
      </c>
      <c r="H210" s="3174">
        <v>37.39</v>
      </c>
      <c r="I210" s="3175">
        <v>600000.32120000001</v>
      </c>
      <c r="J210" s="3176" t="s">
        <v>3453</v>
      </c>
      <c r="K210" s="3163"/>
      <c r="M210" s="3163"/>
    </row>
    <row r="211" spans="1:13" ht="16.5">
      <c r="A211" s="3170">
        <v>209</v>
      </c>
      <c r="B211" s="3171" t="s">
        <v>4792</v>
      </c>
      <c r="C211" s="3172" t="s">
        <v>4792</v>
      </c>
      <c r="D211" s="3173" t="s">
        <v>5210</v>
      </c>
      <c r="E211" s="3172" t="s">
        <v>5211</v>
      </c>
      <c r="F211" s="3179" t="s">
        <v>4795</v>
      </c>
      <c r="G211" s="3171">
        <v>-1302</v>
      </c>
      <c r="H211" s="3174">
        <v>37.39</v>
      </c>
      <c r="I211" s="3175">
        <v>600000.32120000001</v>
      </c>
      <c r="J211" s="3176" t="s">
        <v>3453</v>
      </c>
      <c r="K211" s="3163"/>
      <c r="M211" s="3163"/>
    </row>
    <row r="212" spans="1:13" ht="16.5">
      <c r="A212" s="3170">
        <v>210</v>
      </c>
      <c r="B212" s="3171" t="s">
        <v>4792</v>
      </c>
      <c r="C212" s="3172" t="s">
        <v>4792</v>
      </c>
      <c r="D212" s="3173" t="s">
        <v>5212</v>
      </c>
      <c r="E212" s="3172" t="s">
        <v>5213</v>
      </c>
      <c r="F212" s="3179" t="s">
        <v>4795</v>
      </c>
      <c r="G212" s="3171">
        <v>-1303</v>
      </c>
      <c r="H212" s="3174">
        <v>37.39</v>
      </c>
      <c r="I212" s="3175">
        <v>600000.32120000001</v>
      </c>
      <c r="J212" s="3176" t="s">
        <v>3453</v>
      </c>
      <c r="K212" s="3163"/>
      <c r="M212" s="3163"/>
    </row>
    <row r="213" spans="1:13" ht="16.5">
      <c r="A213" s="3170">
        <v>211</v>
      </c>
      <c r="B213" s="3171" t="s">
        <v>4792</v>
      </c>
      <c r="C213" s="3172" t="s">
        <v>4792</v>
      </c>
      <c r="D213" s="3173" t="s">
        <v>5214</v>
      </c>
      <c r="E213" s="3172" t="s">
        <v>5215</v>
      </c>
      <c r="F213" s="3179" t="s">
        <v>4795</v>
      </c>
      <c r="G213" s="3171">
        <v>-1304</v>
      </c>
      <c r="H213" s="3174">
        <v>55.34</v>
      </c>
      <c r="I213" s="3175">
        <v>600000.15379999997</v>
      </c>
      <c r="J213" s="3176" t="s">
        <v>3453</v>
      </c>
      <c r="K213" s="3163"/>
      <c r="M213" s="3163"/>
    </row>
    <row r="214" spans="1:13" ht="16.5">
      <c r="A214" s="3170">
        <v>212</v>
      </c>
      <c r="B214" s="3171" t="s">
        <v>4792</v>
      </c>
      <c r="C214" s="3172" t="s">
        <v>4792</v>
      </c>
      <c r="D214" s="3173" t="s">
        <v>5216</v>
      </c>
      <c r="E214" s="3172" t="s">
        <v>5217</v>
      </c>
      <c r="F214" s="3179" t="s">
        <v>4795</v>
      </c>
      <c r="G214" s="3171">
        <v>-1305</v>
      </c>
      <c r="H214" s="3174">
        <v>37.39</v>
      </c>
      <c r="I214" s="3175">
        <v>600000.32120000001</v>
      </c>
      <c r="J214" s="3176" t="s">
        <v>3453</v>
      </c>
      <c r="K214" s="3163"/>
      <c r="M214" s="3163"/>
    </row>
    <row r="215" spans="1:13" ht="16.5">
      <c r="A215" s="3170">
        <v>213</v>
      </c>
      <c r="B215" s="3171" t="s">
        <v>4792</v>
      </c>
      <c r="C215" s="3172" t="s">
        <v>4792</v>
      </c>
      <c r="D215" s="3173" t="s">
        <v>5218</v>
      </c>
      <c r="E215" s="3172" t="s">
        <v>5219</v>
      </c>
      <c r="F215" s="3179" t="s">
        <v>4795</v>
      </c>
      <c r="G215" s="3171">
        <v>-1306</v>
      </c>
      <c r="H215" s="3174">
        <v>37.39</v>
      </c>
      <c r="I215" s="3175">
        <v>600000.32120000001</v>
      </c>
      <c r="J215" s="3176" t="s">
        <v>3453</v>
      </c>
      <c r="K215" s="3163"/>
      <c r="M215" s="3163"/>
    </row>
    <row r="216" spans="1:13" ht="16.5">
      <c r="A216" s="3170">
        <v>214</v>
      </c>
      <c r="B216" s="3171" t="s">
        <v>4792</v>
      </c>
      <c r="C216" s="3172" t="s">
        <v>4792</v>
      </c>
      <c r="D216" s="3173" t="s">
        <v>5220</v>
      </c>
      <c r="E216" s="3172" t="s">
        <v>5221</v>
      </c>
      <c r="F216" s="3179" t="s">
        <v>4795</v>
      </c>
      <c r="G216" s="3171">
        <v>-1309</v>
      </c>
      <c r="H216" s="3174">
        <v>37.39</v>
      </c>
      <c r="I216" s="3175">
        <v>600000.32120000001</v>
      </c>
      <c r="J216" s="3176" t="s">
        <v>3453</v>
      </c>
      <c r="K216" s="3163"/>
      <c r="M216" s="3163"/>
    </row>
    <row r="217" spans="1:13" ht="16.5">
      <c r="A217" s="3170">
        <v>215</v>
      </c>
      <c r="B217" s="3171" t="s">
        <v>4792</v>
      </c>
      <c r="C217" s="3172" t="s">
        <v>4792</v>
      </c>
      <c r="D217" s="3173" t="s">
        <v>5222</v>
      </c>
      <c r="E217" s="3172" t="s">
        <v>5223</v>
      </c>
      <c r="F217" s="3179" t="s">
        <v>4795</v>
      </c>
      <c r="G217" s="3171">
        <v>-1310</v>
      </c>
      <c r="H217" s="3174">
        <v>37.39</v>
      </c>
      <c r="I217" s="3175">
        <v>600000.32120000001</v>
      </c>
      <c r="J217" s="3176" t="s">
        <v>3453</v>
      </c>
      <c r="K217" s="3163"/>
      <c r="M217" s="3163"/>
    </row>
    <row r="218" spans="1:13" ht="16.5">
      <c r="A218" s="3170">
        <v>216</v>
      </c>
      <c r="B218" s="3171" t="s">
        <v>4792</v>
      </c>
      <c r="C218" s="3172" t="s">
        <v>4792</v>
      </c>
      <c r="D218" s="3173" t="s">
        <v>5224</v>
      </c>
      <c r="E218" s="3172" t="s">
        <v>5225</v>
      </c>
      <c r="F218" s="3179" t="s">
        <v>4795</v>
      </c>
      <c r="G218" s="3171">
        <v>-1311</v>
      </c>
      <c r="H218" s="3174">
        <v>37.39</v>
      </c>
      <c r="I218" s="3175">
        <v>600000.32120000001</v>
      </c>
      <c r="J218" s="3176" t="s">
        <v>3453</v>
      </c>
      <c r="K218" s="3163"/>
      <c r="M218" s="3163"/>
    </row>
    <row r="219" spans="1:13" ht="16.5">
      <c r="A219" s="3170">
        <v>217</v>
      </c>
      <c r="B219" s="3171" t="s">
        <v>4792</v>
      </c>
      <c r="C219" s="3172" t="s">
        <v>4792</v>
      </c>
      <c r="D219" s="3173" t="s">
        <v>5226</v>
      </c>
      <c r="E219" s="3172" t="s">
        <v>5227</v>
      </c>
      <c r="F219" s="3179" t="s">
        <v>4795</v>
      </c>
      <c r="G219" s="3171">
        <v>-1312</v>
      </c>
      <c r="H219" s="3174">
        <v>37.39</v>
      </c>
      <c r="I219" s="3175">
        <v>600000.32120000001</v>
      </c>
      <c r="J219" s="3176" t="s">
        <v>3453</v>
      </c>
      <c r="K219" s="3163"/>
      <c r="M219" s="3163"/>
    </row>
    <row r="220" spans="1:13" ht="16.5">
      <c r="A220" s="3170">
        <v>218</v>
      </c>
      <c r="B220" s="3171" t="s">
        <v>4792</v>
      </c>
      <c r="C220" s="3172" t="s">
        <v>4792</v>
      </c>
      <c r="D220" s="3173" t="s">
        <v>5228</v>
      </c>
      <c r="E220" s="3172" t="s">
        <v>5229</v>
      </c>
      <c r="F220" s="3179" t="s">
        <v>4795</v>
      </c>
      <c r="G220" s="3171">
        <v>-1313</v>
      </c>
      <c r="H220" s="3174">
        <v>37.39</v>
      </c>
      <c r="I220" s="3175">
        <v>600000.32120000001</v>
      </c>
      <c r="J220" s="3176" t="s">
        <v>3453</v>
      </c>
      <c r="K220" s="3163"/>
      <c r="M220" s="3163"/>
    </row>
    <row r="221" spans="1:13" ht="16.5">
      <c r="A221" s="3170">
        <v>219</v>
      </c>
      <c r="B221" s="3171" t="s">
        <v>4792</v>
      </c>
      <c r="C221" s="3172" t="s">
        <v>4792</v>
      </c>
      <c r="D221" s="3173" t="s">
        <v>5230</v>
      </c>
      <c r="E221" s="3172" t="s">
        <v>5231</v>
      </c>
      <c r="F221" s="3179" t="s">
        <v>4795</v>
      </c>
      <c r="G221" s="3171">
        <v>-1315</v>
      </c>
      <c r="H221" s="3174">
        <v>37.39</v>
      </c>
      <c r="I221" s="3175">
        <v>600000.32120000001</v>
      </c>
      <c r="J221" s="3176" t="s">
        <v>3453</v>
      </c>
      <c r="K221" s="3163"/>
      <c r="M221" s="3163"/>
    </row>
    <row r="222" spans="1:13" ht="16.5">
      <c r="A222" s="3170">
        <v>220</v>
      </c>
      <c r="B222" s="3171" t="s">
        <v>4792</v>
      </c>
      <c r="C222" s="3172" t="s">
        <v>4792</v>
      </c>
      <c r="D222" s="3173" t="s">
        <v>5232</v>
      </c>
      <c r="E222" s="3172" t="s">
        <v>5233</v>
      </c>
      <c r="F222" s="3179" t="s">
        <v>4795</v>
      </c>
      <c r="G222" s="3171">
        <v>-1316</v>
      </c>
      <c r="H222" s="3174">
        <v>37.39</v>
      </c>
      <c r="I222" s="3175">
        <v>600000.32120000001</v>
      </c>
      <c r="J222" s="3176" t="s">
        <v>3453</v>
      </c>
      <c r="K222" s="3163"/>
      <c r="M222" s="3163"/>
    </row>
    <row r="223" spans="1:13" ht="16.5">
      <c r="A223" s="3170">
        <v>221</v>
      </c>
      <c r="B223" s="3171" t="s">
        <v>4792</v>
      </c>
      <c r="C223" s="3172" t="s">
        <v>4792</v>
      </c>
      <c r="D223" s="3173" t="s">
        <v>5234</v>
      </c>
      <c r="E223" s="3172" t="s">
        <v>5235</v>
      </c>
      <c r="F223" s="3179" t="s">
        <v>4795</v>
      </c>
      <c r="G223" s="3171">
        <v>-1317</v>
      </c>
      <c r="H223" s="3174">
        <v>37.39</v>
      </c>
      <c r="I223" s="3175">
        <v>600000.32120000001</v>
      </c>
      <c r="J223" s="3176" t="s">
        <v>3453</v>
      </c>
      <c r="K223" s="3163"/>
      <c r="M223" s="3163"/>
    </row>
    <row r="224" spans="1:13" ht="16.5">
      <c r="A224" s="3170">
        <v>222</v>
      </c>
      <c r="B224" s="3171" t="s">
        <v>4792</v>
      </c>
      <c r="C224" s="3172" t="s">
        <v>4792</v>
      </c>
      <c r="D224" s="3173" t="s">
        <v>5236</v>
      </c>
      <c r="E224" s="3172" t="s">
        <v>5237</v>
      </c>
      <c r="F224" s="3179" t="s">
        <v>4795</v>
      </c>
      <c r="G224" s="3171">
        <v>-1318</v>
      </c>
      <c r="H224" s="3174">
        <v>37.39</v>
      </c>
      <c r="I224" s="3175">
        <v>600000.32120000001</v>
      </c>
      <c r="J224" s="3176" t="s">
        <v>3453</v>
      </c>
      <c r="K224" s="3163"/>
      <c r="M224" s="3163"/>
    </row>
    <row r="225" spans="1:13" ht="16.5">
      <c r="A225" s="3170">
        <v>223</v>
      </c>
      <c r="B225" s="3171" t="s">
        <v>4792</v>
      </c>
      <c r="C225" s="3172" t="s">
        <v>4792</v>
      </c>
      <c r="D225" s="3173" t="s">
        <v>5238</v>
      </c>
      <c r="E225" s="3172" t="s">
        <v>5239</v>
      </c>
      <c r="F225" s="3179" t="s">
        <v>4795</v>
      </c>
      <c r="G225" s="3171">
        <v>-1319</v>
      </c>
      <c r="H225" s="3174">
        <v>37.39</v>
      </c>
      <c r="I225" s="3175">
        <v>600000.32120000001</v>
      </c>
      <c r="J225" s="3176" t="s">
        <v>3453</v>
      </c>
      <c r="K225" s="3163"/>
      <c r="M225" s="3163"/>
    </row>
    <row r="226" spans="1:13" ht="16.5">
      <c r="A226" s="3170">
        <v>224</v>
      </c>
      <c r="B226" s="3171" t="s">
        <v>4792</v>
      </c>
      <c r="C226" s="3172" t="s">
        <v>4792</v>
      </c>
      <c r="D226" s="3173" t="s">
        <v>5240</v>
      </c>
      <c r="E226" s="3172" t="s">
        <v>5241</v>
      </c>
      <c r="F226" s="3179" t="s">
        <v>4795</v>
      </c>
      <c r="G226" s="3171">
        <v>-1320</v>
      </c>
      <c r="H226" s="3174">
        <v>37.39</v>
      </c>
      <c r="I226" s="3175">
        <v>600000.32120000001</v>
      </c>
      <c r="J226" s="3176" t="s">
        <v>3453</v>
      </c>
      <c r="K226" s="3163"/>
      <c r="M226" s="3163"/>
    </row>
    <row r="227" spans="1:13" ht="16.5">
      <c r="A227" s="3170">
        <v>225</v>
      </c>
      <c r="B227" s="3171" t="s">
        <v>4792</v>
      </c>
      <c r="C227" s="3172" t="s">
        <v>4792</v>
      </c>
      <c r="D227" s="3173" t="s">
        <v>5242</v>
      </c>
      <c r="E227" s="3172" t="s">
        <v>5243</v>
      </c>
      <c r="F227" s="3179" t="s">
        <v>4795</v>
      </c>
      <c r="G227" s="3171">
        <v>-1321</v>
      </c>
      <c r="H227" s="3174">
        <v>37.39</v>
      </c>
      <c r="I227" s="3175">
        <v>600000.32120000001</v>
      </c>
      <c r="J227" s="3176" t="s">
        <v>3453</v>
      </c>
      <c r="K227" s="3163"/>
      <c r="M227" s="3163"/>
    </row>
    <row r="228" spans="1:13" ht="16.5">
      <c r="A228" s="3170">
        <v>226</v>
      </c>
      <c r="B228" s="3171" t="s">
        <v>4792</v>
      </c>
      <c r="C228" s="3172" t="s">
        <v>4792</v>
      </c>
      <c r="D228" s="3173" t="s">
        <v>5244</v>
      </c>
      <c r="E228" s="3172" t="s">
        <v>5245</v>
      </c>
      <c r="F228" s="3179" t="s">
        <v>4795</v>
      </c>
      <c r="G228" s="3171">
        <v>-1322</v>
      </c>
      <c r="H228" s="3174">
        <v>37.39</v>
      </c>
      <c r="I228" s="3175">
        <v>600000.32120000001</v>
      </c>
      <c r="J228" s="3176" t="s">
        <v>3453</v>
      </c>
      <c r="K228" s="3163"/>
      <c r="M228" s="3163"/>
    </row>
    <row r="229" spans="1:13" ht="16.5">
      <c r="A229" s="3170">
        <v>227</v>
      </c>
      <c r="B229" s="3171" t="s">
        <v>4792</v>
      </c>
      <c r="C229" s="3172" t="s">
        <v>4792</v>
      </c>
      <c r="D229" s="3173" t="s">
        <v>5246</v>
      </c>
      <c r="E229" s="3172" t="s">
        <v>5247</v>
      </c>
      <c r="F229" s="3179" t="s">
        <v>4795</v>
      </c>
      <c r="G229" s="3171">
        <v>-1323</v>
      </c>
      <c r="H229" s="3174">
        <v>37.39</v>
      </c>
      <c r="I229" s="3175">
        <v>600000.32120000001</v>
      </c>
      <c r="J229" s="3176" t="s">
        <v>3453</v>
      </c>
      <c r="K229" s="3163"/>
      <c r="M229" s="3163"/>
    </row>
    <row r="230" spans="1:13" ht="16.5">
      <c r="A230" s="3170">
        <v>228</v>
      </c>
      <c r="B230" s="3171" t="s">
        <v>4792</v>
      </c>
      <c r="C230" s="3172" t="s">
        <v>4792</v>
      </c>
      <c r="D230" s="3173" t="s">
        <v>5248</v>
      </c>
      <c r="E230" s="3172" t="s">
        <v>5249</v>
      </c>
      <c r="F230" s="3179" t="s">
        <v>4795</v>
      </c>
      <c r="G230" s="3171">
        <v>-1324</v>
      </c>
      <c r="H230" s="3174">
        <v>37.39</v>
      </c>
      <c r="I230" s="3175">
        <v>600000.32120000001</v>
      </c>
      <c r="J230" s="3176" t="s">
        <v>3453</v>
      </c>
      <c r="K230" s="3163"/>
      <c r="M230" s="3163"/>
    </row>
    <row r="231" spans="1:13" ht="16.5">
      <c r="A231" s="3170">
        <v>229</v>
      </c>
      <c r="B231" s="3171" t="s">
        <v>4792</v>
      </c>
      <c r="C231" s="3172" t="s">
        <v>4792</v>
      </c>
      <c r="D231" s="3173" t="s">
        <v>5250</v>
      </c>
      <c r="E231" s="3172" t="s">
        <v>5251</v>
      </c>
      <c r="F231" s="3179" t="s">
        <v>4795</v>
      </c>
      <c r="G231" s="3171">
        <v>-1325</v>
      </c>
      <c r="H231" s="3174">
        <v>37.39</v>
      </c>
      <c r="I231" s="3175">
        <v>600000.32120000001</v>
      </c>
      <c r="J231" s="3176" t="s">
        <v>3453</v>
      </c>
      <c r="K231" s="3163"/>
      <c r="M231" s="3163"/>
    </row>
    <row r="232" spans="1:13" ht="16.5">
      <c r="A232" s="3170">
        <v>230</v>
      </c>
      <c r="B232" s="3171" t="s">
        <v>4792</v>
      </c>
      <c r="C232" s="3172" t="s">
        <v>4792</v>
      </c>
      <c r="D232" s="3173" t="s">
        <v>5252</v>
      </c>
      <c r="E232" s="3172" t="s">
        <v>5253</v>
      </c>
      <c r="F232" s="3179" t="s">
        <v>4795</v>
      </c>
      <c r="G232" s="3171">
        <v>-1326</v>
      </c>
      <c r="H232" s="3174">
        <v>37.39</v>
      </c>
      <c r="I232" s="3175">
        <v>600000.32120000001</v>
      </c>
      <c r="J232" s="3176" t="s">
        <v>3453</v>
      </c>
      <c r="K232" s="3163"/>
      <c r="M232" s="3163"/>
    </row>
    <row r="233" spans="1:13" ht="16.5">
      <c r="A233" s="3170">
        <v>231</v>
      </c>
      <c r="B233" s="3171" t="s">
        <v>4792</v>
      </c>
      <c r="C233" s="3172" t="s">
        <v>4792</v>
      </c>
      <c r="D233" s="3173" t="s">
        <v>5254</v>
      </c>
      <c r="E233" s="3172" t="s">
        <v>5255</v>
      </c>
      <c r="F233" s="3179" t="s">
        <v>4795</v>
      </c>
      <c r="G233" s="3171">
        <v>-1327</v>
      </c>
      <c r="H233" s="3174">
        <v>37.39</v>
      </c>
      <c r="I233" s="3175">
        <v>600000.32120000001</v>
      </c>
      <c r="J233" s="3176" t="s">
        <v>3453</v>
      </c>
      <c r="K233" s="3163"/>
      <c r="M233" s="3163"/>
    </row>
    <row r="234" spans="1:13" ht="16.5">
      <c r="A234" s="3170">
        <v>232</v>
      </c>
      <c r="B234" s="3171" t="s">
        <v>4792</v>
      </c>
      <c r="C234" s="3172" t="s">
        <v>4792</v>
      </c>
      <c r="D234" s="3173" t="s">
        <v>5256</v>
      </c>
      <c r="E234" s="3172" t="s">
        <v>5257</v>
      </c>
      <c r="F234" s="3179" t="s">
        <v>4795</v>
      </c>
      <c r="G234" s="3171">
        <v>-1329</v>
      </c>
      <c r="H234" s="3174">
        <v>37.39</v>
      </c>
      <c r="I234" s="3175">
        <v>600000.32120000001</v>
      </c>
      <c r="J234" s="3176" t="s">
        <v>3453</v>
      </c>
      <c r="K234" s="3163"/>
      <c r="M234" s="3163"/>
    </row>
    <row r="235" spans="1:13" ht="16.5">
      <c r="A235" s="3170">
        <v>233</v>
      </c>
      <c r="B235" s="3171" t="s">
        <v>4792</v>
      </c>
      <c r="C235" s="3172" t="s">
        <v>4792</v>
      </c>
      <c r="D235" s="3173" t="s">
        <v>5258</v>
      </c>
      <c r="E235" s="3172" t="s">
        <v>5259</v>
      </c>
      <c r="F235" s="3179" t="s">
        <v>4795</v>
      </c>
      <c r="G235" s="3171">
        <v>-1335</v>
      </c>
      <c r="H235" s="3174">
        <v>37.39</v>
      </c>
      <c r="I235" s="3175">
        <v>600000.32120000001</v>
      </c>
      <c r="J235" s="3176" t="s">
        <v>3453</v>
      </c>
      <c r="K235" s="3163"/>
      <c r="M235" s="3163"/>
    </row>
    <row r="236" spans="1:13" ht="16.5">
      <c r="A236" s="3170">
        <v>234</v>
      </c>
      <c r="B236" s="3171" t="s">
        <v>4792</v>
      </c>
      <c r="C236" s="3172" t="s">
        <v>4792</v>
      </c>
      <c r="D236" s="3173" t="s">
        <v>5260</v>
      </c>
      <c r="E236" s="3172" t="s">
        <v>5261</v>
      </c>
      <c r="F236" s="3179" t="s">
        <v>4795</v>
      </c>
      <c r="G236" s="3171">
        <v>-1336</v>
      </c>
      <c r="H236" s="3174">
        <v>37.39</v>
      </c>
      <c r="I236" s="3175">
        <v>600000.32120000001</v>
      </c>
      <c r="J236" s="3176" t="s">
        <v>3453</v>
      </c>
      <c r="K236" s="3163"/>
      <c r="M236" s="3163"/>
    </row>
    <row r="237" spans="1:13" ht="16.5">
      <c r="A237" s="3170">
        <v>235</v>
      </c>
      <c r="B237" s="3171" t="s">
        <v>4792</v>
      </c>
      <c r="C237" s="3172" t="s">
        <v>4792</v>
      </c>
      <c r="D237" s="3173" t="s">
        <v>5262</v>
      </c>
      <c r="E237" s="3172" t="s">
        <v>5263</v>
      </c>
      <c r="F237" s="3179" t="s">
        <v>4795</v>
      </c>
      <c r="G237" s="3171">
        <v>-1339</v>
      </c>
      <c r="H237" s="3174">
        <v>37.39</v>
      </c>
      <c r="I237" s="3175">
        <v>600000.32120000001</v>
      </c>
      <c r="J237" s="3176" t="s">
        <v>3453</v>
      </c>
      <c r="K237" s="3163"/>
      <c r="M237" s="3163"/>
    </row>
    <row r="238" spans="1:13" ht="16.5">
      <c r="A238" s="3170">
        <v>236</v>
      </c>
      <c r="B238" s="3171" t="s">
        <v>4792</v>
      </c>
      <c r="C238" s="3172" t="s">
        <v>4792</v>
      </c>
      <c r="D238" s="3173" t="s">
        <v>5264</v>
      </c>
      <c r="E238" s="3172" t="s">
        <v>5265</v>
      </c>
      <c r="F238" s="3179" t="s">
        <v>4795</v>
      </c>
      <c r="G238" s="3171">
        <v>-1340</v>
      </c>
      <c r="H238" s="3174">
        <v>37.39</v>
      </c>
      <c r="I238" s="3175">
        <v>600000.32120000001</v>
      </c>
      <c r="J238" s="3176" t="s">
        <v>3453</v>
      </c>
      <c r="K238" s="3163"/>
      <c r="M238" s="3163"/>
    </row>
    <row r="239" spans="1:13" ht="16.5">
      <c r="A239" s="3170">
        <v>237</v>
      </c>
      <c r="B239" s="3171" t="s">
        <v>4792</v>
      </c>
      <c r="C239" s="3172" t="s">
        <v>4792</v>
      </c>
      <c r="D239" s="3173" t="s">
        <v>5266</v>
      </c>
      <c r="E239" s="3172" t="s">
        <v>5267</v>
      </c>
      <c r="F239" s="3179" t="s">
        <v>4795</v>
      </c>
      <c r="G239" s="3171">
        <v>-1341</v>
      </c>
      <c r="H239" s="3174">
        <v>37.39</v>
      </c>
      <c r="I239" s="3175">
        <v>600000.32120000001</v>
      </c>
      <c r="J239" s="3176" t="s">
        <v>3453</v>
      </c>
      <c r="K239" s="3163"/>
      <c r="M239" s="3163"/>
    </row>
    <row r="240" spans="1:13" ht="16.5">
      <c r="A240" s="3170">
        <v>238</v>
      </c>
      <c r="B240" s="3171" t="s">
        <v>4792</v>
      </c>
      <c r="C240" s="3172" t="s">
        <v>4792</v>
      </c>
      <c r="D240" s="3173" t="s">
        <v>5268</v>
      </c>
      <c r="E240" s="3172" t="s">
        <v>5269</v>
      </c>
      <c r="F240" s="3179" t="s">
        <v>4795</v>
      </c>
      <c r="G240" s="3171">
        <v>-1342</v>
      </c>
      <c r="H240" s="3174">
        <v>37.39</v>
      </c>
      <c r="I240" s="3175">
        <v>600000.32120000001</v>
      </c>
      <c r="J240" s="3176" t="s">
        <v>3453</v>
      </c>
      <c r="K240" s="3163"/>
      <c r="M240" s="3163"/>
    </row>
    <row r="241" spans="1:13" ht="16.5">
      <c r="A241" s="3170">
        <v>239</v>
      </c>
      <c r="B241" s="3171" t="s">
        <v>4792</v>
      </c>
      <c r="C241" s="3172" t="s">
        <v>4792</v>
      </c>
      <c r="D241" s="3173" t="s">
        <v>5270</v>
      </c>
      <c r="E241" s="3172" t="s">
        <v>5271</v>
      </c>
      <c r="F241" s="3179" t="s">
        <v>4795</v>
      </c>
      <c r="G241" s="3171">
        <v>-1343</v>
      </c>
      <c r="H241" s="3174">
        <v>37.39</v>
      </c>
      <c r="I241" s="3175">
        <v>600000.32120000001</v>
      </c>
      <c r="J241" s="3176" t="s">
        <v>3453</v>
      </c>
      <c r="K241" s="3163"/>
      <c r="M241" s="3163"/>
    </row>
    <row r="242" spans="1:13" ht="16.5">
      <c r="A242" s="3170">
        <v>240</v>
      </c>
      <c r="B242" s="3171" t="s">
        <v>4792</v>
      </c>
      <c r="C242" s="3172" t="s">
        <v>4792</v>
      </c>
      <c r="D242" s="3173" t="s">
        <v>5272</v>
      </c>
      <c r="E242" s="3172" t="s">
        <v>5273</v>
      </c>
      <c r="F242" s="3179" t="s">
        <v>4795</v>
      </c>
      <c r="G242" s="3171">
        <v>-1344</v>
      </c>
      <c r="H242" s="3174">
        <v>37.39</v>
      </c>
      <c r="I242" s="3175">
        <v>600000.32120000001</v>
      </c>
      <c r="J242" s="3176" t="s">
        <v>3453</v>
      </c>
      <c r="K242" s="3163"/>
      <c r="M242" s="3163"/>
    </row>
    <row r="243" spans="1:13" ht="16.5">
      <c r="A243" s="3170">
        <v>241</v>
      </c>
      <c r="B243" s="3171" t="s">
        <v>4792</v>
      </c>
      <c r="C243" s="3172" t="s">
        <v>4792</v>
      </c>
      <c r="D243" s="3173" t="s">
        <v>5274</v>
      </c>
      <c r="E243" s="3172" t="s">
        <v>5275</v>
      </c>
      <c r="F243" s="3179" t="s">
        <v>4795</v>
      </c>
      <c r="G243" s="3171">
        <v>-1345</v>
      </c>
      <c r="H243" s="3174">
        <v>37.39</v>
      </c>
      <c r="I243" s="3175">
        <v>600000.32120000001</v>
      </c>
      <c r="J243" s="3176" t="s">
        <v>3453</v>
      </c>
      <c r="K243" s="3163"/>
      <c r="M243" s="3163"/>
    </row>
    <row r="244" spans="1:13" ht="16.5">
      <c r="A244" s="3170">
        <v>242</v>
      </c>
      <c r="B244" s="3171" t="s">
        <v>4792</v>
      </c>
      <c r="C244" s="3172" t="s">
        <v>4792</v>
      </c>
      <c r="D244" s="3173" t="s">
        <v>5276</v>
      </c>
      <c r="E244" s="3172" t="s">
        <v>5277</v>
      </c>
      <c r="F244" s="3179" t="s">
        <v>4795</v>
      </c>
      <c r="G244" s="3171">
        <v>-1346</v>
      </c>
      <c r="H244" s="3174">
        <v>37.39</v>
      </c>
      <c r="I244" s="3175">
        <v>600000.32120000001</v>
      </c>
      <c r="J244" s="3176" t="s">
        <v>3453</v>
      </c>
      <c r="K244" s="3163"/>
      <c r="M244" s="3163"/>
    </row>
    <row r="245" spans="1:13" ht="16.5">
      <c r="A245" s="3170">
        <v>243</v>
      </c>
      <c r="B245" s="3171" t="s">
        <v>4792</v>
      </c>
      <c r="C245" s="3172" t="s">
        <v>4792</v>
      </c>
      <c r="D245" s="3173" t="s">
        <v>5278</v>
      </c>
      <c r="E245" s="3172" t="s">
        <v>5279</v>
      </c>
      <c r="F245" s="3179" t="s">
        <v>4795</v>
      </c>
      <c r="G245" s="3171">
        <v>-1347</v>
      </c>
      <c r="H245" s="3174">
        <v>37.39</v>
      </c>
      <c r="I245" s="3175">
        <v>600000.32120000001</v>
      </c>
      <c r="J245" s="3176" t="s">
        <v>3453</v>
      </c>
      <c r="K245" s="3163"/>
      <c r="M245" s="3163"/>
    </row>
    <row r="246" spans="1:13" ht="16.5">
      <c r="A246" s="3170">
        <v>244</v>
      </c>
      <c r="B246" s="3171" t="s">
        <v>4792</v>
      </c>
      <c r="C246" s="3172" t="s">
        <v>4792</v>
      </c>
      <c r="D246" s="3173" t="s">
        <v>5280</v>
      </c>
      <c r="E246" s="3172" t="s">
        <v>5281</v>
      </c>
      <c r="F246" s="3179" t="s">
        <v>4795</v>
      </c>
      <c r="G246" s="3171">
        <v>-1348</v>
      </c>
      <c r="H246" s="3174">
        <v>37.39</v>
      </c>
      <c r="I246" s="3175">
        <v>600000.32120000001</v>
      </c>
      <c r="J246" s="3176" t="s">
        <v>3453</v>
      </c>
      <c r="K246" s="3163"/>
      <c r="M246" s="3163"/>
    </row>
    <row r="247" spans="1:13" ht="16.5">
      <c r="A247" s="3170">
        <v>245</v>
      </c>
      <c r="B247" s="3171" t="s">
        <v>4792</v>
      </c>
      <c r="C247" s="3172" t="s">
        <v>4792</v>
      </c>
      <c r="D247" s="3173" t="s">
        <v>5282</v>
      </c>
      <c r="E247" s="3172" t="s">
        <v>5283</v>
      </c>
      <c r="F247" s="3179" t="s">
        <v>4795</v>
      </c>
      <c r="G247" s="3171">
        <v>-1349</v>
      </c>
      <c r="H247" s="3174">
        <v>37.39</v>
      </c>
      <c r="I247" s="3175">
        <v>600000.32120000001</v>
      </c>
      <c r="J247" s="3176" t="s">
        <v>3453</v>
      </c>
      <c r="K247" s="3163"/>
      <c r="M247" s="3163"/>
    </row>
    <row r="248" spans="1:13" ht="16.5">
      <c r="A248" s="3170">
        <v>246</v>
      </c>
      <c r="B248" s="3171" t="s">
        <v>4792</v>
      </c>
      <c r="C248" s="3172" t="s">
        <v>4792</v>
      </c>
      <c r="D248" s="3173" t="s">
        <v>5284</v>
      </c>
      <c r="E248" s="3172" t="s">
        <v>5285</v>
      </c>
      <c r="F248" s="3179" t="s">
        <v>4795</v>
      </c>
      <c r="G248" s="3171">
        <v>-1350</v>
      </c>
      <c r="H248" s="3174">
        <v>37.39</v>
      </c>
      <c r="I248" s="3175">
        <v>600000.32120000001</v>
      </c>
      <c r="J248" s="3176" t="s">
        <v>3453</v>
      </c>
      <c r="K248" s="3163"/>
      <c r="M248" s="3163"/>
    </row>
    <row r="249" spans="1:13" ht="16.5">
      <c r="A249" s="3170">
        <v>247</v>
      </c>
      <c r="B249" s="3171" t="s">
        <v>4792</v>
      </c>
      <c r="C249" s="3172" t="s">
        <v>4792</v>
      </c>
      <c r="D249" s="3173" t="s">
        <v>5286</v>
      </c>
      <c r="E249" s="3172" t="s">
        <v>5287</v>
      </c>
      <c r="F249" s="3179" t="s">
        <v>4795</v>
      </c>
      <c r="G249" s="3171">
        <v>-1351</v>
      </c>
      <c r="H249" s="3174">
        <v>37.39</v>
      </c>
      <c r="I249" s="3175">
        <v>600000.32120000001</v>
      </c>
      <c r="J249" s="3176" t="s">
        <v>3453</v>
      </c>
      <c r="K249" s="3163"/>
      <c r="M249" s="3163"/>
    </row>
    <row r="250" spans="1:13" ht="16.5">
      <c r="A250" s="3170">
        <v>248</v>
      </c>
      <c r="B250" s="3171" t="s">
        <v>4792</v>
      </c>
      <c r="C250" s="3172" t="s">
        <v>4792</v>
      </c>
      <c r="D250" s="3173" t="s">
        <v>5288</v>
      </c>
      <c r="E250" s="3172" t="s">
        <v>5289</v>
      </c>
      <c r="F250" s="3179" t="s">
        <v>4795</v>
      </c>
      <c r="G250" s="3171">
        <v>-1352</v>
      </c>
      <c r="H250" s="3174">
        <v>37.39</v>
      </c>
      <c r="I250" s="3175">
        <v>600000.32120000001</v>
      </c>
      <c r="J250" s="3176" t="s">
        <v>3453</v>
      </c>
      <c r="K250" s="3163"/>
      <c r="M250" s="3163"/>
    </row>
    <row r="251" spans="1:13" ht="16.5">
      <c r="A251" s="3170">
        <v>249</v>
      </c>
      <c r="B251" s="3171" t="s">
        <v>4792</v>
      </c>
      <c r="C251" s="3172" t="s">
        <v>4792</v>
      </c>
      <c r="D251" s="3173" t="s">
        <v>5290</v>
      </c>
      <c r="E251" s="3172" t="s">
        <v>5291</v>
      </c>
      <c r="F251" s="3179" t="s">
        <v>4795</v>
      </c>
      <c r="G251" s="3171">
        <v>-1353</v>
      </c>
      <c r="H251" s="3174">
        <v>37.39</v>
      </c>
      <c r="I251" s="3175">
        <v>600000.32120000001</v>
      </c>
      <c r="J251" s="3176" t="s">
        <v>3453</v>
      </c>
      <c r="K251" s="3163"/>
      <c r="M251" s="3163"/>
    </row>
    <row r="252" spans="1:13" ht="16.5">
      <c r="A252" s="3170">
        <v>250</v>
      </c>
      <c r="B252" s="3171" t="s">
        <v>4792</v>
      </c>
      <c r="C252" s="3172" t="s">
        <v>4792</v>
      </c>
      <c r="D252" s="3173" t="s">
        <v>5292</v>
      </c>
      <c r="E252" s="3172" t="s">
        <v>5293</v>
      </c>
      <c r="F252" s="3179" t="s">
        <v>4795</v>
      </c>
      <c r="G252" s="3171">
        <v>-1354</v>
      </c>
      <c r="H252" s="3174">
        <v>37.39</v>
      </c>
      <c r="I252" s="3175">
        <v>600000.32120000001</v>
      </c>
      <c r="J252" s="3176" t="s">
        <v>3453</v>
      </c>
      <c r="K252" s="3163"/>
      <c r="M252" s="3163"/>
    </row>
    <row r="253" spans="1:13" ht="16.5">
      <c r="A253" s="3170">
        <v>251</v>
      </c>
      <c r="B253" s="3171" t="s">
        <v>4792</v>
      </c>
      <c r="C253" s="3172" t="s">
        <v>4792</v>
      </c>
      <c r="D253" s="3173" t="s">
        <v>5294</v>
      </c>
      <c r="E253" s="3172" t="s">
        <v>5295</v>
      </c>
      <c r="F253" s="3179" t="s">
        <v>4795</v>
      </c>
      <c r="G253" s="3171">
        <v>-1355</v>
      </c>
      <c r="H253" s="3174">
        <v>37.39</v>
      </c>
      <c r="I253" s="3175">
        <v>600000.32120000001</v>
      </c>
      <c r="J253" s="3176" t="s">
        <v>3453</v>
      </c>
      <c r="K253" s="3163"/>
      <c r="M253" s="3163"/>
    </row>
    <row r="254" spans="1:13" ht="16.5">
      <c r="A254" s="3170">
        <v>252</v>
      </c>
      <c r="B254" s="3171" t="s">
        <v>4792</v>
      </c>
      <c r="C254" s="3172" t="s">
        <v>4792</v>
      </c>
      <c r="D254" s="3173" t="s">
        <v>5296</v>
      </c>
      <c r="E254" s="3172" t="s">
        <v>5297</v>
      </c>
      <c r="F254" s="3179" t="s">
        <v>4795</v>
      </c>
      <c r="G254" s="3171">
        <v>-1361</v>
      </c>
      <c r="H254" s="3174">
        <v>37.39</v>
      </c>
      <c r="I254" s="3175">
        <v>600000.32120000001</v>
      </c>
      <c r="J254" s="3176" t="s">
        <v>3453</v>
      </c>
      <c r="K254" s="3163"/>
      <c r="M254" s="3163"/>
    </row>
    <row r="255" spans="1:13" ht="16.5">
      <c r="A255" s="3170">
        <v>253</v>
      </c>
      <c r="B255" s="3171" t="s">
        <v>4792</v>
      </c>
      <c r="C255" s="3172" t="s">
        <v>4792</v>
      </c>
      <c r="D255" s="3173" t="s">
        <v>5298</v>
      </c>
      <c r="E255" s="3172" t="s">
        <v>5299</v>
      </c>
      <c r="F255" s="3179" t="s">
        <v>4795</v>
      </c>
      <c r="G255" s="3171">
        <v>-1362</v>
      </c>
      <c r="H255" s="3174">
        <v>37.39</v>
      </c>
      <c r="I255" s="3175">
        <v>600000.32120000001</v>
      </c>
      <c r="J255" s="3176" t="s">
        <v>3453</v>
      </c>
      <c r="K255" s="3163"/>
      <c r="M255" s="3163"/>
    </row>
    <row r="256" spans="1:13" ht="16.5">
      <c r="A256" s="3170">
        <v>254</v>
      </c>
      <c r="B256" s="3171" t="s">
        <v>4792</v>
      </c>
      <c r="C256" s="3172" t="s">
        <v>4792</v>
      </c>
      <c r="D256" s="3173" t="s">
        <v>5300</v>
      </c>
      <c r="E256" s="3172" t="s">
        <v>5301</v>
      </c>
      <c r="F256" s="3179" t="s">
        <v>4795</v>
      </c>
      <c r="G256" s="3171">
        <v>-1378</v>
      </c>
      <c r="H256" s="3174">
        <v>37.39</v>
      </c>
      <c r="I256" s="3175">
        <v>600000.32120000001</v>
      </c>
      <c r="J256" s="3176" t="s">
        <v>3453</v>
      </c>
      <c r="K256" s="3163"/>
      <c r="M256" s="3163"/>
    </row>
    <row r="257" spans="1:13" ht="16.5">
      <c r="A257" s="3170">
        <v>255</v>
      </c>
      <c r="B257" s="3171" t="s">
        <v>4792</v>
      </c>
      <c r="C257" s="3172" t="s">
        <v>4792</v>
      </c>
      <c r="D257" s="3173" t="s">
        <v>5302</v>
      </c>
      <c r="E257" s="3172" t="s">
        <v>5303</v>
      </c>
      <c r="F257" s="3179" t="s">
        <v>4795</v>
      </c>
      <c r="G257" s="3171">
        <v>-1379</v>
      </c>
      <c r="H257" s="3174">
        <v>37.39</v>
      </c>
      <c r="I257" s="3175">
        <v>600000.32120000001</v>
      </c>
      <c r="J257" s="3176" t="s">
        <v>3453</v>
      </c>
      <c r="K257" s="3163"/>
      <c r="M257" s="3163"/>
    </row>
    <row r="258" spans="1:13" ht="16.5">
      <c r="A258" s="3170">
        <v>256</v>
      </c>
      <c r="B258" s="3171" t="s">
        <v>4792</v>
      </c>
      <c r="C258" s="3172" t="s">
        <v>4792</v>
      </c>
      <c r="D258" s="3173" t="s">
        <v>5304</v>
      </c>
      <c r="E258" s="3172" t="s">
        <v>5305</v>
      </c>
      <c r="F258" s="3179" t="s">
        <v>4795</v>
      </c>
      <c r="G258" s="3171">
        <v>-1380</v>
      </c>
      <c r="H258" s="3174">
        <v>37.39</v>
      </c>
      <c r="I258" s="3175">
        <v>600000.32120000001</v>
      </c>
      <c r="J258" s="3176" t="s">
        <v>3453</v>
      </c>
      <c r="K258" s="3163"/>
      <c r="M258" s="3163"/>
    </row>
    <row r="259" spans="1:13" ht="16.5">
      <c r="A259" s="3170">
        <v>257</v>
      </c>
      <c r="B259" s="3171" t="s">
        <v>4792</v>
      </c>
      <c r="C259" s="3172" t="s">
        <v>4792</v>
      </c>
      <c r="D259" s="3173" t="s">
        <v>5306</v>
      </c>
      <c r="E259" s="3172" t="s">
        <v>5307</v>
      </c>
      <c r="F259" s="3179" t="s">
        <v>4795</v>
      </c>
      <c r="G259" s="3171">
        <v>-1381</v>
      </c>
      <c r="H259" s="3174">
        <v>37.39</v>
      </c>
      <c r="I259" s="3175">
        <v>600000.32120000001</v>
      </c>
      <c r="J259" s="3176" t="s">
        <v>3453</v>
      </c>
      <c r="K259" s="3163"/>
      <c r="M259" s="3163"/>
    </row>
    <row r="260" spans="1:13" ht="16.5">
      <c r="A260" s="3170">
        <v>258</v>
      </c>
      <c r="B260" s="3171" t="s">
        <v>4792</v>
      </c>
      <c r="C260" s="3172" t="s">
        <v>4792</v>
      </c>
      <c r="D260" s="3173" t="s">
        <v>5308</v>
      </c>
      <c r="E260" s="3172" t="s">
        <v>5309</v>
      </c>
      <c r="F260" s="3179" t="s">
        <v>4795</v>
      </c>
      <c r="G260" s="3171">
        <v>-1382</v>
      </c>
      <c r="H260" s="3174">
        <v>37.39</v>
      </c>
      <c r="I260" s="3175">
        <v>600000.32120000001</v>
      </c>
      <c r="J260" s="3176" t="s">
        <v>3453</v>
      </c>
      <c r="K260" s="3163"/>
      <c r="M260" s="3163"/>
    </row>
    <row r="261" spans="1:13" ht="16.5">
      <c r="A261" s="3170">
        <v>259</v>
      </c>
      <c r="B261" s="3171" t="s">
        <v>4792</v>
      </c>
      <c r="C261" s="3172" t="s">
        <v>4792</v>
      </c>
      <c r="D261" s="3173" t="s">
        <v>5310</v>
      </c>
      <c r="E261" s="3172" t="s">
        <v>5311</v>
      </c>
      <c r="F261" s="3179" t="s">
        <v>4795</v>
      </c>
      <c r="G261" s="3171">
        <v>-1385</v>
      </c>
      <c r="H261" s="3174">
        <v>37.39</v>
      </c>
      <c r="I261" s="3175">
        <v>600000.32120000001</v>
      </c>
      <c r="J261" s="3176" t="s">
        <v>3453</v>
      </c>
      <c r="K261" s="3163"/>
      <c r="M261" s="3163"/>
    </row>
    <row r="262" spans="1:13" ht="16.5">
      <c r="A262" s="3170">
        <v>260</v>
      </c>
      <c r="B262" s="3171" t="s">
        <v>4792</v>
      </c>
      <c r="C262" s="3172" t="s">
        <v>4792</v>
      </c>
      <c r="D262" s="3173" t="s">
        <v>5312</v>
      </c>
      <c r="E262" s="3172" t="s">
        <v>5313</v>
      </c>
      <c r="F262" s="3179" t="s">
        <v>4795</v>
      </c>
      <c r="G262" s="3171">
        <v>-1390</v>
      </c>
      <c r="H262" s="3174">
        <v>37.39</v>
      </c>
      <c r="I262" s="3175">
        <v>600000.32120000001</v>
      </c>
      <c r="J262" s="3176" t="s">
        <v>3453</v>
      </c>
      <c r="K262" s="3163"/>
      <c r="M262" s="3163"/>
    </row>
    <row r="263" spans="1:13" ht="16.5">
      <c r="A263" s="3170">
        <v>261</v>
      </c>
      <c r="B263" s="3171" t="s">
        <v>4792</v>
      </c>
      <c r="C263" s="3172" t="s">
        <v>4792</v>
      </c>
      <c r="D263" s="3173" t="s">
        <v>5314</v>
      </c>
      <c r="E263" s="3172" t="s">
        <v>5315</v>
      </c>
      <c r="F263" s="3179" t="s">
        <v>4795</v>
      </c>
      <c r="G263" s="3171">
        <v>-1391</v>
      </c>
      <c r="H263" s="3174">
        <v>37.39</v>
      </c>
      <c r="I263" s="3175">
        <v>600000.32120000001</v>
      </c>
      <c r="J263" s="3176" t="s">
        <v>3453</v>
      </c>
      <c r="K263" s="3163"/>
      <c r="M263" s="3163"/>
    </row>
    <row r="264" spans="1:13" ht="16.5">
      <c r="A264" s="3170">
        <v>262</v>
      </c>
      <c r="B264" s="3171" t="s">
        <v>4792</v>
      </c>
      <c r="C264" s="3172" t="s">
        <v>4792</v>
      </c>
      <c r="D264" s="3173" t="s">
        <v>5316</v>
      </c>
      <c r="E264" s="3172" t="s">
        <v>5317</v>
      </c>
      <c r="F264" s="3179" t="s">
        <v>4795</v>
      </c>
      <c r="G264" s="3171">
        <v>-1394</v>
      </c>
      <c r="H264" s="3174">
        <v>37.39</v>
      </c>
      <c r="I264" s="3175">
        <v>600000.32120000001</v>
      </c>
      <c r="J264" s="3176" t="s">
        <v>3453</v>
      </c>
      <c r="K264" s="3163"/>
      <c r="M264" s="3163"/>
    </row>
    <row r="265" spans="1:13" ht="16.5">
      <c r="A265" s="3170">
        <v>263</v>
      </c>
      <c r="B265" s="3171" t="s">
        <v>4792</v>
      </c>
      <c r="C265" s="3172" t="s">
        <v>4792</v>
      </c>
      <c r="D265" s="3173" t="s">
        <v>5318</v>
      </c>
      <c r="E265" s="3172" t="s">
        <v>5319</v>
      </c>
      <c r="F265" s="3179" t="s">
        <v>4795</v>
      </c>
      <c r="G265" s="3171">
        <v>-1395</v>
      </c>
      <c r="H265" s="3174">
        <v>37.39</v>
      </c>
      <c r="I265" s="3175">
        <v>600000.32120000001</v>
      </c>
      <c r="J265" s="3176" t="s">
        <v>3453</v>
      </c>
      <c r="K265" s="3163"/>
      <c r="M265" s="3163"/>
    </row>
    <row r="266" spans="1:13" ht="16.5">
      <c r="A266" s="3170">
        <v>264</v>
      </c>
      <c r="B266" s="3171" t="s">
        <v>4792</v>
      </c>
      <c r="C266" s="3172" t="s">
        <v>4792</v>
      </c>
      <c r="D266" s="3173" t="s">
        <v>5320</v>
      </c>
      <c r="E266" s="3172" t="s">
        <v>5321</v>
      </c>
      <c r="F266" s="3179" t="s">
        <v>4795</v>
      </c>
      <c r="G266" s="3171">
        <v>-1396</v>
      </c>
      <c r="H266" s="3174">
        <v>37.39</v>
      </c>
      <c r="I266" s="3175">
        <v>600000.32120000001</v>
      </c>
      <c r="J266" s="3176" t="s">
        <v>3453</v>
      </c>
      <c r="K266" s="3163"/>
      <c r="M266" s="3163"/>
    </row>
    <row r="267" spans="1:13" ht="16.5">
      <c r="A267" s="3170">
        <v>265</v>
      </c>
      <c r="B267" s="3171" t="s">
        <v>4792</v>
      </c>
      <c r="C267" s="3172" t="s">
        <v>4792</v>
      </c>
      <c r="D267" s="3173" t="s">
        <v>5322</v>
      </c>
      <c r="E267" s="3172" t="s">
        <v>5323</v>
      </c>
      <c r="F267" s="3179" t="s">
        <v>4795</v>
      </c>
      <c r="G267" s="3171">
        <v>-1397</v>
      </c>
      <c r="H267" s="3174">
        <v>37.39</v>
      </c>
      <c r="I267" s="3175">
        <v>600000.32120000001</v>
      </c>
      <c r="J267" s="3176" t="s">
        <v>3453</v>
      </c>
      <c r="K267" s="3163"/>
      <c r="M267" s="3163"/>
    </row>
    <row r="268" spans="1:13" ht="16.5">
      <c r="A268" s="3170">
        <v>266</v>
      </c>
      <c r="B268" s="3171" t="s">
        <v>4792</v>
      </c>
      <c r="C268" s="3172" t="s">
        <v>4792</v>
      </c>
      <c r="D268" s="3173" t="s">
        <v>5324</v>
      </c>
      <c r="E268" s="3172" t="s">
        <v>5325</v>
      </c>
      <c r="F268" s="3179" t="s">
        <v>4795</v>
      </c>
      <c r="G268" s="3171">
        <v>-1398</v>
      </c>
      <c r="H268" s="3174">
        <v>37.39</v>
      </c>
      <c r="I268" s="3175">
        <v>600000.32120000001</v>
      </c>
      <c r="J268" s="3176" t="s">
        <v>3453</v>
      </c>
      <c r="K268" s="3163"/>
      <c r="M268" s="3163"/>
    </row>
    <row r="269" spans="1:13" ht="16.5">
      <c r="A269" s="3170">
        <v>267</v>
      </c>
      <c r="B269" s="3171" t="s">
        <v>4792</v>
      </c>
      <c r="C269" s="3172" t="s">
        <v>4792</v>
      </c>
      <c r="D269" s="3173" t="s">
        <v>5326</v>
      </c>
      <c r="E269" s="3172" t="s">
        <v>5327</v>
      </c>
      <c r="F269" s="3179" t="s">
        <v>4795</v>
      </c>
      <c r="G269" s="3171">
        <v>-1399</v>
      </c>
      <c r="H269" s="3174">
        <v>37.39</v>
      </c>
      <c r="I269" s="3175">
        <v>600000.32120000001</v>
      </c>
      <c r="J269" s="3176" t="s">
        <v>3453</v>
      </c>
      <c r="K269" s="3163"/>
      <c r="M269" s="3163"/>
    </row>
    <row r="270" spans="1:13" ht="16.5">
      <c r="A270" s="3170">
        <v>268</v>
      </c>
      <c r="B270" s="3171" t="s">
        <v>4792</v>
      </c>
      <c r="C270" s="3172" t="s">
        <v>4792</v>
      </c>
      <c r="D270" s="3173" t="s">
        <v>5328</v>
      </c>
      <c r="E270" s="3172" t="s">
        <v>5329</v>
      </c>
      <c r="F270" s="3179" t="s">
        <v>4795</v>
      </c>
      <c r="G270" s="3171">
        <v>-1401</v>
      </c>
      <c r="H270" s="3174">
        <v>37.39</v>
      </c>
      <c r="I270" s="3175">
        <v>600000.32120000001</v>
      </c>
      <c r="J270" s="3176" t="s">
        <v>3453</v>
      </c>
      <c r="K270" s="3163"/>
      <c r="M270" s="3163"/>
    </row>
    <row r="271" spans="1:13" ht="16.5">
      <c r="A271" s="3170">
        <v>269</v>
      </c>
      <c r="B271" s="3171" t="s">
        <v>4792</v>
      </c>
      <c r="C271" s="3172" t="s">
        <v>4792</v>
      </c>
      <c r="D271" s="3173" t="s">
        <v>5330</v>
      </c>
      <c r="E271" s="3172" t="s">
        <v>5331</v>
      </c>
      <c r="F271" s="3179" t="s">
        <v>4795</v>
      </c>
      <c r="G271" s="3171">
        <v>-1402</v>
      </c>
      <c r="H271" s="3174">
        <v>37.39</v>
      </c>
      <c r="I271" s="3175">
        <v>600000.32120000001</v>
      </c>
      <c r="J271" s="3176" t="s">
        <v>3453</v>
      </c>
      <c r="K271" s="3163"/>
      <c r="M271" s="3163"/>
    </row>
    <row r="272" spans="1:13" ht="16.5">
      <c r="A272" s="3170">
        <v>270</v>
      </c>
      <c r="B272" s="3171" t="s">
        <v>4792</v>
      </c>
      <c r="C272" s="3172" t="s">
        <v>4792</v>
      </c>
      <c r="D272" s="3173" t="s">
        <v>5332</v>
      </c>
      <c r="E272" s="3172" t="s">
        <v>5333</v>
      </c>
      <c r="F272" s="3179" t="s">
        <v>4795</v>
      </c>
      <c r="G272" s="3171">
        <v>-1403</v>
      </c>
      <c r="H272" s="3174">
        <v>37.39</v>
      </c>
      <c r="I272" s="3175">
        <v>600000.32120000001</v>
      </c>
      <c r="J272" s="3176" t="s">
        <v>3453</v>
      </c>
      <c r="K272" s="3163"/>
      <c r="M272" s="3163"/>
    </row>
    <row r="273" spans="1:13" ht="16.5">
      <c r="A273" s="3170">
        <v>271</v>
      </c>
      <c r="B273" s="3171" t="s">
        <v>4792</v>
      </c>
      <c r="C273" s="3172" t="s">
        <v>4792</v>
      </c>
      <c r="D273" s="3173" t="s">
        <v>5334</v>
      </c>
      <c r="E273" s="3172" t="s">
        <v>5335</v>
      </c>
      <c r="F273" s="3179" t="s">
        <v>4795</v>
      </c>
      <c r="G273" s="3171">
        <v>-1404</v>
      </c>
      <c r="H273" s="3174">
        <v>37.39</v>
      </c>
      <c r="I273" s="3175">
        <v>600000.32120000001</v>
      </c>
      <c r="J273" s="3176" t="s">
        <v>3453</v>
      </c>
      <c r="K273" s="3163"/>
      <c r="M273" s="3163"/>
    </row>
    <row r="274" spans="1:13" ht="16.5">
      <c r="A274" s="3170">
        <v>272</v>
      </c>
      <c r="B274" s="3171" t="s">
        <v>4792</v>
      </c>
      <c r="C274" s="3172" t="s">
        <v>4792</v>
      </c>
      <c r="D274" s="3173" t="s">
        <v>5336</v>
      </c>
      <c r="E274" s="3172" t="s">
        <v>5337</v>
      </c>
      <c r="F274" s="3179" t="s">
        <v>4795</v>
      </c>
      <c r="G274" s="3171">
        <v>-1405</v>
      </c>
      <c r="H274" s="3174">
        <v>37.39</v>
      </c>
      <c r="I274" s="3175">
        <v>600000.32120000001</v>
      </c>
      <c r="J274" s="3176" t="s">
        <v>3453</v>
      </c>
      <c r="K274" s="3163"/>
      <c r="M274" s="3163"/>
    </row>
    <row r="275" spans="1:13" ht="16.5">
      <c r="A275" s="3170">
        <v>273</v>
      </c>
      <c r="B275" s="3171" t="s">
        <v>4792</v>
      </c>
      <c r="C275" s="3172" t="s">
        <v>4792</v>
      </c>
      <c r="D275" s="3173" t="s">
        <v>5338</v>
      </c>
      <c r="E275" s="3172" t="s">
        <v>5339</v>
      </c>
      <c r="F275" s="3179" t="s">
        <v>4795</v>
      </c>
      <c r="G275" s="3171">
        <v>-1406</v>
      </c>
      <c r="H275" s="3174">
        <v>37.39</v>
      </c>
      <c r="I275" s="3175">
        <v>600000.32120000001</v>
      </c>
      <c r="J275" s="3176" t="s">
        <v>3453</v>
      </c>
      <c r="K275" s="3163"/>
      <c r="M275" s="3163"/>
    </row>
    <row r="276" spans="1:13" ht="16.5">
      <c r="A276" s="3170">
        <v>274</v>
      </c>
      <c r="B276" s="3171" t="s">
        <v>4792</v>
      </c>
      <c r="C276" s="3172" t="s">
        <v>4792</v>
      </c>
      <c r="D276" s="3173" t="s">
        <v>5340</v>
      </c>
      <c r="E276" s="3172" t="s">
        <v>5341</v>
      </c>
      <c r="F276" s="3179" t="s">
        <v>4795</v>
      </c>
      <c r="G276" s="3171">
        <v>-1407</v>
      </c>
      <c r="H276" s="3174">
        <v>37.39</v>
      </c>
      <c r="I276" s="3175">
        <v>600000.32120000001</v>
      </c>
      <c r="J276" s="3176" t="s">
        <v>3453</v>
      </c>
      <c r="K276" s="3163"/>
      <c r="M276" s="3163"/>
    </row>
    <row r="277" spans="1:13" ht="16.5">
      <c r="A277" s="3170">
        <v>275</v>
      </c>
      <c r="B277" s="3171" t="s">
        <v>4792</v>
      </c>
      <c r="C277" s="3172" t="s">
        <v>4792</v>
      </c>
      <c r="D277" s="3173" t="s">
        <v>5342</v>
      </c>
      <c r="E277" s="3172" t="s">
        <v>5343</v>
      </c>
      <c r="F277" s="3179" t="s">
        <v>4795</v>
      </c>
      <c r="G277" s="3171">
        <v>-1408</v>
      </c>
      <c r="H277" s="3174">
        <v>37.39</v>
      </c>
      <c r="I277" s="3175">
        <v>600000.32120000001</v>
      </c>
      <c r="J277" s="3176" t="s">
        <v>3453</v>
      </c>
      <c r="K277" s="3163"/>
      <c r="M277" s="3163"/>
    </row>
    <row r="278" spans="1:13" ht="16.5">
      <c r="A278" s="3170">
        <v>276</v>
      </c>
      <c r="B278" s="3171" t="s">
        <v>4792</v>
      </c>
      <c r="C278" s="3172" t="s">
        <v>4792</v>
      </c>
      <c r="D278" s="3173" t="s">
        <v>5344</v>
      </c>
      <c r="E278" s="3172" t="s">
        <v>5345</v>
      </c>
      <c r="F278" s="3179" t="s">
        <v>4795</v>
      </c>
      <c r="G278" s="3171">
        <v>-1409</v>
      </c>
      <c r="H278" s="3174">
        <v>37.39</v>
      </c>
      <c r="I278" s="3175">
        <v>600000.32120000001</v>
      </c>
      <c r="J278" s="3176" t="s">
        <v>3453</v>
      </c>
      <c r="K278" s="3163"/>
      <c r="M278" s="3163"/>
    </row>
    <row r="279" spans="1:13" ht="16.5">
      <c r="A279" s="3170">
        <v>277</v>
      </c>
      <c r="B279" s="3171" t="s">
        <v>4792</v>
      </c>
      <c r="C279" s="3172" t="s">
        <v>4792</v>
      </c>
      <c r="D279" s="3173" t="s">
        <v>5346</v>
      </c>
      <c r="E279" s="3172" t="s">
        <v>5347</v>
      </c>
      <c r="F279" s="3179" t="s">
        <v>4795</v>
      </c>
      <c r="G279" s="3171">
        <v>-1413</v>
      </c>
      <c r="H279" s="3174">
        <v>37.39</v>
      </c>
      <c r="I279" s="3175">
        <v>600000.32120000001</v>
      </c>
      <c r="J279" s="3176" t="s">
        <v>3453</v>
      </c>
      <c r="K279" s="3163"/>
      <c r="M279" s="3163"/>
    </row>
    <row r="280" spans="1:13" ht="16.5">
      <c r="A280" s="3170">
        <v>278</v>
      </c>
      <c r="B280" s="3171" t="s">
        <v>4792</v>
      </c>
      <c r="C280" s="3172" t="s">
        <v>4792</v>
      </c>
      <c r="D280" s="3173" t="s">
        <v>5348</v>
      </c>
      <c r="E280" s="3172" t="s">
        <v>5349</v>
      </c>
      <c r="F280" s="3179" t="s">
        <v>4795</v>
      </c>
      <c r="G280" s="3171">
        <v>-1414</v>
      </c>
      <c r="H280" s="3174">
        <v>37.39</v>
      </c>
      <c r="I280" s="3175">
        <v>600000.32120000001</v>
      </c>
      <c r="J280" s="3176" t="s">
        <v>3453</v>
      </c>
      <c r="K280" s="3163"/>
      <c r="M280" s="3163"/>
    </row>
    <row r="281" spans="1:13" ht="16.5">
      <c r="A281" s="3170">
        <v>279</v>
      </c>
      <c r="B281" s="3171" t="s">
        <v>4792</v>
      </c>
      <c r="C281" s="3172" t="s">
        <v>4792</v>
      </c>
      <c r="D281" s="3173" t="s">
        <v>5350</v>
      </c>
      <c r="E281" s="3172" t="s">
        <v>5351</v>
      </c>
      <c r="F281" s="3179" t="s">
        <v>4795</v>
      </c>
      <c r="G281" s="3171">
        <v>-1415</v>
      </c>
      <c r="H281" s="3174">
        <v>37.39</v>
      </c>
      <c r="I281" s="3175">
        <v>600000.32120000001</v>
      </c>
      <c r="J281" s="3176" t="s">
        <v>3453</v>
      </c>
      <c r="K281" s="3163"/>
      <c r="M281" s="3163"/>
    </row>
    <row r="282" spans="1:13" ht="16.5">
      <c r="A282" s="3170">
        <v>280</v>
      </c>
      <c r="B282" s="3171" t="s">
        <v>4792</v>
      </c>
      <c r="C282" s="3172" t="s">
        <v>4792</v>
      </c>
      <c r="D282" s="3173" t="s">
        <v>5352</v>
      </c>
      <c r="E282" s="3172" t="s">
        <v>5353</v>
      </c>
      <c r="F282" s="3179" t="s">
        <v>4795</v>
      </c>
      <c r="G282" s="3171">
        <v>-1417</v>
      </c>
      <c r="H282" s="3174">
        <v>37.39</v>
      </c>
      <c r="I282" s="3175">
        <v>600000.32120000001</v>
      </c>
      <c r="J282" s="3176" t="s">
        <v>3453</v>
      </c>
      <c r="K282" s="3163"/>
      <c r="M282" s="3163"/>
    </row>
    <row r="283" spans="1:13" ht="16.5">
      <c r="A283" s="3170">
        <v>281</v>
      </c>
      <c r="B283" s="3171" t="s">
        <v>4792</v>
      </c>
      <c r="C283" s="3172" t="s">
        <v>4792</v>
      </c>
      <c r="D283" s="3173" t="s">
        <v>5354</v>
      </c>
      <c r="E283" s="3172" t="s">
        <v>5355</v>
      </c>
      <c r="F283" s="3179" t="s">
        <v>4795</v>
      </c>
      <c r="G283" s="3171">
        <v>-1418</v>
      </c>
      <c r="H283" s="3174">
        <v>37.39</v>
      </c>
      <c r="I283" s="3175">
        <v>600000.32120000001</v>
      </c>
      <c r="J283" s="3176" t="s">
        <v>3453</v>
      </c>
      <c r="K283" s="3163"/>
      <c r="M283" s="3163"/>
    </row>
    <row r="284" spans="1:13" ht="16.5">
      <c r="A284" s="3170">
        <v>282</v>
      </c>
      <c r="B284" s="3171" t="s">
        <v>4792</v>
      </c>
      <c r="C284" s="3172" t="s">
        <v>4792</v>
      </c>
      <c r="D284" s="3173" t="s">
        <v>5356</v>
      </c>
      <c r="E284" s="3172" t="s">
        <v>5357</v>
      </c>
      <c r="F284" s="3179" t="s">
        <v>4795</v>
      </c>
      <c r="G284" s="3171">
        <v>-1419</v>
      </c>
      <c r="H284" s="3174">
        <v>37.39</v>
      </c>
      <c r="I284" s="3175">
        <v>600000.32120000001</v>
      </c>
      <c r="J284" s="3176" t="s">
        <v>3453</v>
      </c>
      <c r="K284" s="3163"/>
      <c r="M284" s="3163"/>
    </row>
    <row r="285" spans="1:13" ht="16.5">
      <c r="A285" s="3170">
        <v>283</v>
      </c>
      <c r="B285" s="3171" t="s">
        <v>4792</v>
      </c>
      <c r="C285" s="3172" t="s">
        <v>4792</v>
      </c>
      <c r="D285" s="3173" t="s">
        <v>5358</v>
      </c>
      <c r="E285" s="3172" t="s">
        <v>5359</v>
      </c>
      <c r="F285" s="3179" t="s">
        <v>4795</v>
      </c>
      <c r="G285" s="3171">
        <v>-1420</v>
      </c>
      <c r="H285" s="3174">
        <v>37.39</v>
      </c>
      <c r="I285" s="3175">
        <v>600000.32120000001</v>
      </c>
      <c r="J285" s="3176" t="s">
        <v>3453</v>
      </c>
      <c r="K285" s="3163"/>
      <c r="M285" s="3163"/>
    </row>
    <row r="286" spans="1:13" ht="16.5">
      <c r="A286" s="3170">
        <v>284</v>
      </c>
      <c r="B286" s="3171" t="s">
        <v>4792</v>
      </c>
      <c r="C286" s="3172" t="s">
        <v>4792</v>
      </c>
      <c r="D286" s="3173" t="s">
        <v>5360</v>
      </c>
      <c r="E286" s="3172" t="s">
        <v>5361</v>
      </c>
      <c r="F286" s="3179" t="s">
        <v>4795</v>
      </c>
      <c r="G286" s="3171">
        <v>-1421</v>
      </c>
      <c r="H286" s="3174">
        <v>37.39</v>
      </c>
      <c r="I286" s="3175">
        <v>600000.32120000001</v>
      </c>
      <c r="J286" s="3176" t="s">
        <v>3453</v>
      </c>
      <c r="K286" s="3163"/>
      <c r="M286" s="3163"/>
    </row>
    <row r="287" spans="1:13" ht="16.5">
      <c r="A287" s="3170">
        <v>285</v>
      </c>
      <c r="B287" s="3171" t="s">
        <v>4792</v>
      </c>
      <c r="C287" s="3172" t="s">
        <v>4792</v>
      </c>
      <c r="D287" s="3173" t="s">
        <v>5362</v>
      </c>
      <c r="E287" s="3172" t="s">
        <v>5363</v>
      </c>
      <c r="F287" s="3179" t="s">
        <v>4795</v>
      </c>
      <c r="G287" s="3171">
        <v>-1422</v>
      </c>
      <c r="H287" s="3174">
        <v>37.39</v>
      </c>
      <c r="I287" s="3175">
        <v>600000.32120000001</v>
      </c>
      <c r="J287" s="3176" t="s">
        <v>3453</v>
      </c>
      <c r="K287" s="3163"/>
      <c r="M287" s="3163"/>
    </row>
    <row r="288" spans="1:13" ht="16.5">
      <c r="A288" s="3170">
        <v>286</v>
      </c>
      <c r="B288" s="3171" t="s">
        <v>4792</v>
      </c>
      <c r="C288" s="3172" t="s">
        <v>4792</v>
      </c>
      <c r="D288" s="3173" t="s">
        <v>5364</v>
      </c>
      <c r="E288" s="3172" t="s">
        <v>5365</v>
      </c>
      <c r="F288" s="3179" t="s">
        <v>4795</v>
      </c>
      <c r="G288" s="3171">
        <v>-1423</v>
      </c>
      <c r="H288" s="3174">
        <v>37.39</v>
      </c>
      <c r="I288" s="3175">
        <v>600000.32120000001</v>
      </c>
      <c r="J288" s="3176" t="s">
        <v>3453</v>
      </c>
      <c r="K288" s="3163"/>
      <c r="M288" s="3163"/>
    </row>
    <row r="289" spans="1:13" ht="16.5">
      <c r="A289" s="3170">
        <v>287</v>
      </c>
      <c r="B289" s="3171" t="s">
        <v>4792</v>
      </c>
      <c r="C289" s="3172" t="s">
        <v>4792</v>
      </c>
      <c r="D289" s="3173" t="s">
        <v>5366</v>
      </c>
      <c r="E289" s="3172" t="s">
        <v>5367</v>
      </c>
      <c r="F289" s="3179" t="s">
        <v>4795</v>
      </c>
      <c r="G289" s="3171">
        <v>-1424</v>
      </c>
      <c r="H289" s="3174">
        <v>37.39</v>
      </c>
      <c r="I289" s="3175">
        <v>600000.32120000001</v>
      </c>
      <c r="J289" s="3176" t="s">
        <v>3453</v>
      </c>
      <c r="K289" s="3163"/>
      <c r="M289" s="3163"/>
    </row>
    <row r="290" spans="1:13" ht="16.5">
      <c r="A290" s="3170">
        <v>288</v>
      </c>
      <c r="B290" s="3171" t="s">
        <v>4792</v>
      </c>
      <c r="C290" s="3172" t="s">
        <v>4792</v>
      </c>
      <c r="D290" s="3173" t="s">
        <v>5368</v>
      </c>
      <c r="E290" s="3172" t="s">
        <v>5369</v>
      </c>
      <c r="F290" s="3179" t="s">
        <v>4795</v>
      </c>
      <c r="G290" s="3171">
        <v>-1425</v>
      </c>
      <c r="H290" s="3174">
        <v>37.39</v>
      </c>
      <c r="I290" s="3175">
        <v>600000.32120000001</v>
      </c>
      <c r="J290" s="3176" t="s">
        <v>3453</v>
      </c>
      <c r="K290" s="3163"/>
      <c r="M290" s="3163"/>
    </row>
    <row r="291" spans="1:13" ht="16.5">
      <c r="A291" s="3170">
        <v>289</v>
      </c>
      <c r="B291" s="3171" t="s">
        <v>4792</v>
      </c>
      <c r="C291" s="3172" t="s">
        <v>4792</v>
      </c>
      <c r="D291" s="3173" t="s">
        <v>5370</v>
      </c>
      <c r="E291" s="3172" t="s">
        <v>5371</v>
      </c>
      <c r="F291" s="3179" t="s">
        <v>4795</v>
      </c>
      <c r="G291" s="3171">
        <v>-1427</v>
      </c>
      <c r="H291" s="3174">
        <v>37.39</v>
      </c>
      <c r="I291" s="3175">
        <v>600000.32120000001</v>
      </c>
      <c r="J291" s="3176" t="s">
        <v>3453</v>
      </c>
      <c r="K291" s="3163"/>
      <c r="M291" s="3163"/>
    </row>
    <row r="292" spans="1:13" ht="16.5">
      <c r="A292" s="3170">
        <v>290</v>
      </c>
      <c r="B292" s="3171" t="s">
        <v>4792</v>
      </c>
      <c r="C292" s="3172" t="s">
        <v>4792</v>
      </c>
      <c r="D292" s="3173" t="s">
        <v>5372</v>
      </c>
      <c r="E292" s="3172" t="s">
        <v>5373</v>
      </c>
      <c r="F292" s="3179" t="s">
        <v>4795</v>
      </c>
      <c r="G292" s="3171">
        <v>-1432</v>
      </c>
      <c r="H292" s="3174">
        <v>37.39</v>
      </c>
      <c r="I292" s="3175">
        <v>600000.32120000001</v>
      </c>
      <c r="J292" s="3176" t="s">
        <v>3453</v>
      </c>
      <c r="K292" s="3163"/>
      <c r="M292" s="3163"/>
    </row>
    <row r="293" spans="1:13" ht="16.5">
      <c r="A293" s="3170">
        <v>291</v>
      </c>
      <c r="B293" s="3171" t="s">
        <v>4792</v>
      </c>
      <c r="C293" s="3172" t="s">
        <v>4792</v>
      </c>
      <c r="D293" s="3173" t="s">
        <v>5374</v>
      </c>
      <c r="E293" s="3172" t="s">
        <v>5375</v>
      </c>
      <c r="F293" s="3179" t="s">
        <v>4795</v>
      </c>
      <c r="G293" s="3171">
        <v>-1437</v>
      </c>
      <c r="H293" s="3174">
        <v>37.39</v>
      </c>
      <c r="I293" s="3175">
        <v>600000.32120000001</v>
      </c>
      <c r="J293" s="3176" t="s">
        <v>3453</v>
      </c>
      <c r="K293" s="3163"/>
      <c r="M293" s="3163"/>
    </row>
    <row r="294" spans="1:13" ht="16.5">
      <c r="A294" s="3170">
        <v>292</v>
      </c>
      <c r="B294" s="3171" t="s">
        <v>4792</v>
      </c>
      <c r="C294" s="3172" t="s">
        <v>4792</v>
      </c>
      <c r="D294" s="3173" t="s">
        <v>5376</v>
      </c>
      <c r="E294" s="3172" t="s">
        <v>5377</v>
      </c>
      <c r="F294" s="3179" t="s">
        <v>4795</v>
      </c>
      <c r="G294" s="3171">
        <v>-1438</v>
      </c>
      <c r="H294" s="3174">
        <v>37.39</v>
      </c>
      <c r="I294" s="3175">
        <v>600000.32120000001</v>
      </c>
      <c r="J294" s="3176" t="s">
        <v>3453</v>
      </c>
      <c r="K294" s="3163"/>
      <c r="M294" s="3163"/>
    </row>
    <row r="295" spans="1:13" ht="16.5">
      <c r="A295" s="3170">
        <v>293</v>
      </c>
      <c r="B295" s="3171" t="s">
        <v>4792</v>
      </c>
      <c r="C295" s="3172" t="s">
        <v>4792</v>
      </c>
      <c r="D295" s="3173" t="s">
        <v>5378</v>
      </c>
      <c r="E295" s="3172" t="s">
        <v>5379</v>
      </c>
      <c r="F295" s="3179" t="s">
        <v>4795</v>
      </c>
      <c r="G295" s="3171">
        <v>-1439</v>
      </c>
      <c r="H295" s="3174">
        <v>37.39</v>
      </c>
      <c r="I295" s="3175">
        <v>600000.32120000001</v>
      </c>
      <c r="J295" s="3176" t="s">
        <v>3453</v>
      </c>
      <c r="K295" s="3163"/>
      <c r="M295" s="3163"/>
    </row>
    <row r="296" spans="1:13" ht="16.5">
      <c r="A296" s="3170">
        <v>294</v>
      </c>
      <c r="B296" s="3171" t="s">
        <v>4792</v>
      </c>
      <c r="C296" s="3172" t="s">
        <v>4792</v>
      </c>
      <c r="D296" s="3173" t="s">
        <v>5380</v>
      </c>
      <c r="E296" s="3172" t="s">
        <v>5381</v>
      </c>
      <c r="F296" s="3179" t="s">
        <v>4795</v>
      </c>
      <c r="G296" s="3171">
        <v>-1440</v>
      </c>
      <c r="H296" s="3174">
        <v>37.39</v>
      </c>
      <c r="I296" s="3175">
        <v>600000.32120000001</v>
      </c>
      <c r="J296" s="3176" t="s">
        <v>3453</v>
      </c>
      <c r="K296" s="3163"/>
      <c r="M296" s="3163"/>
    </row>
    <row r="297" spans="1:13" ht="16.5">
      <c r="A297" s="3170">
        <v>295</v>
      </c>
      <c r="B297" s="3171" t="s">
        <v>4792</v>
      </c>
      <c r="C297" s="3172" t="s">
        <v>4792</v>
      </c>
      <c r="D297" s="3173" t="s">
        <v>5382</v>
      </c>
      <c r="E297" s="3172" t="s">
        <v>5383</v>
      </c>
      <c r="F297" s="3179" t="s">
        <v>4795</v>
      </c>
      <c r="G297" s="3171">
        <v>-1441</v>
      </c>
      <c r="H297" s="3174">
        <v>37.39</v>
      </c>
      <c r="I297" s="3175">
        <v>600000.32120000001</v>
      </c>
      <c r="J297" s="3176" t="s">
        <v>3453</v>
      </c>
      <c r="K297" s="3163"/>
      <c r="M297" s="3163"/>
    </row>
    <row r="298" spans="1:13" ht="16.5">
      <c r="A298" s="3170">
        <v>296</v>
      </c>
      <c r="B298" s="3171" t="s">
        <v>4792</v>
      </c>
      <c r="C298" s="3172" t="s">
        <v>4792</v>
      </c>
      <c r="D298" s="3173" t="s">
        <v>5384</v>
      </c>
      <c r="E298" s="3172" t="s">
        <v>5385</v>
      </c>
      <c r="F298" s="3179" t="s">
        <v>4795</v>
      </c>
      <c r="G298" s="3171">
        <v>-1442</v>
      </c>
      <c r="H298" s="3174">
        <v>37.39</v>
      </c>
      <c r="I298" s="3175">
        <v>600000.32120000001</v>
      </c>
      <c r="J298" s="3176" t="s">
        <v>3453</v>
      </c>
      <c r="K298" s="3163"/>
      <c r="M298" s="3163"/>
    </row>
    <row r="299" spans="1:13" ht="16.5">
      <c r="A299" s="3170">
        <v>297</v>
      </c>
      <c r="B299" s="3171" t="s">
        <v>4792</v>
      </c>
      <c r="C299" s="3172" t="s">
        <v>4792</v>
      </c>
      <c r="D299" s="3173" t="s">
        <v>5386</v>
      </c>
      <c r="E299" s="3172" t="s">
        <v>5387</v>
      </c>
      <c r="F299" s="3179" t="s">
        <v>4795</v>
      </c>
      <c r="G299" s="3171">
        <v>-1443</v>
      </c>
      <c r="H299" s="3174">
        <v>37.39</v>
      </c>
      <c r="I299" s="3175">
        <v>600000.32120000001</v>
      </c>
      <c r="J299" s="3176" t="s">
        <v>3453</v>
      </c>
      <c r="K299" s="3163"/>
      <c r="M299" s="3163"/>
    </row>
    <row r="300" spans="1:13" ht="16.5">
      <c r="A300" s="3170">
        <v>298</v>
      </c>
      <c r="B300" s="3171" t="s">
        <v>4792</v>
      </c>
      <c r="C300" s="3172" t="s">
        <v>4792</v>
      </c>
      <c r="D300" s="3173" t="s">
        <v>5388</v>
      </c>
      <c r="E300" s="3172" t="s">
        <v>5389</v>
      </c>
      <c r="F300" s="3179" t="s">
        <v>4795</v>
      </c>
      <c r="G300" s="3171">
        <v>-1444</v>
      </c>
      <c r="H300" s="3174">
        <v>37.39</v>
      </c>
      <c r="I300" s="3175">
        <v>600000.32120000001</v>
      </c>
      <c r="J300" s="3176" t="s">
        <v>3453</v>
      </c>
      <c r="K300" s="3163"/>
      <c r="M300" s="3163"/>
    </row>
    <row r="301" spans="1:13" ht="16.5">
      <c r="A301" s="3170">
        <v>299</v>
      </c>
      <c r="B301" s="3171" t="s">
        <v>4792</v>
      </c>
      <c r="C301" s="3172" t="s">
        <v>4792</v>
      </c>
      <c r="D301" s="3173" t="s">
        <v>5390</v>
      </c>
      <c r="E301" s="3172" t="s">
        <v>5391</v>
      </c>
      <c r="F301" s="3179" t="s">
        <v>4795</v>
      </c>
      <c r="G301" s="3171">
        <v>-1445</v>
      </c>
      <c r="H301" s="3174">
        <v>37.39</v>
      </c>
      <c r="I301" s="3175">
        <v>600000.32120000001</v>
      </c>
      <c r="J301" s="3176" t="s">
        <v>3453</v>
      </c>
      <c r="K301" s="3163"/>
      <c r="M301" s="3163"/>
    </row>
    <row r="302" spans="1:13" ht="16.5">
      <c r="A302" s="3170">
        <v>300</v>
      </c>
      <c r="B302" s="3171" t="s">
        <v>4792</v>
      </c>
      <c r="C302" s="3172" t="s">
        <v>4792</v>
      </c>
      <c r="D302" s="3173" t="s">
        <v>5392</v>
      </c>
      <c r="E302" s="3172" t="s">
        <v>5393</v>
      </c>
      <c r="F302" s="3179" t="s">
        <v>4795</v>
      </c>
      <c r="G302" s="3171">
        <v>-1446</v>
      </c>
      <c r="H302" s="3174">
        <v>37.39</v>
      </c>
      <c r="I302" s="3175">
        <v>600000.32120000001</v>
      </c>
      <c r="J302" s="3176" t="s">
        <v>3453</v>
      </c>
      <c r="K302" s="3163"/>
      <c r="M302" s="3163"/>
    </row>
    <row r="303" spans="1:13" ht="16.5">
      <c r="A303" s="3170">
        <v>301</v>
      </c>
      <c r="B303" s="3171" t="s">
        <v>4792</v>
      </c>
      <c r="C303" s="3172" t="s">
        <v>4792</v>
      </c>
      <c r="D303" s="3173" t="s">
        <v>5394</v>
      </c>
      <c r="E303" s="3172" t="s">
        <v>5395</v>
      </c>
      <c r="F303" s="3179" t="s">
        <v>4795</v>
      </c>
      <c r="G303" s="3171">
        <v>-1449</v>
      </c>
      <c r="H303" s="3174">
        <v>37.39</v>
      </c>
      <c r="I303" s="3175">
        <v>600000.32120000001</v>
      </c>
      <c r="J303" s="3176" t="s">
        <v>3453</v>
      </c>
      <c r="K303" s="3163"/>
      <c r="M303" s="3163"/>
    </row>
    <row r="304" spans="1:13" ht="16.5">
      <c r="A304" s="3170">
        <v>302</v>
      </c>
      <c r="B304" s="3171" t="s">
        <v>4792</v>
      </c>
      <c r="C304" s="3172" t="s">
        <v>4792</v>
      </c>
      <c r="D304" s="3173" t="s">
        <v>5396</v>
      </c>
      <c r="E304" s="3172" t="s">
        <v>5397</v>
      </c>
      <c r="F304" s="3179" t="s">
        <v>4795</v>
      </c>
      <c r="G304" s="3171">
        <v>-1450</v>
      </c>
      <c r="H304" s="3174">
        <v>37.39</v>
      </c>
      <c r="I304" s="3175">
        <v>600000.32120000001</v>
      </c>
      <c r="J304" s="3176" t="s">
        <v>3453</v>
      </c>
      <c r="K304" s="3163"/>
      <c r="M304" s="3163"/>
    </row>
    <row r="305" spans="1:13" ht="16.5">
      <c r="A305" s="3170">
        <v>303</v>
      </c>
      <c r="B305" s="3171" t="s">
        <v>4792</v>
      </c>
      <c r="C305" s="3172" t="s">
        <v>4792</v>
      </c>
      <c r="D305" s="3173" t="s">
        <v>5398</v>
      </c>
      <c r="E305" s="3172" t="s">
        <v>5399</v>
      </c>
      <c r="F305" s="3179" t="s">
        <v>4795</v>
      </c>
      <c r="G305" s="3171">
        <v>-1451</v>
      </c>
      <c r="H305" s="3174">
        <v>37.39</v>
      </c>
      <c r="I305" s="3175">
        <v>600000.32120000001</v>
      </c>
      <c r="J305" s="3176" t="s">
        <v>3453</v>
      </c>
      <c r="K305" s="3163"/>
      <c r="M305" s="3163"/>
    </row>
    <row r="306" spans="1:13" ht="16.5">
      <c r="A306" s="3170">
        <v>304</v>
      </c>
      <c r="B306" s="3171" t="s">
        <v>4792</v>
      </c>
      <c r="C306" s="3172" t="s">
        <v>4792</v>
      </c>
      <c r="D306" s="3173" t="s">
        <v>5400</v>
      </c>
      <c r="E306" s="3172" t="s">
        <v>5401</v>
      </c>
      <c r="F306" s="3179" t="s">
        <v>4795</v>
      </c>
      <c r="G306" s="3171">
        <v>-1453</v>
      </c>
      <c r="H306" s="3174">
        <v>37.39</v>
      </c>
      <c r="I306" s="3175">
        <v>600000.32120000001</v>
      </c>
      <c r="J306" s="3176" t="s">
        <v>3453</v>
      </c>
      <c r="K306" s="3163"/>
      <c r="M306" s="3163"/>
    </row>
    <row r="307" spans="1:13" ht="16.5">
      <c r="A307" s="3170">
        <v>305</v>
      </c>
      <c r="B307" s="3171" t="s">
        <v>4792</v>
      </c>
      <c r="C307" s="3172" t="s">
        <v>4792</v>
      </c>
      <c r="D307" s="3173" t="s">
        <v>5402</v>
      </c>
      <c r="E307" s="3172" t="s">
        <v>5403</v>
      </c>
      <c r="F307" s="3179" t="s">
        <v>4795</v>
      </c>
      <c r="G307" s="3171">
        <v>-1454</v>
      </c>
      <c r="H307" s="3174">
        <v>37.39</v>
      </c>
      <c r="I307" s="3175">
        <v>600000.32120000001</v>
      </c>
      <c r="J307" s="3176" t="s">
        <v>3453</v>
      </c>
      <c r="K307" s="3163"/>
      <c r="M307" s="3163"/>
    </row>
    <row r="308" spans="1:13" ht="16.5">
      <c r="A308" s="3170">
        <v>306</v>
      </c>
      <c r="B308" s="3171" t="s">
        <v>4792</v>
      </c>
      <c r="C308" s="3172" t="s">
        <v>4792</v>
      </c>
      <c r="D308" s="3173" t="s">
        <v>5404</v>
      </c>
      <c r="E308" s="3172" t="s">
        <v>5405</v>
      </c>
      <c r="F308" s="3179" t="s">
        <v>4795</v>
      </c>
      <c r="G308" s="3171">
        <v>-1459</v>
      </c>
      <c r="H308" s="3174">
        <v>37.39</v>
      </c>
      <c r="I308" s="3175">
        <v>600000.32120000001</v>
      </c>
      <c r="J308" s="3176" t="s">
        <v>3453</v>
      </c>
      <c r="K308" s="3163"/>
      <c r="M308" s="3163"/>
    </row>
    <row r="309" spans="1:13" ht="16.5">
      <c r="A309" s="3170">
        <v>307</v>
      </c>
      <c r="B309" s="3171" t="s">
        <v>4792</v>
      </c>
      <c r="C309" s="3172" t="s">
        <v>4792</v>
      </c>
      <c r="D309" s="3173" t="s">
        <v>5406</v>
      </c>
      <c r="E309" s="3172" t="s">
        <v>5407</v>
      </c>
      <c r="F309" s="3179" t="s">
        <v>4795</v>
      </c>
      <c r="G309" s="3171">
        <v>-1460</v>
      </c>
      <c r="H309" s="3174">
        <v>37.39</v>
      </c>
      <c r="I309" s="3175">
        <v>600000.32120000001</v>
      </c>
      <c r="J309" s="3176" t="s">
        <v>3453</v>
      </c>
      <c r="K309" s="3163"/>
      <c r="M309" s="3163"/>
    </row>
    <row r="310" spans="1:13" ht="16.5">
      <c r="A310" s="3170">
        <v>308</v>
      </c>
      <c r="B310" s="3171" t="s">
        <v>4792</v>
      </c>
      <c r="C310" s="3172" t="s">
        <v>4792</v>
      </c>
      <c r="D310" s="3173" t="s">
        <v>5408</v>
      </c>
      <c r="E310" s="3172" t="s">
        <v>5409</v>
      </c>
      <c r="F310" s="3179" t="s">
        <v>4795</v>
      </c>
      <c r="G310" s="3171">
        <v>-1463</v>
      </c>
      <c r="H310" s="3174">
        <v>37.39</v>
      </c>
      <c r="I310" s="3175">
        <v>600000.32120000001</v>
      </c>
      <c r="J310" s="3176" t="s">
        <v>3453</v>
      </c>
      <c r="K310" s="3163"/>
      <c r="M310" s="3163"/>
    </row>
    <row r="311" spans="1:13" ht="16.5">
      <c r="A311" s="3170">
        <v>309</v>
      </c>
      <c r="B311" s="3171" t="s">
        <v>4792</v>
      </c>
      <c r="C311" s="3172" t="s">
        <v>4792</v>
      </c>
      <c r="D311" s="3173" t="s">
        <v>5410</v>
      </c>
      <c r="E311" s="3172" t="s">
        <v>5411</v>
      </c>
      <c r="F311" s="3179" t="s">
        <v>4795</v>
      </c>
      <c r="G311" s="3171">
        <v>-1464</v>
      </c>
      <c r="H311" s="3174">
        <v>37.39</v>
      </c>
      <c r="I311" s="3175">
        <v>600000.32120000001</v>
      </c>
      <c r="J311" s="3176" t="s">
        <v>3453</v>
      </c>
      <c r="K311" s="3163"/>
      <c r="M311" s="3163"/>
    </row>
    <row r="312" spans="1:13" ht="16.5">
      <c r="A312" s="3170">
        <v>310</v>
      </c>
      <c r="B312" s="3171" t="s">
        <v>4792</v>
      </c>
      <c r="C312" s="3172" t="s">
        <v>4792</v>
      </c>
      <c r="D312" s="3173" t="s">
        <v>5412</v>
      </c>
      <c r="E312" s="3172" t="s">
        <v>5413</v>
      </c>
      <c r="F312" s="3179" t="s">
        <v>4795</v>
      </c>
      <c r="G312" s="3171">
        <v>-1465</v>
      </c>
      <c r="H312" s="3174">
        <v>37.39</v>
      </c>
      <c r="I312" s="3175">
        <v>600000.32120000001</v>
      </c>
      <c r="J312" s="3176" t="s">
        <v>3453</v>
      </c>
      <c r="K312" s="3163"/>
      <c r="M312" s="3163"/>
    </row>
    <row r="313" spans="1:13" ht="16.5">
      <c r="A313" s="3170">
        <v>311</v>
      </c>
      <c r="B313" s="3171" t="s">
        <v>4792</v>
      </c>
      <c r="C313" s="3172" t="s">
        <v>4792</v>
      </c>
      <c r="D313" s="3173" t="s">
        <v>5414</v>
      </c>
      <c r="E313" s="3172" t="s">
        <v>5415</v>
      </c>
      <c r="F313" s="3179" t="s">
        <v>4795</v>
      </c>
      <c r="G313" s="3171">
        <v>-1471</v>
      </c>
      <c r="H313" s="3174">
        <v>37.39</v>
      </c>
      <c r="I313" s="3175">
        <v>600000.32120000001</v>
      </c>
      <c r="J313" s="3176" t="s">
        <v>3453</v>
      </c>
      <c r="K313" s="3163"/>
      <c r="M313" s="3163"/>
    </row>
    <row r="314" spans="1:13" ht="16.5">
      <c r="A314" s="3170">
        <v>312</v>
      </c>
      <c r="B314" s="3171" t="s">
        <v>4792</v>
      </c>
      <c r="C314" s="3172" t="s">
        <v>4792</v>
      </c>
      <c r="D314" s="3173" t="s">
        <v>5416</v>
      </c>
      <c r="E314" s="3172" t="s">
        <v>5417</v>
      </c>
      <c r="F314" s="3179" t="s">
        <v>4795</v>
      </c>
      <c r="G314" s="3171">
        <v>-1479</v>
      </c>
      <c r="H314" s="3174">
        <v>37.39</v>
      </c>
      <c r="I314" s="3175">
        <v>600000.32120000001</v>
      </c>
      <c r="J314" s="3176" t="s">
        <v>3453</v>
      </c>
      <c r="K314" s="3163"/>
      <c r="M314" s="3163"/>
    </row>
    <row r="315" spans="1:13" ht="16.5">
      <c r="A315" s="3170">
        <v>313</v>
      </c>
      <c r="B315" s="3171" t="s">
        <v>4792</v>
      </c>
      <c r="C315" s="3172" t="s">
        <v>4792</v>
      </c>
      <c r="D315" s="3173" t="s">
        <v>5418</v>
      </c>
      <c r="E315" s="3172" t="s">
        <v>5419</v>
      </c>
      <c r="F315" s="3179" t="s">
        <v>4795</v>
      </c>
      <c r="G315" s="3171">
        <v>-1480</v>
      </c>
      <c r="H315" s="3174">
        <v>37.39</v>
      </c>
      <c r="I315" s="3175">
        <v>600000.32120000001</v>
      </c>
      <c r="J315" s="3176" t="s">
        <v>3453</v>
      </c>
      <c r="K315" s="3163"/>
      <c r="M315" s="3163"/>
    </row>
    <row r="316" spans="1:13" ht="16.5">
      <c r="A316" s="3170">
        <v>314</v>
      </c>
      <c r="B316" s="3171" t="s">
        <v>4792</v>
      </c>
      <c r="C316" s="3172" t="s">
        <v>4792</v>
      </c>
      <c r="D316" s="3173" t="s">
        <v>5420</v>
      </c>
      <c r="E316" s="3172" t="s">
        <v>5421</v>
      </c>
      <c r="F316" s="3179" t="s">
        <v>4795</v>
      </c>
      <c r="G316" s="3171">
        <v>-1482</v>
      </c>
      <c r="H316" s="3174">
        <v>37.39</v>
      </c>
      <c r="I316" s="3175">
        <v>600000.32120000001</v>
      </c>
      <c r="J316" s="3176" t="s">
        <v>3453</v>
      </c>
      <c r="K316" s="3163"/>
      <c r="M316" s="3163"/>
    </row>
    <row r="317" spans="1:13" ht="16.5">
      <c r="A317" s="3170">
        <v>315</v>
      </c>
      <c r="B317" s="3171" t="s">
        <v>4792</v>
      </c>
      <c r="C317" s="3172" t="s">
        <v>4792</v>
      </c>
      <c r="D317" s="3173" t="s">
        <v>5422</v>
      </c>
      <c r="E317" s="3172" t="s">
        <v>5423</v>
      </c>
      <c r="F317" s="3179" t="s">
        <v>4795</v>
      </c>
      <c r="G317" s="3171">
        <v>-1483</v>
      </c>
      <c r="H317" s="3174">
        <v>55.34</v>
      </c>
      <c r="I317" s="3175">
        <v>600000.15379999997</v>
      </c>
      <c r="J317" s="3176" t="s">
        <v>3453</v>
      </c>
      <c r="K317" s="3163"/>
      <c r="M317" s="3163"/>
    </row>
    <row r="318" spans="1:13" ht="16.5">
      <c r="A318" s="3170">
        <v>316</v>
      </c>
      <c r="B318" s="3171" t="s">
        <v>4792</v>
      </c>
      <c r="C318" s="3172" t="s">
        <v>4792</v>
      </c>
      <c r="D318" s="3173" t="s">
        <v>5424</v>
      </c>
      <c r="E318" s="3172" t="s">
        <v>5425</v>
      </c>
      <c r="F318" s="3179" t="s">
        <v>4795</v>
      </c>
      <c r="G318" s="3171">
        <v>-1484</v>
      </c>
      <c r="H318" s="3174">
        <v>37.39</v>
      </c>
      <c r="I318" s="3175">
        <v>600000.32120000001</v>
      </c>
      <c r="J318" s="3176" t="s">
        <v>3453</v>
      </c>
      <c r="K318" s="3163"/>
      <c r="M318" s="3163"/>
    </row>
    <row r="319" spans="1:13" ht="16.5">
      <c r="A319" s="3170">
        <v>317</v>
      </c>
      <c r="B319" s="3171" t="s">
        <v>4792</v>
      </c>
      <c r="C319" s="3172" t="s">
        <v>4792</v>
      </c>
      <c r="D319" s="3173" t="s">
        <v>5426</v>
      </c>
      <c r="E319" s="3172" t="s">
        <v>5427</v>
      </c>
      <c r="F319" s="3179" t="s">
        <v>4795</v>
      </c>
      <c r="G319" s="3171">
        <v>-1485</v>
      </c>
      <c r="H319" s="3174">
        <v>37.39</v>
      </c>
      <c r="I319" s="3175">
        <v>600000.32120000001</v>
      </c>
      <c r="J319" s="3176" t="s">
        <v>3453</v>
      </c>
      <c r="K319" s="3163"/>
      <c r="M319" s="3163"/>
    </row>
    <row r="320" spans="1:13" ht="16.5">
      <c r="A320" s="3170">
        <v>318</v>
      </c>
      <c r="B320" s="3171" t="s">
        <v>4792</v>
      </c>
      <c r="C320" s="3172" t="s">
        <v>4792</v>
      </c>
      <c r="D320" s="3173" t="s">
        <v>5428</v>
      </c>
      <c r="E320" s="3172" t="s">
        <v>5429</v>
      </c>
      <c r="F320" s="3179" t="s">
        <v>4795</v>
      </c>
      <c r="G320" s="3171">
        <v>-1487</v>
      </c>
      <c r="H320" s="3174">
        <v>37.39</v>
      </c>
      <c r="I320" s="3175">
        <v>600000.32120000001</v>
      </c>
      <c r="J320" s="3176" t="s">
        <v>3453</v>
      </c>
      <c r="K320" s="3163"/>
      <c r="M320" s="3163"/>
    </row>
    <row r="321" spans="1:13" ht="16.5">
      <c r="A321" s="3170">
        <v>319</v>
      </c>
      <c r="B321" s="3171" t="s">
        <v>4792</v>
      </c>
      <c r="C321" s="3172" t="s">
        <v>4792</v>
      </c>
      <c r="D321" s="3173" t="s">
        <v>5430</v>
      </c>
      <c r="E321" s="3172" t="s">
        <v>5431</v>
      </c>
      <c r="F321" s="3179" t="s">
        <v>4795</v>
      </c>
      <c r="G321" s="3171">
        <v>-1494</v>
      </c>
      <c r="H321" s="3174">
        <v>37.39</v>
      </c>
      <c r="I321" s="3175">
        <v>600000.32120000001</v>
      </c>
      <c r="J321" s="3176" t="s">
        <v>3453</v>
      </c>
      <c r="K321" s="3163"/>
      <c r="M321" s="3163"/>
    </row>
    <row r="322" spans="1:13" ht="16.5">
      <c r="A322" s="3170">
        <v>320</v>
      </c>
      <c r="B322" s="3171" t="s">
        <v>4792</v>
      </c>
      <c r="C322" s="3172" t="s">
        <v>4792</v>
      </c>
      <c r="D322" s="3173" t="s">
        <v>5432</v>
      </c>
      <c r="E322" s="3172" t="s">
        <v>5433</v>
      </c>
      <c r="F322" s="3179" t="s">
        <v>4795</v>
      </c>
      <c r="G322" s="3171">
        <v>-1495</v>
      </c>
      <c r="H322" s="3174">
        <v>37.39</v>
      </c>
      <c r="I322" s="3175">
        <v>600000.32120000001</v>
      </c>
      <c r="J322" s="3176" t="s">
        <v>3453</v>
      </c>
      <c r="K322" s="3163"/>
      <c r="M322" s="3163"/>
    </row>
    <row r="323" spans="1:13" ht="16.5">
      <c r="A323" s="3170">
        <v>321</v>
      </c>
      <c r="B323" s="3171" t="s">
        <v>4792</v>
      </c>
      <c r="C323" s="3172" t="s">
        <v>4792</v>
      </c>
      <c r="D323" s="3173" t="s">
        <v>5434</v>
      </c>
      <c r="E323" s="3172" t="s">
        <v>5435</v>
      </c>
      <c r="F323" s="3179" t="s">
        <v>4795</v>
      </c>
      <c r="G323" s="3171">
        <v>-1500</v>
      </c>
      <c r="H323" s="3174">
        <v>37.39</v>
      </c>
      <c r="I323" s="3175">
        <v>600000.32120000001</v>
      </c>
      <c r="J323" s="3176" t="s">
        <v>3453</v>
      </c>
      <c r="K323" s="3163"/>
      <c r="M323" s="3163"/>
    </row>
    <row r="324" spans="1:13" ht="16.5">
      <c r="A324" s="3170">
        <v>322</v>
      </c>
      <c r="B324" s="3171" t="s">
        <v>4792</v>
      </c>
      <c r="C324" s="3172" t="s">
        <v>4792</v>
      </c>
      <c r="D324" s="3173" t="s">
        <v>5436</v>
      </c>
      <c r="E324" s="3172" t="s">
        <v>5437</v>
      </c>
      <c r="F324" s="3179" t="s">
        <v>4795</v>
      </c>
      <c r="G324" s="3171">
        <v>-1501</v>
      </c>
      <c r="H324" s="3174">
        <v>37.39</v>
      </c>
      <c r="I324" s="3175">
        <v>600000.32120000001</v>
      </c>
      <c r="J324" s="3176" t="s">
        <v>3453</v>
      </c>
      <c r="K324" s="3163"/>
      <c r="M324" s="3163"/>
    </row>
    <row r="325" spans="1:13" ht="16.5">
      <c r="A325" s="3170">
        <v>323</v>
      </c>
      <c r="B325" s="3171" t="s">
        <v>4792</v>
      </c>
      <c r="C325" s="3172" t="s">
        <v>4792</v>
      </c>
      <c r="D325" s="3173" t="s">
        <v>5438</v>
      </c>
      <c r="E325" s="3172" t="s">
        <v>5439</v>
      </c>
      <c r="F325" s="3179" t="s">
        <v>4795</v>
      </c>
      <c r="G325" s="3171">
        <v>-1502</v>
      </c>
      <c r="H325" s="3174">
        <v>37.39</v>
      </c>
      <c r="I325" s="3175">
        <v>600000.32120000001</v>
      </c>
      <c r="J325" s="3176" t="s">
        <v>3453</v>
      </c>
      <c r="K325" s="3163"/>
      <c r="M325" s="3163"/>
    </row>
    <row r="326" spans="1:13" ht="16.5">
      <c r="A326" s="3170">
        <v>324</v>
      </c>
      <c r="B326" s="3171" t="s">
        <v>4792</v>
      </c>
      <c r="C326" s="3172" t="s">
        <v>4792</v>
      </c>
      <c r="D326" s="3173" t="s">
        <v>5440</v>
      </c>
      <c r="E326" s="3172" t="s">
        <v>5441</v>
      </c>
      <c r="F326" s="3179" t="s">
        <v>4795</v>
      </c>
      <c r="G326" s="3171">
        <v>-1503</v>
      </c>
      <c r="H326" s="3174">
        <v>37.39</v>
      </c>
      <c r="I326" s="3175">
        <v>600000.32120000001</v>
      </c>
      <c r="J326" s="3176" t="s">
        <v>3453</v>
      </c>
      <c r="K326" s="3163"/>
      <c r="M326" s="3163"/>
    </row>
    <row r="327" spans="1:13" ht="16.5">
      <c r="A327" s="3170">
        <v>325</v>
      </c>
      <c r="B327" s="3171" t="s">
        <v>4792</v>
      </c>
      <c r="C327" s="3172" t="s">
        <v>4792</v>
      </c>
      <c r="D327" s="3173" t="s">
        <v>5442</v>
      </c>
      <c r="E327" s="3172" t="s">
        <v>5443</v>
      </c>
      <c r="F327" s="3179" t="s">
        <v>4795</v>
      </c>
      <c r="G327" s="3171">
        <v>-1504</v>
      </c>
      <c r="H327" s="3174">
        <v>37.39</v>
      </c>
      <c r="I327" s="3175">
        <v>600000.32120000001</v>
      </c>
      <c r="J327" s="3176" t="s">
        <v>3453</v>
      </c>
      <c r="K327" s="3163"/>
      <c r="M327" s="3163"/>
    </row>
    <row r="328" spans="1:13" ht="16.5">
      <c r="A328" s="3170">
        <v>326</v>
      </c>
      <c r="B328" s="3171" t="s">
        <v>4792</v>
      </c>
      <c r="C328" s="3172" t="s">
        <v>4792</v>
      </c>
      <c r="D328" s="3173" t="s">
        <v>5444</v>
      </c>
      <c r="E328" s="3172" t="s">
        <v>5445</v>
      </c>
      <c r="F328" s="3179" t="s">
        <v>4795</v>
      </c>
      <c r="G328" s="3171">
        <v>-1505</v>
      </c>
      <c r="H328" s="3174">
        <v>37.39</v>
      </c>
      <c r="I328" s="3175">
        <v>600000.32120000001</v>
      </c>
      <c r="J328" s="3176" t="s">
        <v>3453</v>
      </c>
      <c r="K328" s="3163"/>
      <c r="M328" s="3163"/>
    </row>
    <row r="329" spans="1:13" ht="16.5">
      <c r="A329" s="3170">
        <v>327</v>
      </c>
      <c r="B329" s="3171" t="s">
        <v>4792</v>
      </c>
      <c r="C329" s="3172" t="s">
        <v>4792</v>
      </c>
      <c r="D329" s="3173" t="s">
        <v>5446</v>
      </c>
      <c r="E329" s="3172" t="s">
        <v>5447</v>
      </c>
      <c r="F329" s="3179" t="s">
        <v>4795</v>
      </c>
      <c r="G329" s="3171">
        <v>-1506</v>
      </c>
      <c r="H329" s="3174">
        <v>37.39</v>
      </c>
      <c r="I329" s="3175">
        <v>600000.32120000001</v>
      </c>
      <c r="J329" s="3176" t="s">
        <v>3453</v>
      </c>
      <c r="K329" s="3163"/>
      <c r="M329" s="3163"/>
    </row>
    <row r="330" spans="1:13" ht="16.5">
      <c r="A330" s="3170">
        <v>328</v>
      </c>
      <c r="B330" s="3171" t="s">
        <v>4792</v>
      </c>
      <c r="C330" s="3172" t="s">
        <v>4792</v>
      </c>
      <c r="D330" s="3173" t="s">
        <v>5448</v>
      </c>
      <c r="E330" s="3172" t="s">
        <v>5449</v>
      </c>
      <c r="F330" s="3179" t="s">
        <v>4795</v>
      </c>
      <c r="G330" s="3171">
        <v>-1507</v>
      </c>
      <c r="H330" s="3174">
        <v>37.39</v>
      </c>
      <c r="I330" s="3175">
        <v>600000.32120000001</v>
      </c>
      <c r="J330" s="3176" t="s">
        <v>3453</v>
      </c>
      <c r="K330" s="3163"/>
      <c r="M330" s="3163"/>
    </row>
    <row r="331" spans="1:13" ht="16.5">
      <c r="A331" s="3170">
        <v>329</v>
      </c>
      <c r="B331" s="3171" t="s">
        <v>4792</v>
      </c>
      <c r="C331" s="3172" t="s">
        <v>4792</v>
      </c>
      <c r="D331" s="3173" t="s">
        <v>5450</v>
      </c>
      <c r="E331" s="3172" t="s">
        <v>5451</v>
      </c>
      <c r="F331" s="3179" t="s">
        <v>4795</v>
      </c>
      <c r="G331" s="3171">
        <v>-1508</v>
      </c>
      <c r="H331" s="3174">
        <v>37.39</v>
      </c>
      <c r="I331" s="3175">
        <v>600000.32120000001</v>
      </c>
      <c r="J331" s="3176" t="s">
        <v>3453</v>
      </c>
      <c r="K331" s="3163"/>
      <c r="M331" s="3163"/>
    </row>
    <row r="332" spans="1:13" ht="16.5">
      <c r="A332" s="3170">
        <v>330</v>
      </c>
      <c r="B332" s="3171" t="s">
        <v>4792</v>
      </c>
      <c r="C332" s="3172" t="s">
        <v>4792</v>
      </c>
      <c r="D332" s="3173" t="s">
        <v>5452</v>
      </c>
      <c r="E332" s="3172" t="s">
        <v>5453</v>
      </c>
      <c r="F332" s="3179" t="s">
        <v>4795</v>
      </c>
      <c r="G332" s="3171">
        <v>-1509</v>
      </c>
      <c r="H332" s="3174">
        <v>37.39</v>
      </c>
      <c r="I332" s="3175">
        <v>600000.32120000001</v>
      </c>
      <c r="J332" s="3176" t="s">
        <v>3453</v>
      </c>
      <c r="K332" s="3163"/>
      <c r="M332" s="3163"/>
    </row>
    <row r="333" spans="1:13" ht="16.5">
      <c r="A333" s="3170">
        <v>331</v>
      </c>
      <c r="B333" s="3171" t="s">
        <v>4792</v>
      </c>
      <c r="C333" s="3172" t="s">
        <v>4792</v>
      </c>
      <c r="D333" s="3173" t="s">
        <v>5454</v>
      </c>
      <c r="E333" s="3172" t="s">
        <v>5455</v>
      </c>
      <c r="F333" s="3179" t="s">
        <v>4795</v>
      </c>
      <c r="G333" s="3171">
        <v>-1515</v>
      </c>
      <c r="H333" s="3174">
        <v>37.39</v>
      </c>
      <c r="I333" s="3175">
        <v>600000.32120000001</v>
      </c>
      <c r="J333" s="3176" t="s">
        <v>3453</v>
      </c>
      <c r="K333" s="3163"/>
      <c r="M333" s="3163"/>
    </row>
    <row r="334" spans="1:13" ht="16.5">
      <c r="A334" s="3170">
        <v>332</v>
      </c>
      <c r="B334" s="3171" t="s">
        <v>4792</v>
      </c>
      <c r="C334" s="3172" t="s">
        <v>4792</v>
      </c>
      <c r="D334" s="3173" t="s">
        <v>5456</v>
      </c>
      <c r="E334" s="3172" t="s">
        <v>5457</v>
      </c>
      <c r="F334" s="3179" t="s">
        <v>4795</v>
      </c>
      <c r="G334" s="3171">
        <v>-1520</v>
      </c>
      <c r="H334" s="3174">
        <v>37.39</v>
      </c>
      <c r="I334" s="3175">
        <v>600000.32120000001</v>
      </c>
      <c r="J334" s="3176" t="s">
        <v>3453</v>
      </c>
      <c r="K334" s="3163"/>
      <c r="M334" s="3163"/>
    </row>
    <row r="335" spans="1:13" ht="16.5">
      <c r="A335" s="3170">
        <v>333</v>
      </c>
      <c r="B335" s="3171" t="s">
        <v>4792</v>
      </c>
      <c r="C335" s="3172" t="s">
        <v>4792</v>
      </c>
      <c r="D335" s="3173" t="s">
        <v>5458</v>
      </c>
      <c r="E335" s="3172" t="s">
        <v>5459</v>
      </c>
      <c r="F335" s="3179" t="s">
        <v>4795</v>
      </c>
      <c r="G335" s="3171">
        <v>-1521</v>
      </c>
      <c r="H335" s="3174">
        <v>37.39</v>
      </c>
      <c r="I335" s="3175">
        <v>600000.32120000001</v>
      </c>
      <c r="J335" s="3176" t="s">
        <v>3453</v>
      </c>
      <c r="K335" s="3163"/>
      <c r="M335" s="3163"/>
    </row>
    <row r="336" spans="1:13" ht="16.5">
      <c r="A336" s="3170">
        <v>334</v>
      </c>
      <c r="B336" s="3171" t="s">
        <v>4792</v>
      </c>
      <c r="C336" s="3172" t="s">
        <v>4792</v>
      </c>
      <c r="D336" s="3173" t="s">
        <v>5460</v>
      </c>
      <c r="E336" s="3172" t="s">
        <v>5461</v>
      </c>
      <c r="F336" s="3179" t="s">
        <v>4795</v>
      </c>
      <c r="G336" s="3171">
        <v>-1523</v>
      </c>
      <c r="H336" s="3174">
        <v>37.39</v>
      </c>
      <c r="I336" s="3175">
        <v>600000.32120000001</v>
      </c>
      <c r="J336" s="3176" t="s">
        <v>3453</v>
      </c>
      <c r="K336" s="3163"/>
      <c r="M336" s="3163"/>
    </row>
    <row r="337" spans="1:13" ht="16.5">
      <c r="A337" s="3170">
        <v>335</v>
      </c>
      <c r="B337" s="3171" t="s">
        <v>4792</v>
      </c>
      <c r="C337" s="3172" t="s">
        <v>4792</v>
      </c>
      <c r="D337" s="3173" t="s">
        <v>5462</v>
      </c>
      <c r="E337" s="3172" t="s">
        <v>5463</v>
      </c>
      <c r="F337" s="3179" t="s">
        <v>4795</v>
      </c>
      <c r="G337" s="3171">
        <v>-1524</v>
      </c>
      <c r="H337" s="3174">
        <v>37.39</v>
      </c>
      <c r="I337" s="3175">
        <v>600000.32120000001</v>
      </c>
      <c r="J337" s="3176" t="s">
        <v>3453</v>
      </c>
      <c r="K337" s="3163"/>
      <c r="M337" s="3163"/>
    </row>
    <row r="338" spans="1:13" ht="16.5">
      <c r="A338" s="3170">
        <v>336</v>
      </c>
      <c r="B338" s="3171" t="s">
        <v>4792</v>
      </c>
      <c r="C338" s="3172" t="s">
        <v>4792</v>
      </c>
      <c r="D338" s="3173" t="s">
        <v>5464</v>
      </c>
      <c r="E338" s="3172" t="s">
        <v>5465</v>
      </c>
      <c r="F338" s="3179" t="s">
        <v>4795</v>
      </c>
      <c r="G338" s="3171">
        <v>-1525</v>
      </c>
      <c r="H338" s="3174">
        <v>37.39</v>
      </c>
      <c r="I338" s="3175">
        <v>600000.32120000001</v>
      </c>
      <c r="J338" s="3176" t="s">
        <v>3453</v>
      </c>
      <c r="K338" s="3163"/>
      <c r="M338" s="3163"/>
    </row>
    <row r="339" spans="1:13" ht="16.5">
      <c r="A339" s="3170">
        <v>337</v>
      </c>
      <c r="B339" s="3171" t="s">
        <v>4792</v>
      </c>
      <c r="C339" s="3172" t="s">
        <v>4792</v>
      </c>
      <c r="D339" s="3173" t="s">
        <v>5466</v>
      </c>
      <c r="E339" s="3172" t="s">
        <v>5467</v>
      </c>
      <c r="F339" s="3179" t="s">
        <v>4795</v>
      </c>
      <c r="G339" s="3171">
        <v>-1527</v>
      </c>
      <c r="H339" s="3174">
        <v>37.39</v>
      </c>
      <c r="I339" s="3175">
        <v>600000.32120000001</v>
      </c>
      <c r="J339" s="3176" t="s">
        <v>3453</v>
      </c>
      <c r="K339" s="3163"/>
      <c r="M339" s="3163"/>
    </row>
    <row r="340" spans="1:13" ht="16.5">
      <c r="A340" s="3170">
        <v>338</v>
      </c>
      <c r="B340" s="3171" t="s">
        <v>4792</v>
      </c>
      <c r="C340" s="3172" t="s">
        <v>4792</v>
      </c>
      <c r="D340" s="3173" t="s">
        <v>5468</v>
      </c>
      <c r="E340" s="3172" t="s">
        <v>5469</v>
      </c>
      <c r="F340" s="3179" t="s">
        <v>4795</v>
      </c>
      <c r="G340" s="3171">
        <v>-1530</v>
      </c>
      <c r="H340" s="3174">
        <v>37.39</v>
      </c>
      <c r="I340" s="3175">
        <v>600000.32120000001</v>
      </c>
      <c r="J340" s="3176" t="s">
        <v>3453</v>
      </c>
      <c r="K340" s="3163"/>
      <c r="M340" s="3163"/>
    </row>
    <row r="341" spans="1:13" ht="16.5">
      <c r="A341" s="3170">
        <v>339</v>
      </c>
      <c r="B341" s="3171" t="s">
        <v>4792</v>
      </c>
      <c r="C341" s="3172" t="s">
        <v>4792</v>
      </c>
      <c r="D341" s="3173" t="s">
        <v>5470</v>
      </c>
      <c r="E341" s="3172" t="s">
        <v>5471</v>
      </c>
      <c r="F341" s="3179" t="s">
        <v>4795</v>
      </c>
      <c r="G341" s="3171">
        <v>-1531</v>
      </c>
      <c r="H341" s="3174">
        <v>37.39</v>
      </c>
      <c r="I341" s="3175">
        <v>600000.32120000001</v>
      </c>
      <c r="J341" s="3176" t="s">
        <v>3453</v>
      </c>
      <c r="K341" s="3163"/>
      <c r="M341" s="3163"/>
    </row>
    <row r="342" spans="1:13" ht="16.5">
      <c r="A342" s="3170">
        <v>340</v>
      </c>
      <c r="B342" s="3171" t="s">
        <v>4792</v>
      </c>
      <c r="C342" s="3172" t="s">
        <v>4792</v>
      </c>
      <c r="D342" s="3173" t="s">
        <v>5472</v>
      </c>
      <c r="E342" s="3172" t="s">
        <v>5473</v>
      </c>
      <c r="F342" s="3179" t="s">
        <v>4795</v>
      </c>
      <c r="G342" s="3171">
        <v>-1533</v>
      </c>
      <c r="H342" s="3174">
        <v>37.39</v>
      </c>
      <c r="I342" s="3175">
        <v>600000.32120000001</v>
      </c>
      <c r="J342" s="3176" t="s">
        <v>3453</v>
      </c>
      <c r="K342" s="3163"/>
      <c r="M342" s="3163"/>
    </row>
    <row r="343" spans="1:13" ht="16.5">
      <c r="A343" s="3170">
        <v>341</v>
      </c>
      <c r="B343" s="3171" t="s">
        <v>4792</v>
      </c>
      <c r="C343" s="3172" t="s">
        <v>4792</v>
      </c>
      <c r="D343" s="3173" t="s">
        <v>5474</v>
      </c>
      <c r="E343" s="3172" t="s">
        <v>5475</v>
      </c>
      <c r="F343" s="3179" t="s">
        <v>4795</v>
      </c>
      <c r="G343" s="3171">
        <v>-1535</v>
      </c>
      <c r="H343" s="3174">
        <v>37.39</v>
      </c>
      <c r="I343" s="3175">
        <v>600000.32120000001</v>
      </c>
      <c r="J343" s="3176" t="s">
        <v>3469</v>
      </c>
      <c r="K343" s="3163"/>
      <c r="M343" s="3163"/>
    </row>
    <row r="344" spans="1:13" ht="16.5">
      <c r="A344" s="3170">
        <v>342</v>
      </c>
      <c r="B344" s="3171" t="s">
        <v>4792</v>
      </c>
      <c r="C344" s="3172" t="s">
        <v>4792</v>
      </c>
      <c r="D344" s="3173" t="s">
        <v>5476</v>
      </c>
      <c r="E344" s="3172" t="s">
        <v>5477</v>
      </c>
      <c r="F344" s="3179" t="s">
        <v>4795</v>
      </c>
      <c r="G344" s="3171">
        <v>-1537</v>
      </c>
      <c r="H344" s="3174">
        <v>37.39</v>
      </c>
      <c r="I344" s="3175">
        <v>600000.32120000001</v>
      </c>
      <c r="J344" s="3176" t="s">
        <v>3453</v>
      </c>
      <c r="K344" s="3163"/>
      <c r="M344" s="3163"/>
    </row>
    <row r="345" spans="1:13" ht="16.5">
      <c r="A345" s="3170">
        <v>343</v>
      </c>
      <c r="B345" s="3171" t="s">
        <v>4792</v>
      </c>
      <c r="C345" s="3172" t="s">
        <v>4792</v>
      </c>
      <c r="D345" s="3173" t="s">
        <v>5478</v>
      </c>
      <c r="E345" s="3172" t="s">
        <v>5479</v>
      </c>
      <c r="F345" s="3179" t="s">
        <v>4795</v>
      </c>
      <c r="G345" s="3171">
        <v>-1540</v>
      </c>
      <c r="H345" s="3174">
        <v>37.39</v>
      </c>
      <c r="I345" s="3175">
        <v>600000.32120000001</v>
      </c>
      <c r="J345" s="3176" t="s">
        <v>3453</v>
      </c>
      <c r="K345" s="3163"/>
      <c r="M345" s="3163"/>
    </row>
    <row r="346" spans="1:13" ht="16.5">
      <c r="A346" s="3170">
        <v>344</v>
      </c>
      <c r="B346" s="3171" t="s">
        <v>4792</v>
      </c>
      <c r="C346" s="3172" t="s">
        <v>4792</v>
      </c>
      <c r="D346" s="3173" t="s">
        <v>5480</v>
      </c>
      <c r="E346" s="3172" t="s">
        <v>5481</v>
      </c>
      <c r="F346" s="3179" t="s">
        <v>4795</v>
      </c>
      <c r="G346" s="3171">
        <v>-1541</v>
      </c>
      <c r="H346" s="3174">
        <v>37.39</v>
      </c>
      <c r="I346" s="3175">
        <v>600000.32120000001</v>
      </c>
      <c r="J346" s="3176" t="s">
        <v>3453</v>
      </c>
      <c r="K346" s="3163"/>
      <c r="M346" s="3163"/>
    </row>
    <row r="347" spans="1:13" ht="16.5">
      <c r="A347" s="3170">
        <v>345</v>
      </c>
      <c r="B347" s="3171" t="s">
        <v>4792</v>
      </c>
      <c r="C347" s="3172" t="s">
        <v>4792</v>
      </c>
      <c r="D347" s="3173" t="s">
        <v>5482</v>
      </c>
      <c r="E347" s="3172" t="s">
        <v>5483</v>
      </c>
      <c r="F347" s="3179" t="s">
        <v>4795</v>
      </c>
      <c r="G347" s="3171">
        <v>-1543</v>
      </c>
      <c r="H347" s="3174">
        <v>37.39</v>
      </c>
      <c r="I347" s="3175">
        <v>600000.32120000001</v>
      </c>
      <c r="J347" s="3176" t="s">
        <v>3453</v>
      </c>
      <c r="K347" s="3163"/>
      <c r="M347" s="3163"/>
    </row>
    <row r="348" spans="1:13" ht="16.5">
      <c r="A348" s="3170">
        <v>346</v>
      </c>
      <c r="B348" s="3171" t="s">
        <v>4792</v>
      </c>
      <c r="C348" s="3172" t="s">
        <v>4792</v>
      </c>
      <c r="D348" s="3173" t="s">
        <v>5484</v>
      </c>
      <c r="E348" s="3172" t="s">
        <v>5485</v>
      </c>
      <c r="F348" s="3179" t="s">
        <v>4795</v>
      </c>
      <c r="G348" s="3171">
        <v>-1544</v>
      </c>
      <c r="H348" s="3174">
        <v>37.39</v>
      </c>
      <c r="I348" s="3175">
        <v>600000.32120000001</v>
      </c>
      <c r="J348" s="3176" t="s">
        <v>3453</v>
      </c>
      <c r="K348" s="3163"/>
      <c r="M348" s="3163"/>
    </row>
    <row r="349" spans="1:13" ht="16.5">
      <c r="A349" s="3170">
        <v>347</v>
      </c>
      <c r="B349" s="3171" t="s">
        <v>4792</v>
      </c>
      <c r="C349" s="3172" t="s">
        <v>4792</v>
      </c>
      <c r="D349" s="3173" t="s">
        <v>5486</v>
      </c>
      <c r="E349" s="3172" t="s">
        <v>5487</v>
      </c>
      <c r="F349" s="3179" t="s">
        <v>4795</v>
      </c>
      <c r="G349" s="3171">
        <v>-1545</v>
      </c>
      <c r="H349" s="3174">
        <v>37.39</v>
      </c>
      <c r="I349" s="3175">
        <v>600000.32120000001</v>
      </c>
      <c r="J349" s="3176" t="s">
        <v>3453</v>
      </c>
      <c r="K349" s="3163"/>
      <c r="M349" s="3163"/>
    </row>
    <row r="350" spans="1:13" ht="16.5">
      <c r="A350" s="3170">
        <v>348</v>
      </c>
      <c r="B350" s="3171" t="s">
        <v>4792</v>
      </c>
      <c r="C350" s="3172" t="s">
        <v>4792</v>
      </c>
      <c r="D350" s="3173" t="s">
        <v>5488</v>
      </c>
      <c r="E350" s="3172" t="s">
        <v>5489</v>
      </c>
      <c r="F350" s="3179" t="s">
        <v>4795</v>
      </c>
      <c r="G350" s="3171">
        <v>-1546</v>
      </c>
      <c r="H350" s="3174">
        <v>37.39</v>
      </c>
      <c r="I350" s="3175">
        <v>600000.32120000001</v>
      </c>
      <c r="J350" s="3176" t="s">
        <v>3453</v>
      </c>
      <c r="K350" s="3163"/>
      <c r="M350" s="3163"/>
    </row>
    <row r="351" spans="1:13" ht="16.5">
      <c r="A351" s="3170">
        <v>349</v>
      </c>
      <c r="B351" s="3171" t="s">
        <v>4792</v>
      </c>
      <c r="C351" s="3172" t="s">
        <v>4792</v>
      </c>
      <c r="D351" s="3173" t="s">
        <v>5490</v>
      </c>
      <c r="E351" s="3172" t="s">
        <v>5491</v>
      </c>
      <c r="F351" s="3179" t="s">
        <v>4795</v>
      </c>
      <c r="G351" s="3171">
        <v>-1547</v>
      </c>
      <c r="H351" s="3174">
        <v>37.39</v>
      </c>
      <c r="I351" s="3175">
        <v>600000.32120000001</v>
      </c>
      <c r="J351" s="3176" t="s">
        <v>3453</v>
      </c>
      <c r="K351" s="3163"/>
      <c r="M351" s="3163"/>
    </row>
    <row r="352" spans="1:13" ht="16.5">
      <c r="A352" s="3170">
        <v>350</v>
      </c>
      <c r="B352" s="3171" t="s">
        <v>4792</v>
      </c>
      <c r="C352" s="3172" t="s">
        <v>4792</v>
      </c>
      <c r="D352" s="3173" t="s">
        <v>5492</v>
      </c>
      <c r="E352" s="3172" t="s">
        <v>5493</v>
      </c>
      <c r="F352" s="3179" t="s">
        <v>4795</v>
      </c>
      <c r="G352" s="3171">
        <v>-1548</v>
      </c>
      <c r="H352" s="3174">
        <v>55.34</v>
      </c>
      <c r="I352" s="3175">
        <v>600000.15379999997</v>
      </c>
      <c r="J352" s="3176" t="s">
        <v>3453</v>
      </c>
      <c r="K352" s="3163"/>
      <c r="M352" s="3163"/>
    </row>
    <row r="353" spans="1:13" ht="16.5">
      <c r="A353" s="3170">
        <v>351</v>
      </c>
      <c r="B353" s="3171" t="s">
        <v>4792</v>
      </c>
      <c r="C353" s="3172" t="s">
        <v>4792</v>
      </c>
      <c r="D353" s="3173" t="s">
        <v>5494</v>
      </c>
      <c r="E353" s="3172" t="s">
        <v>5495</v>
      </c>
      <c r="F353" s="3179" t="s">
        <v>4795</v>
      </c>
      <c r="G353" s="3171">
        <v>-1549</v>
      </c>
      <c r="H353" s="3174">
        <v>37.39</v>
      </c>
      <c r="I353" s="3175">
        <v>600000.32120000001</v>
      </c>
      <c r="J353" s="3176" t="s">
        <v>3453</v>
      </c>
      <c r="K353" s="3163"/>
      <c r="M353" s="3163"/>
    </row>
    <row r="354" spans="1:13" ht="16.5">
      <c r="A354" s="3170">
        <v>352</v>
      </c>
      <c r="B354" s="3171" t="s">
        <v>4792</v>
      </c>
      <c r="C354" s="3172" t="s">
        <v>4792</v>
      </c>
      <c r="D354" s="3173" t="s">
        <v>5496</v>
      </c>
      <c r="E354" s="3172" t="s">
        <v>5497</v>
      </c>
      <c r="F354" s="3179" t="s">
        <v>4795</v>
      </c>
      <c r="G354" s="3171">
        <v>-1553</v>
      </c>
      <c r="H354" s="3174">
        <v>37.39</v>
      </c>
      <c r="I354" s="3175">
        <v>600000.32120000001</v>
      </c>
      <c r="J354" s="3176" t="s">
        <v>3453</v>
      </c>
      <c r="K354" s="3163"/>
      <c r="M354" s="3163"/>
    </row>
    <row r="355" spans="1:13" ht="16.5">
      <c r="A355" s="3170">
        <v>353</v>
      </c>
      <c r="B355" s="3171" t="s">
        <v>4792</v>
      </c>
      <c r="C355" s="3172" t="s">
        <v>4792</v>
      </c>
      <c r="D355" s="3173" t="s">
        <v>5498</v>
      </c>
      <c r="E355" s="3172" t="s">
        <v>5499</v>
      </c>
      <c r="F355" s="3179" t="s">
        <v>4795</v>
      </c>
      <c r="G355" s="3171">
        <v>-1554</v>
      </c>
      <c r="H355" s="3174">
        <v>37.39</v>
      </c>
      <c r="I355" s="3175">
        <v>600000.32120000001</v>
      </c>
      <c r="J355" s="3176" t="s">
        <v>3453</v>
      </c>
      <c r="K355" s="3163"/>
      <c r="M355" s="3163"/>
    </row>
    <row r="356" spans="1:13" ht="16.5">
      <c r="A356" s="3170">
        <v>354</v>
      </c>
      <c r="B356" s="3171" t="s">
        <v>4792</v>
      </c>
      <c r="C356" s="3172" t="s">
        <v>4792</v>
      </c>
      <c r="D356" s="3173" t="s">
        <v>5500</v>
      </c>
      <c r="E356" s="3172" t="s">
        <v>5501</v>
      </c>
      <c r="F356" s="3179" t="s">
        <v>4795</v>
      </c>
      <c r="G356" s="3171">
        <v>-1555</v>
      </c>
      <c r="H356" s="3174">
        <v>37.39</v>
      </c>
      <c r="I356" s="3175">
        <v>600000.32120000001</v>
      </c>
      <c r="J356" s="3176" t="s">
        <v>3453</v>
      </c>
      <c r="K356" s="3163"/>
      <c r="M356" s="3163"/>
    </row>
    <row r="357" spans="1:13" ht="16.5">
      <c r="A357" s="3170">
        <v>355</v>
      </c>
      <c r="B357" s="3171" t="s">
        <v>4792</v>
      </c>
      <c r="C357" s="3172" t="s">
        <v>4792</v>
      </c>
      <c r="D357" s="3173" t="s">
        <v>5502</v>
      </c>
      <c r="E357" s="3172" t="s">
        <v>5503</v>
      </c>
      <c r="F357" s="3179" t="s">
        <v>4795</v>
      </c>
      <c r="G357" s="3171">
        <v>-1556</v>
      </c>
      <c r="H357" s="3174">
        <v>37.39</v>
      </c>
      <c r="I357" s="3175">
        <v>600000.32120000001</v>
      </c>
      <c r="J357" s="3176" t="s">
        <v>3453</v>
      </c>
      <c r="K357" s="3163"/>
      <c r="M357" s="3163"/>
    </row>
    <row r="358" spans="1:13" ht="16.5">
      <c r="A358" s="3170">
        <v>356</v>
      </c>
      <c r="B358" s="3171" t="s">
        <v>4792</v>
      </c>
      <c r="C358" s="3172" t="s">
        <v>4792</v>
      </c>
      <c r="D358" s="3173" t="s">
        <v>5504</v>
      </c>
      <c r="E358" s="3172" t="s">
        <v>5505</v>
      </c>
      <c r="F358" s="3179" t="s">
        <v>4795</v>
      </c>
      <c r="G358" s="3171">
        <v>-1557</v>
      </c>
      <c r="H358" s="3174">
        <v>37.39</v>
      </c>
      <c r="I358" s="3175">
        <v>600000.32120000001</v>
      </c>
      <c r="J358" s="3176" t="s">
        <v>3453</v>
      </c>
      <c r="K358" s="3163"/>
      <c r="M358" s="3163"/>
    </row>
    <row r="359" spans="1:13" ht="16.5">
      <c r="A359" s="3170">
        <v>357</v>
      </c>
      <c r="B359" s="3171" t="s">
        <v>4792</v>
      </c>
      <c r="C359" s="3172" t="s">
        <v>4792</v>
      </c>
      <c r="D359" s="3173" t="s">
        <v>5506</v>
      </c>
      <c r="E359" s="3172" t="s">
        <v>5507</v>
      </c>
      <c r="F359" s="3179" t="s">
        <v>4795</v>
      </c>
      <c r="G359" s="3171">
        <v>-1558</v>
      </c>
      <c r="H359" s="3174">
        <v>37.39</v>
      </c>
      <c r="I359" s="3175">
        <v>600000.32120000001</v>
      </c>
      <c r="J359" s="3176" t="s">
        <v>3453</v>
      </c>
      <c r="K359" s="3163"/>
      <c r="M359" s="3163"/>
    </row>
    <row r="360" spans="1:13" ht="16.5">
      <c r="A360" s="3170">
        <v>358</v>
      </c>
      <c r="B360" s="3171" t="s">
        <v>4792</v>
      </c>
      <c r="C360" s="3172" t="s">
        <v>4792</v>
      </c>
      <c r="D360" s="3173" t="s">
        <v>5508</v>
      </c>
      <c r="E360" s="3172" t="s">
        <v>5509</v>
      </c>
      <c r="F360" s="3179" t="s">
        <v>4795</v>
      </c>
      <c r="G360" s="3171">
        <v>-1559</v>
      </c>
      <c r="H360" s="3174">
        <v>37.39</v>
      </c>
      <c r="I360" s="3175">
        <v>600000.32120000001</v>
      </c>
      <c r="J360" s="3176" t="s">
        <v>3453</v>
      </c>
      <c r="K360" s="3163"/>
      <c r="M360" s="3163"/>
    </row>
    <row r="361" spans="1:13" ht="16.5">
      <c r="A361" s="3170">
        <v>359</v>
      </c>
      <c r="B361" s="3171" t="s">
        <v>4792</v>
      </c>
      <c r="C361" s="3172" t="s">
        <v>4792</v>
      </c>
      <c r="D361" s="3173" t="s">
        <v>5510</v>
      </c>
      <c r="E361" s="3172" t="s">
        <v>5511</v>
      </c>
      <c r="F361" s="3179" t="s">
        <v>4795</v>
      </c>
      <c r="G361" s="3171">
        <v>-1560</v>
      </c>
      <c r="H361" s="3174">
        <v>37.39</v>
      </c>
      <c r="I361" s="3175">
        <v>600000.32120000001</v>
      </c>
      <c r="J361" s="3176" t="s">
        <v>3453</v>
      </c>
      <c r="K361" s="3163"/>
      <c r="M361" s="3163"/>
    </row>
    <row r="362" spans="1:13" ht="16.5">
      <c r="A362" s="3170">
        <v>360</v>
      </c>
      <c r="B362" s="3171" t="s">
        <v>4792</v>
      </c>
      <c r="C362" s="3172" t="s">
        <v>4792</v>
      </c>
      <c r="D362" s="3173" t="s">
        <v>5512</v>
      </c>
      <c r="E362" s="3172" t="s">
        <v>5513</v>
      </c>
      <c r="F362" s="3179" t="s">
        <v>4795</v>
      </c>
      <c r="G362" s="3171">
        <v>-1566</v>
      </c>
      <c r="H362" s="3174">
        <v>37.39</v>
      </c>
      <c r="I362" s="3175">
        <v>600000.32120000001</v>
      </c>
      <c r="J362" s="3176" t="s">
        <v>3453</v>
      </c>
      <c r="K362" s="3163"/>
      <c r="M362" s="3163"/>
    </row>
    <row r="363" spans="1:13" ht="16.5">
      <c r="A363" s="3170">
        <v>361</v>
      </c>
      <c r="B363" s="3171" t="s">
        <v>4792</v>
      </c>
      <c r="C363" s="3172" t="s">
        <v>4792</v>
      </c>
      <c r="D363" s="3173" t="s">
        <v>5514</v>
      </c>
      <c r="E363" s="3172" t="s">
        <v>5515</v>
      </c>
      <c r="F363" s="3179" t="s">
        <v>4795</v>
      </c>
      <c r="G363" s="3171">
        <v>-1568</v>
      </c>
      <c r="H363" s="3174">
        <v>37.39</v>
      </c>
      <c r="I363" s="3175">
        <v>600000.32120000001</v>
      </c>
      <c r="J363" s="3176" t="s">
        <v>3453</v>
      </c>
      <c r="K363" s="3163"/>
      <c r="M363" s="3163"/>
    </row>
    <row r="364" spans="1:13" ht="16.5">
      <c r="A364" s="3170">
        <v>362</v>
      </c>
      <c r="B364" s="3171" t="s">
        <v>4792</v>
      </c>
      <c r="C364" s="3172" t="s">
        <v>4792</v>
      </c>
      <c r="D364" s="3173" t="s">
        <v>5516</v>
      </c>
      <c r="E364" s="3172" t="s">
        <v>5517</v>
      </c>
      <c r="F364" s="3179" t="s">
        <v>4795</v>
      </c>
      <c r="G364" s="3171">
        <v>-1569</v>
      </c>
      <c r="H364" s="3174">
        <v>37.39</v>
      </c>
      <c r="I364" s="3175">
        <v>600000.32120000001</v>
      </c>
      <c r="J364" s="3176" t="s">
        <v>3453</v>
      </c>
      <c r="K364" s="3163"/>
      <c r="M364" s="3163"/>
    </row>
    <row r="365" spans="1:13" ht="16.5">
      <c r="A365" s="3170">
        <v>363</v>
      </c>
      <c r="B365" s="3171" t="s">
        <v>4792</v>
      </c>
      <c r="C365" s="3172" t="s">
        <v>4792</v>
      </c>
      <c r="D365" s="3173" t="s">
        <v>5518</v>
      </c>
      <c r="E365" s="3172" t="s">
        <v>5519</v>
      </c>
      <c r="F365" s="3179" t="s">
        <v>4795</v>
      </c>
      <c r="G365" s="3171">
        <v>-1574</v>
      </c>
      <c r="H365" s="3174">
        <v>37.39</v>
      </c>
      <c r="I365" s="3175">
        <v>600000.32120000001</v>
      </c>
      <c r="J365" s="3176" t="s">
        <v>3453</v>
      </c>
      <c r="K365" s="3163"/>
      <c r="M365" s="3163"/>
    </row>
    <row r="366" spans="1:13" ht="16.5">
      <c r="A366" s="3170">
        <v>364</v>
      </c>
      <c r="B366" s="3171" t="s">
        <v>4792</v>
      </c>
      <c r="C366" s="3172" t="s">
        <v>4792</v>
      </c>
      <c r="D366" s="3173" t="s">
        <v>5520</v>
      </c>
      <c r="E366" s="3172" t="s">
        <v>5521</v>
      </c>
      <c r="F366" s="3179" t="s">
        <v>4795</v>
      </c>
      <c r="G366" s="3171">
        <v>-1575</v>
      </c>
      <c r="H366" s="3174">
        <v>37.39</v>
      </c>
      <c r="I366" s="3175">
        <v>600000.32120000001</v>
      </c>
      <c r="J366" s="3176" t="s">
        <v>3453</v>
      </c>
      <c r="K366" s="3163"/>
      <c r="M366" s="3163"/>
    </row>
    <row r="367" spans="1:13" ht="16.5">
      <c r="A367" s="3170">
        <v>365</v>
      </c>
      <c r="B367" s="3171" t="s">
        <v>4792</v>
      </c>
      <c r="C367" s="3172" t="s">
        <v>4792</v>
      </c>
      <c r="D367" s="3173" t="s">
        <v>5522</v>
      </c>
      <c r="E367" s="3172" t="s">
        <v>5523</v>
      </c>
      <c r="F367" s="3179" t="s">
        <v>4795</v>
      </c>
      <c r="G367" s="3171">
        <v>-1576</v>
      </c>
      <c r="H367" s="3174">
        <v>37.39</v>
      </c>
      <c r="I367" s="3175">
        <v>600000.32120000001</v>
      </c>
      <c r="J367" s="3176" t="s">
        <v>3453</v>
      </c>
      <c r="K367" s="3163"/>
      <c r="M367" s="3163"/>
    </row>
    <row r="368" spans="1:13" ht="16.5">
      <c r="A368" s="3170">
        <v>366</v>
      </c>
      <c r="B368" s="3171" t="s">
        <v>4792</v>
      </c>
      <c r="C368" s="3172" t="s">
        <v>4792</v>
      </c>
      <c r="D368" s="3173" t="s">
        <v>5524</v>
      </c>
      <c r="E368" s="3172" t="s">
        <v>5525</v>
      </c>
      <c r="F368" s="3179" t="s">
        <v>4795</v>
      </c>
      <c r="G368" s="3171">
        <v>-1577</v>
      </c>
      <c r="H368" s="3174">
        <v>37.39</v>
      </c>
      <c r="I368" s="3175">
        <v>600000.32120000001</v>
      </c>
      <c r="J368" s="3176" t="s">
        <v>3453</v>
      </c>
      <c r="K368" s="3163"/>
      <c r="M368" s="3163"/>
    </row>
    <row r="369" spans="1:13" ht="16.5">
      <c r="A369" s="3170">
        <v>367</v>
      </c>
      <c r="B369" s="3171" t="s">
        <v>4792</v>
      </c>
      <c r="C369" s="3172" t="s">
        <v>4792</v>
      </c>
      <c r="D369" s="3173" t="s">
        <v>5526</v>
      </c>
      <c r="E369" s="3172" t="s">
        <v>5527</v>
      </c>
      <c r="F369" s="3179" t="s">
        <v>4795</v>
      </c>
      <c r="G369" s="3171">
        <v>-1578</v>
      </c>
      <c r="H369" s="3174">
        <v>37.39</v>
      </c>
      <c r="I369" s="3175">
        <v>600000.32120000001</v>
      </c>
      <c r="J369" s="3176" t="s">
        <v>3453</v>
      </c>
      <c r="K369" s="3163"/>
      <c r="M369" s="3163"/>
    </row>
    <row r="370" spans="1:13" ht="16.5">
      <c r="A370" s="3170">
        <v>368</v>
      </c>
      <c r="B370" s="3171" t="s">
        <v>4792</v>
      </c>
      <c r="C370" s="3172" t="s">
        <v>4792</v>
      </c>
      <c r="D370" s="3173" t="s">
        <v>5528</v>
      </c>
      <c r="E370" s="3172" t="s">
        <v>5529</v>
      </c>
      <c r="F370" s="3179" t="s">
        <v>4795</v>
      </c>
      <c r="G370" s="3171">
        <v>-1580</v>
      </c>
      <c r="H370" s="3174">
        <v>37.39</v>
      </c>
      <c r="I370" s="3175">
        <v>600000.32120000001</v>
      </c>
      <c r="J370" s="3176" t="s">
        <v>3453</v>
      </c>
      <c r="K370" s="3163"/>
      <c r="M370" s="3163"/>
    </row>
    <row r="371" spans="1:13" ht="16.5">
      <c r="A371" s="3170">
        <v>369</v>
      </c>
      <c r="B371" s="3171" t="s">
        <v>4792</v>
      </c>
      <c r="C371" s="3172" t="s">
        <v>4792</v>
      </c>
      <c r="D371" s="3173" t="s">
        <v>5530</v>
      </c>
      <c r="E371" s="3172" t="s">
        <v>5531</v>
      </c>
      <c r="F371" s="3179" t="s">
        <v>4795</v>
      </c>
      <c r="G371" s="3171">
        <v>-1581</v>
      </c>
      <c r="H371" s="3174">
        <v>37.39</v>
      </c>
      <c r="I371" s="3175">
        <v>600000.32120000001</v>
      </c>
      <c r="J371" s="3176" t="s">
        <v>3453</v>
      </c>
      <c r="K371" s="3163"/>
      <c r="M371" s="3163"/>
    </row>
    <row r="372" spans="1:13" ht="16.5">
      <c r="A372" s="3170">
        <v>370</v>
      </c>
      <c r="B372" s="3171" t="s">
        <v>4792</v>
      </c>
      <c r="C372" s="3172" t="s">
        <v>4792</v>
      </c>
      <c r="D372" s="3173" t="s">
        <v>5532</v>
      </c>
      <c r="E372" s="3172" t="s">
        <v>5533</v>
      </c>
      <c r="F372" s="3179" t="s">
        <v>4795</v>
      </c>
      <c r="G372" s="3171">
        <v>-1582</v>
      </c>
      <c r="H372" s="3174">
        <v>37.39</v>
      </c>
      <c r="I372" s="3175">
        <v>600000.32120000001</v>
      </c>
      <c r="J372" s="3176" t="s">
        <v>3453</v>
      </c>
      <c r="K372" s="3163"/>
      <c r="M372" s="3163"/>
    </row>
    <row r="373" spans="1:13" ht="16.5">
      <c r="A373" s="3170">
        <v>371</v>
      </c>
      <c r="B373" s="3171" t="s">
        <v>4792</v>
      </c>
      <c r="C373" s="3172" t="s">
        <v>4792</v>
      </c>
      <c r="D373" s="3173" t="s">
        <v>5534</v>
      </c>
      <c r="E373" s="3172" t="s">
        <v>5535</v>
      </c>
      <c r="F373" s="3179" t="s">
        <v>4795</v>
      </c>
      <c r="G373" s="3171">
        <v>-1584</v>
      </c>
      <c r="H373" s="3174">
        <v>37.39</v>
      </c>
      <c r="I373" s="3175">
        <v>600000.32120000001</v>
      </c>
      <c r="J373" s="3176" t="s">
        <v>3453</v>
      </c>
      <c r="K373" s="3163"/>
      <c r="M373" s="3163"/>
    </row>
    <row r="374" spans="1:13" ht="16.5">
      <c r="A374" s="3170">
        <v>372</v>
      </c>
      <c r="B374" s="3171" t="s">
        <v>4792</v>
      </c>
      <c r="C374" s="3172" t="s">
        <v>4792</v>
      </c>
      <c r="D374" s="3173" t="s">
        <v>5536</v>
      </c>
      <c r="E374" s="3172" t="s">
        <v>5537</v>
      </c>
      <c r="F374" s="3179" t="s">
        <v>4795</v>
      </c>
      <c r="G374" s="3171">
        <v>-1586</v>
      </c>
      <c r="H374" s="3174">
        <v>37.39</v>
      </c>
      <c r="I374" s="3175">
        <v>600000.32120000001</v>
      </c>
      <c r="J374" s="3176" t="s">
        <v>3453</v>
      </c>
      <c r="K374" s="3163"/>
      <c r="M374" s="3163"/>
    </row>
    <row r="375" spans="1:13" ht="16.5">
      <c r="A375" s="3170">
        <v>373</v>
      </c>
      <c r="B375" s="3171" t="s">
        <v>4792</v>
      </c>
      <c r="C375" s="3172" t="s">
        <v>4792</v>
      </c>
      <c r="D375" s="3173" t="s">
        <v>5538</v>
      </c>
      <c r="E375" s="3172" t="s">
        <v>5539</v>
      </c>
      <c r="F375" s="3179" t="s">
        <v>4795</v>
      </c>
      <c r="G375" s="3171">
        <v>-1587</v>
      </c>
      <c r="H375" s="3174">
        <v>37.39</v>
      </c>
      <c r="I375" s="3175">
        <v>600000.32120000001</v>
      </c>
      <c r="J375" s="3176" t="s">
        <v>3453</v>
      </c>
      <c r="K375" s="3163"/>
      <c r="M375" s="3163"/>
    </row>
    <row r="376" spans="1:13" ht="16.5">
      <c r="A376" s="3170">
        <v>374</v>
      </c>
      <c r="B376" s="3171" t="s">
        <v>4792</v>
      </c>
      <c r="C376" s="3172" t="s">
        <v>4792</v>
      </c>
      <c r="D376" s="3173" t="s">
        <v>5540</v>
      </c>
      <c r="E376" s="3172" t="s">
        <v>5541</v>
      </c>
      <c r="F376" s="3179" t="s">
        <v>4795</v>
      </c>
      <c r="G376" s="3171">
        <v>-1589</v>
      </c>
      <c r="H376" s="3174">
        <v>35.9</v>
      </c>
      <c r="I376" s="3175">
        <v>600000.29</v>
      </c>
      <c r="J376" s="3176" t="s">
        <v>3453</v>
      </c>
      <c r="K376" s="3163"/>
      <c r="M376" s="3163"/>
    </row>
    <row r="377" spans="1:13" ht="16.5">
      <c r="A377" s="3170">
        <v>375</v>
      </c>
      <c r="B377" s="3171" t="s">
        <v>4792</v>
      </c>
      <c r="C377" s="3172" t="s">
        <v>4792</v>
      </c>
      <c r="D377" s="3173" t="s">
        <v>5542</v>
      </c>
      <c r="E377" s="3172" t="s">
        <v>5543</v>
      </c>
      <c r="F377" s="3179" t="s">
        <v>4795</v>
      </c>
      <c r="G377" s="3171">
        <v>-1590</v>
      </c>
      <c r="H377" s="3174">
        <v>37.39</v>
      </c>
      <c r="I377" s="3175">
        <v>600000.32120000001</v>
      </c>
      <c r="J377" s="3176" t="s">
        <v>3453</v>
      </c>
      <c r="K377" s="3163"/>
      <c r="M377" s="3163"/>
    </row>
    <row r="378" spans="1:13" ht="16.5">
      <c r="A378" s="3170">
        <v>376</v>
      </c>
      <c r="B378" s="3171" t="s">
        <v>4792</v>
      </c>
      <c r="C378" s="3172" t="s">
        <v>4792</v>
      </c>
      <c r="D378" s="3173" t="s">
        <v>5544</v>
      </c>
      <c r="E378" s="3172" t="s">
        <v>5545</v>
      </c>
      <c r="F378" s="3179" t="s">
        <v>4795</v>
      </c>
      <c r="G378" s="3171">
        <v>-1591</v>
      </c>
      <c r="H378" s="3174">
        <v>37.39</v>
      </c>
      <c r="I378" s="3175">
        <v>600000.32120000001</v>
      </c>
      <c r="J378" s="3176" t="s">
        <v>3453</v>
      </c>
      <c r="K378" s="3163"/>
      <c r="M378" s="3163"/>
    </row>
    <row r="379" spans="1:13" ht="16.5">
      <c r="A379" s="3170">
        <v>377</v>
      </c>
      <c r="B379" s="3171" t="s">
        <v>4792</v>
      </c>
      <c r="C379" s="3172" t="s">
        <v>4792</v>
      </c>
      <c r="D379" s="3173" t="s">
        <v>5546</v>
      </c>
      <c r="E379" s="3172" t="s">
        <v>5547</v>
      </c>
      <c r="F379" s="3179" t="s">
        <v>4795</v>
      </c>
      <c r="G379" s="3171">
        <v>-1592</v>
      </c>
      <c r="H379" s="3174">
        <v>37.39</v>
      </c>
      <c r="I379" s="3175">
        <v>600000.32120000001</v>
      </c>
      <c r="J379" s="3176" t="s">
        <v>3453</v>
      </c>
      <c r="K379" s="3163"/>
      <c r="M379" s="3163"/>
    </row>
    <row r="380" spans="1:13" ht="16.5">
      <c r="A380" s="3170">
        <v>378</v>
      </c>
      <c r="B380" s="3171" t="s">
        <v>4792</v>
      </c>
      <c r="C380" s="3172" t="s">
        <v>4792</v>
      </c>
      <c r="D380" s="3173" t="s">
        <v>5548</v>
      </c>
      <c r="E380" s="3172" t="s">
        <v>5549</v>
      </c>
      <c r="F380" s="3179" t="s">
        <v>4795</v>
      </c>
      <c r="G380" s="3171">
        <v>-1593</v>
      </c>
      <c r="H380" s="3174">
        <v>37.39</v>
      </c>
      <c r="I380" s="3175">
        <v>600000.32120000001</v>
      </c>
      <c r="J380" s="3176" t="s">
        <v>3453</v>
      </c>
      <c r="K380" s="3163"/>
      <c r="M380" s="3163"/>
    </row>
    <row r="381" spans="1:13" ht="16.5">
      <c r="A381" s="3170">
        <v>379</v>
      </c>
      <c r="B381" s="3171" t="s">
        <v>4792</v>
      </c>
      <c r="C381" s="3172" t="s">
        <v>4792</v>
      </c>
      <c r="D381" s="3173" t="s">
        <v>5550</v>
      </c>
      <c r="E381" s="3172" t="s">
        <v>5551</v>
      </c>
      <c r="F381" s="3179" t="s">
        <v>4795</v>
      </c>
      <c r="G381" s="3171">
        <v>-1594</v>
      </c>
      <c r="H381" s="3174">
        <v>37.39</v>
      </c>
      <c r="I381" s="3175">
        <v>600000.32120000001</v>
      </c>
      <c r="J381" s="3176" t="s">
        <v>3453</v>
      </c>
      <c r="K381" s="3163"/>
      <c r="M381" s="3163"/>
    </row>
    <row r="382" spans="1:13" ht="16.5">
      <c r="A382" s="3170">
        <v>380</v>
      </c>
      <c r="B382" s="3171" t="s">
        <v>4792</v>
      </c>
      <c r="C382" s="3172" t="s">
        <v>4792</v>
      </c>
      <c r="D382" s="3173" t="s">
        <v>5552</v>
      </c>
      <c r="E382" s="3172" t="s">
        <v>5553</v>
      </c>
      <c r="F382" s="3179" t="s">
        <v>4795</v>
      </c>
      <c r="G382" s="3171">
        <v>-1595</v>
      </c>
      <c r="H382" s="3174">
        <v>37.39</v>
      </c>
      <c r="I382" s="3175">
        <v>600000.32120000001</v>
      </c>
      <c r="J382" s="3176" t="s">
        <v>3453</v>
      </c>
      <c r="K382" s="3163"/>
      <c r="M382" s="3163"/>
    </row>
    <row r="383" spans="1:13" ht="16.5">
      <c r="A383" s="3170">
        <v>381</v>
      </c>
      <c r="B383" s="3171" t="s">
        <v>4792</v>
      </c>
      <c r="C383" s="3172" t="s">
        <v>4792</v>
      </c>
      <c r="D383" s="3173" t="s">
        <v>5554</v>
      </c>
      <c r="E383" s="3172" t="s">
        <v>5555</v>
      </c>
      <c r="F383" s="3179" t="s">
        <v>4795</v>
      </c>
      <c r="G383" s="3171">
        <v>-1596</v>
      </c>
      <c r="H383" s="3174">
        <v>37.39</v>
      </c>
      <c r="I383" s="3175">
        <v>600000.32120000001</v>
      </c>
      <c r="J383" s="3176" t="s">
        <v>3453</v>
      </c>
      <c r="K383" s="3163"/>
      <c r="M383" s="3163"/>
    </row>
    <row r="384" spans="1:13" ht="16.5">
      <c r="A384" s="3170">
        <v>382</v>
      </c>
      <c r="B384" s="3171" t="s">
        <v>4792</v>
      </c>
      <c r="C384" s="3172" t="s">
        <v>4792</v>
      </c>
      <c r="D384" s="3173" t="s">
        <v>5556</v>
      </c>
      <c r="E384" s="3172" t="s">
        <v>5557</v>
      </c>
      <c r="F384" s="3179" t="s">
        <v>4795</v>
      </c>
      <c r="G384" s="3171">
        <v>-1597</v>
      </c>
      <c r="H384" s="3174">
        <v>37.39</v>
      </c>
      <c r="I384" s="3175">
        <v>600000.32120000001</v>
      </c>
      <c r="J384" s="3176" t="s">
        <v>3453</v>
      </c>
      <c r="K384" s="3163"/>
      <c r="M384" s="3163"/>
    </row>
    <row r="385" spans="1:13" ht="16.5">
      <c r="A385" s="3170">
        <v>383</v>
      </c>
      <c r="B385" s="3171" t="s">
        <v>4792</v>
      </c>
      <c r="C385" s="3172" t="s">
        <v>4792</v>
      </c>
      <c r="D385" s="3173" t="s">
        <v>5558</v>
      </c>
      <c r="E385" s="3172" t="s">
        <v>5559</v>
      </c>
      <c r="F385" s="3179" t="s">
        <v>4795</v>
      </c>
      <c r="G385" s="3171">
        <v>-1603</v>
      </c>
      <c r="H385" s="3174">
        <v>37.39</v>
      </c>
      <c r="I385" s="3175">
        <v>600000.32120000001</v>
      </c>
      <c r="J385" s="3176" t="s">
        <v>3453</v>
      </c>
      <c r="K385" s="3163"/>
      <c r="M385" s="3163"/>
    </row>
    <row r="386" spans="1:13" ht="16.5">
      <c r="A386" s="3170">
        <v>384</v>
      </c>
      <c r="B386" s="3171" t="s">
        <v>4792</v>
      </c>
      <c r="C386" s="3172" t="s">
        <v>4792</v>
      </c>
      <c r="D386" s="3173" t="s">
        <v>5560</v>
      </c>
      <c r="E386" s="3172" t="s">
        <v>5561</v>
      </c>
      <c r="F386" s="3179" t="s">
        <v>4795</v>
      </c>
      <c r="G386" s="3171">
        <v>-1604</v>
      </c>
      <c r="H386" s="3174">
        <v>37.39</v>
      </c>
      <c r="I386" s="3175">
        <v>600000.32120000001</v>
      </c>
      <c r="J386" s="3176" t="s">
        <v>3453</v>
      </c>
      <c r="K386" s="3163"/>
      <c r="M386" s="3163"/>
    </row>
    <row r="387" spans="1:13" ht="16.5">
      <c r="A387" s="3170">
        <v>385</v>
      </c>
      <c r="B387" s="3171" t="s">
        <v>4792</v>
      </c>
      <c r="C387" s="3172" t="s">
        <v>4792</v>
      </c>
      <c r="D387" s="3173" t="s">
        <v>5562</v>
      </c>
      <c r="E387" s="3172" t="s">
        <v>5563</v>
      </c>
      <c r="F387" s="3179" t="s">
        <v>4795</v>
      </c>
      <c r="G387" s="3171">
        <v>-1605</v>
      </c>
      <c r="H387" s="3174">
        <v>37.39</v>
      </c>
      <c r="I387" s="3175">
        <v>600000.32120000001</v>
      </c>
      <c r="J387" s="3176" t="s">
        <v>3469</v>
      </c>
      <c r="K387" s="3163"/>
      <c r="M387" s="3163"/>
    </row>
    <row r="388" spans="1:13" ht="16.5">
      <c r="A388" s="3170">
        <v>386</v>
      </c>
      <c r="B388" s="3171" t="s">
        <v>4792</v>
      </c>
      <c r="C388" s="3172" t="s">
        <v>4792</v>
      </c>
      <c r="D388" s="3173" t="s">
        <v>5564</v>
      </c>
      <c r="E388" s="3172" t="s">
        <v>5565</v>
      </c>
      <c r="F388" s="3179" t="s">
        <v>4795</v>
      </c>
      <c r="G388" s="3171">
        <v>-1606</v>
      </c>
      <c r="H388" s="3174">
        <v>37.39</v>
      </c>
      <c r="I388" s="3175">
        <v>600000.32120000001</v>
      </c>
      <c r="J388" s="3176" t="s">
        <v>3469</v>
      </c>
      <c r="K388" s="3163"/>
      <c r="M388" s="3163"/>
    </row>
    <row r="389" spans="1:13" ht="16.5">
      <c r="A389" s="3170">
        <v>387</v>
      </c>
      <c r="B389" s="3171" t="s">
        <v>4792</v>
      </c>
      <c r="C389" s="3172" t="s">
        <v>4792</v>
      </c>
      <c r="D389" s="3173" t="s">
        <v>5566</v>
      </c>
      <c r="E389" s="3172" t="s">
        <v>5567</v>
      </c>
      <c r="F389" s="3179" t="s">
        <v>4795</v>
      </c>
      <c r="G389" s="3171">
        <v>-1607</v>
      </c>
      <c r="H389" s="3174">
        <v>37.39</v>
      </c>
      <c r="I389" s="3175">
        <v>600000.32120000001</v>
      </c>
      <c r="J389" s="3176" t="s">
        <v>3453</v>
      </c>
      <c r="K389" s="3163"/>
      <c r="M389" s="3163"/>
    </row>
    <row r="390" spans="1:13" ht="16.5">
      <c r="A390" s="3170">
        <v>388</v>
      </c>
      <c r="B390" s="3171" t="s">
        <v>4792</v>
      </c>
      <c r="C390" s="3172" t="s">
        <v>4792</v>
      </c>
      <c r="D390" s="3173" t="s">
        <v>5568</v>
      </c>
      <c r="E390" s="3172" t="s">
        <v>5569</v>
      </c>
      <c r="F390" s="3179" t="s">
        <v>4795</v>
      </c>
      <c r="G390" s="3171">
        <v>-1608</v>
      </c>
      <c r="H390" s="3174">
        <v>37.39</v>
      </c>
      <c r="I390" s="3175">
        <v>600000.32120000001</v>
      </c>
      <c r="J390" s="3176" t="s">
        <v>3453</v>
      </c>
      <c r="K390" s="3163"/>
      <c r="M390" s="3163"/>
    </row>
    <row r="391" spans="1:13" ht="16.5">
      <c r="A391" s="3170">
        <v>389</v>
      </c>
      <c r="B391" s="3171" t="s">
        <v>4792</v>
      </c>
      <c r="C391" s="3172" t="s">
        <v>4792</v>
      </c>
      <c r="D391" s="3173" t="s">
        <v>5570</v>
      </c>
      <c r="E391" s="3172" t="s">
        <v>5571</v>
      </c>
      <c r="F391" s="3179" t="s">
        <v>4795</v>
      </c>
      <c r="G391" s="3171">
        <v>-1609</v>
      </c>
      <c r="H391" s="3174">
        <v>37.39</v>
      </c>
      <c r="I391" s="3175">
        <v>600000.32120000001</v>
      </c>
      <c r="J391" s="3176" t="s">
        <v>3453</v>
      </c>
      <c r="K391" s="3163"/>
      <c r="M391" s="3163"/>
    </row>
    <row r="392" spans="1:13" ht="16.5">
      <c r="A392" s="3170">
        <v>390</v>
      </c>
      <c r="B392" s="3171" t="s">
        <v>4792</v>
      </c>
      <c r="C392" s="3172" t="s">
        <v>4792</v>
      </c>
      <c r="D392" s="3173" t="s">
        <v>5572</v>
      </c>
      <c r="E392" s="3172" t="s">
        <v>5573</v>
      </c>
      <c r="F392" s="3179" t="s">
        <v>4795</v>
      </c>
      <c r="G392" s="3171">
        <v>-1610</v>
      </c>
      <c r="H392" s="3174">
        <v>37.39</v>
      </c>
      <c r="I392" s="3175">
        <v>600000.32120000001</v>
      </c>
      <c r="J392" s="3176" t="s">
        <v>3453</v>
      </c>
      <c r="K392" s="3163"/>
      <c r="M392" s="3163"/>
    </row>
    <row r="393" spans="1:13" ht="16.5">
      <c r="A393" s="3170">
        <v>391</v>
      </c>
      <c r="B393" s="3171" t="s">
        <v>4792</v>
      </c>
      <c r="C393" s="3172" t="s">
        <v>4792</v>
      </c>
      <c r="D393" s="3173" t="s">
        <v>5574</v>
      </c>
      <c r="E393" s="3172" t="s">
        <v>5575</v>
      </c>
      <c r="F393" s="3179" t="s">
        <v>4795</v>
      </c>
      <c r="G393" s="3171">
        <v>-1611</v>
      </c>
      <c r="H393" s="3174">
        <v>37.39</v>
      </c>
      <c r="I393" s="3175">
        <v>600000.32120000001</v>
      </c>
      <c r="J393" s="3176" t="s">
        <v>3453</v>
      </c>
      <c r="K393" s="3163"/>
      <c r="M393" s="3163"/>
    </row>
    <row r="394" spans="1:13" ht="16.5">
      <c r="A394" s="3170">
        <v>392</v>
      </c>
      <c r="B394" s="3171" t="s">
        <v>4792</v>
      </c>
      <c r="C394" s="3172" t="s">
        <v>4792</v>
      </c>
      <c r="D394" s="3173" t="s">
        <v>5576</v>
      </c>
      <c r="E394" s="3172" t="s">
        <v>5577</v>
      </c>
      <c r="F394" s="3179" t="s">
        <v>4795</v>
      </c>
      <c r="G394" s="3171">
        <v>-1612</v>
      </c>
      <c r="H394" s="3174">
        <v>37.39</v>
      </c>
      <c r="I394" s="3175">
        <v>600000.32120000001</v>
      </c>
      <c r="J394" s="3176" t="s">
        <v>3453</v>
      </c>
      <c r="K394" s="3163"/>
      <c r="M394" s="3163"/>
    </row>
    <row r="395" spans="1:13" ht="16.5">
      <c r="A395" s="3170">
        <v>393</v>
      </c>
      <c r="B395" s="3171" t="s">
        <v>4792</v>
      </c>
      <c r="C395" s="3172" t="s">
        <v>4792</v>
      </c>
      <c r="D395" s="3173" t="s">
        <v>5578</v>
      </c>
      <c r="E395" s="3172" t="s">
        <v>5579</v>
      </c>
      <c r="F395" s="3179" t="s">
        <v>4795</v>
      </c>
      <c r="G395" s="3171">
        <v>-1613</v>
      </c>
      <c r="H395" s="3174">
        <v>37.39</v>
      </c>
      <c r="I395" s="3175">
        <v>600000.32120000001</v>
      </c>
      <c r="J395" s="3176" t="s">
        <v>3453</v>
      </c>
      <c r="K395" s="3163"/>
      <c r="M395" s="3163"/>
    </row>
    <row r="396" spans="1:13" ht="16.5">
      <c r="A396" s="3170">
        <v>394</v>
      </c>
      <c r="B396" s="3171" t="s">
        <v>4792</v>
      </c>
      <c r="C396" s="3172" t="s">
        <v>4792</v>
      </c>
      <c r="D396" s="3173" t="s">
        <v>5580</v>
      </c>
      <c r="E396" s="3172" t="s">
        <v>5581</v>
      </c>
      <c r="F396" s="3179" t="s">
        <v>4795</v>
      </c>
      <c r="G396" s="3171">
        <v>-1614</v>
      </c>
      <c r="H396" s="3174">
        <v>37.39</v>
      </c>
      <c r="I396" s="3175">
        <v>600000.32120000001</v>
      </c>
      <c r="J396" s="3176" t="s">
        <v>3453</v>
      </c>
      <c r="K396" s="3163"/>
      <c r="M396" s="3163"/>
    </row>
    <row r="397" spans="1:13" ht="16.5">
      <c r="A397" s="3170">
        <v>395</v>
      </c>
      <c r="B397" s="3171" t="s">
        <v>4792</v>
      </c>
      <c r="C397" s="3172" t="s">
        <v>4792</v>
      </c>
      <c r="D397" s="3173" t="s">
        <v>5582</v>
      </c>
      <c r="E397" s="3172" t="s">
        <v>5583</v>
      </c>
      <c r="F397" s="3179" t="s">
        <v>4795</v>
      </c>
      <c r="G397" s="3171">
        <v>-1615</v>
      </c>
      <c r="H397" s="3174">
        <v>37.39</v>
      </c>
      <c r="I397" s="3175">
        <v>600000.32120000001</v>
      </c>
      <c r="J397" s="3176" t="s">
        <v>3453</v>
      </c>
      <c r="K397" s="3163"/>
      <c r="M397" s="3163"/>
    </row>
    <row r="398" spans="1:13" ht="16.5">
      <c r="A398" s="3170">
        <v>396</v>
      </c>
      <c r="B398" s="3171" t="s">
        <v>4792</v>
      </c>
      <c r="C398" s="3172" t="s">
        <v>4792</v>
      </c>
      <c r="D398" s="3173" t="s">
        <v>5584</v>
      </c>
      <c r="E398" s="3172" t="s">
        <v>5585</v>
      </c>
      <c r="F398" s="3179" t="s">
        <v>4795</v>
      </c>
      <c r="G398" s="3171">
        <v>-1616</v>
      </c>
      <c r="H398" s="3174">
        <v>37.39</v>
      </c>
      <c r="I398" s="3175">
        <v>600000.32120000001</v>
      </c>
      <c r="J398" s="3176" t="s">
        <v>3453</v>
      </c>
      <c r="K398" s="3163"/>
      <c r="M398" s="3163"/>
    </row>
    <row r="399" spans="1:13" ht="16.5">
      <c r="A399" s="3170">
        <v>397</v>
      </c>
      <c r="B399" s="3171" t="s">
        <v>4792</v>
      </c>
      <c r="C399" s="3172" t="s">
        <v>4792</v>
      </c>
      <c r="D399" s="3173" t="s">
        <v>5586</v>
      </c>
      <c r="E399" s="3172" t="s">
        <v>5587</v>
      </c>
      <c r="F399" s="3179" t="s">
        <v>4795</v>
      </c>
      <c r="G399" s="3171">
        <v>-1617</v>
      </c>
      <c r="H399" s="3174">
        <v>37.39</v>
      </c>
      <c r="I399" s="3175">
        <v>600000.32120000001</v>
      </c>
      <c r="J399" s="3176" t="s">
        <v>3453</v>
      </c>
      <c r="K399" s="3163"/>
      <c r="M399" s="3163"/>
    </row>
    <row r="400" spans="1:13" ht="16.5">
      <c r="A400" s="3170">
        <v>398</v>
      </c>
      <c r="B400" s="3171" t="s">
        <v>4792</v>
      </c>
      <c r="C400" s="3172" t="s">
        <v>4792</v>
      </c>
      <c r="D400" s="3173" t="s">
        <v>5588</v>
      </c>
      <c r="E400" s="3172" t="s">
        <v>5589</v>
      </c>
      <c r="F400" s="3179" t="s">
        <v>4795</v>
      </c>
      <c r="G400" s="3171">
        <v>-1618</v>
      </c>
      <c r="H400" s="3174">
        <v>37.39</v>
      </c>
      <c r="I400" s="3175">
        <v>600000.32120000001</v>
      </c>
      <c r="J400" s="3176" t="s">
        <v>3453</v>
      </c>
      <c r="K400" s="3163"/>
      <c r="M400" s="3163"/>
    </row>
    <row r="401" spans="1:13" ht="16.5">
      <c r="A401" s="3170">
        <v>399</v>
      </c>
      <c r="B401" s="3171" t="s">
        <v>4792</v>
      </c>
      <c r="C401" s="3172" t="s">
        <v>4792</v>
      </c>
      <c r="D401" s="3173" t="s">
        <v>5590</v>
      </c>
      <c r="E401" s="3172" t="s">
        <v>5591</v>
      </c>
      <c r="F401" s="3179" t="s">
        <v>4795</v>
      </c>
      <c r="G401" s="3171">
        <v>-1619</v>
      </c>
      <c r="H401" s="3174">
        <v>37.39</v>
      </c>
      <c r="I401" s="3175">
        <v>600000.32120000001</v>
      </c>
      <c r="J401" s="3176" t="s">
        <v>3453</v>
      </c>
      <c r="K401" s="3163"/>
      <c r="M401" s="3163"/>
    </row>
    <row r="402" spans="1:13" ht="16.5">
      <c r="A402" s="3170">
        <v>400</v>
      </c>
      <c r="B402" s="3171" t="s">
        <v>4792</v>
      </c>
      <c r="C402" s="3172" t="s">
        <v>4792</v>
      </c>
      <c r="D402" s="3173" t="s">
        <v>5592</v>
      </c>
      <c r="E402" s="3172" t="s">
        <v>5593</v>
      </c>
      <c r="F402" s="3179" t="s">
        <v>4795</v>
      </c>
      <c r="G402" s="3171">
        <v>-1620</v>
      </c>
      <c r="H402" s="3174">
        <v>37.39</v>
      </c>
      <c r="I402" s="3175">
        <v>600000.32120000001</v>
      </c>
      <c r="J402" s="3176" t="s">
        <v>3453</v>
      </c>
      <c r="K402" s="3163"/>
      <c r="M402" s="3163"/>
    </row>
    <row r="403" spans="1:13" ht="16.5">
      <c r="A403" s="3170">
        <v>401</v>
      </c>
      <c r="B403" s="3171" t="s">
        <v>4792</v>
      </c>
      <c r="C403" s="3172" t="s">
        <v>4792</v>
      </c>
      <c r="D403" s="3173" t="s">
        <v>5594</v>
      </c>
      <c r="E403" s="3172" t="s">
        <v>5595</v>
      </c>
      <c r="F403" s="3179" t="s">
        <v>4795</v>
      </c>
      <c r="G403" s="3171">
        <v>-1621</v>
      </c>
      <c r="H403" s="3174">
        <v>37.39</v>
      </c>
      <c r="I403" s="3175">
        <v>600000.32120000001</v>
      </c>
      <c r="J403" s="3176" t="s">
        <v>3453</v>
      </c>
      <c r="K403" s="3163"/>
      <c r="M403" s="3163"/>
    </row>
    <row r="404" spans="1:13" ht="16.5">
      <c r="A404" s="3170">
        <v>402</v>
      </c>
      <c r="B404" s="3171" t="s">
        <v>4792</v>
      </c>
      <c r="C404" s="3172" t="s">
        <v>4792</v>
      </c>
      <c r="D404" s="3173" t="s">
        <v>5596</v>
      </c>
      <c r="E404" s="3172" t="s">
        <v>5597</v>
      </c>
      <c r="F404" s="3179" t="s">
        <v>4795</v>
      </c>
      <c r="G404" s="3171">
        <v>-1622</v>
      </c>
      <c r="H404" s="3174">
        <v>37.39</v>
      </c>
      <c r="I404" s="3175">
        <v>600000.32120000001</v>
      </c>
      <c r="J404" s="3176" t="s">
        <v>3469</v>
      </c>
      <c r="K404" s="3163"/>
      <c r="M404" s="3163"/>
    </row>
    <row r="405" spans="1:13" ht="16.5">
      <c r="A405" s="3170">
        <v>403</v>
      </c>
      <c r="B405" s="3171" t="s">
        <v>4792</v>
      </c>
      <c r="C405" s="3172" t="s">
        <v>4792</v>
      </c>
      <c r="D405" s="3173" t="s">
        <v>5598</v>
      </c>
      <c r="E405" s="3172" t="s">
        <v>5599</v>
      </c>
      <c r="F405" s="3179" t="s">
        <v>4795</v>
      </c>
      <c r="G405" s="3171">
        <v>-1623</v>
      </c>
      <c r="H405" s="3174">
        <v>37.39</v>
      </c>
      <c r="I405" s="3175">
        <v>600000.32120000001</v>
      </c>
      <c r="J405" s="3176" t="s">
        <v>3453</v>
      </c>
      <c r="K405" s="3163"/>
      <c r="M405" s="3163"/>
    </row>
    <row r="406" spans="1:13" ht="16.5">
      <c r="A406" s="3170">
        <v>404</v>
      </c>
      <c r="B406" s="3171" t="s">
        <v>4792</v>
      </c>
      <c r="C406" s="3172" t="s">
        <v>4792</v>
      </c>
      <c r="D406" s="3173" t="s">
        <v>5600</v>
      </c>
      <c r="E406" s="3172" t="s">
        <v>5601</v>
      </c>
      <c r="F406" s="3179" t="s">
        <v>4795</v>
      </c>
      <c r="G406" s="3171">
        <v>-1624</v>
      </c>
      <c r="H406" s="3174">
        <v>37.39</v>
      </c>
      <c r="I406" s="3175">
        <v>600000.32120000001</v>
      </c>
      <c r="J406" s="3176" t="s">
        <v>3453</v>
      </c>
      <c r="K406" s="3163"/>
      <c r="M406" s="3163"/>
    </row>
    <row r="407" spans="1:13" ht="16.5">
      <c r="A407" s="3170">
        <v>405</v>
      </c>
      <c r="B407" s="3171" t="s">
        <v>4792</v>
      </c>
      <c r="C407" s="3172" t="s">
        <v>4792</v>
      </c>
      <c r="D407" s="3173" t="s">
        <v>5602</v>
      </c>
      <c r="E407" s="3172" t="s">
        <v>5603</v>
      </c>
      <c r="F407" s="3179" t="s">
        <v>4795</v>
      </c>
      <c r="G407" s="3171">
        <v>-1625</v>
      </c>
      <c r="H407" s="3174">
        <v>37.39</v>
      </c>
      <c r="I407" s="3175">
        <v>600000.32120000001</v>
      </c>
      <c r="J407" s="3176" t="s">
        <v>3453</v>
      </c>
      <c r="K407" s="3163"/>
      <c r="M407" s="3163"/>
    </row>
    <row r="408" spans="1:13" ht="16.5">
      <c r="A408" s="3170">
        <v>406</v>
      </c>
      <c r="B408" s="3171" t="s">
        <v>4792</v>
      </c>
      <c r="C408" s="3172" t="s">
        <v>4792</v>
      </c>
      <c r="D408" s="3173" t="s">
        <v>5604</v>
      </c>
      <c r="E408" s="3172" t="s">
        <v>5605</v>
      </c>
      <c r="F408" s="3179" t="s">
        <v>4795</v>
      </c>
      <c r="G408" s="3171">
        <v>-1626</v>
      </c>
      <c r="H408" s="3174">
        <v>37.39</v>
      </c>
      <c r="I408" s="3175">
        <v>600000.32120000001</v>
      </c>
      <c r="J408" s="3176" t="s">
        <v>3469</v>
      </c>
      <c r="K408" s="3163"/>
      <c r="M408" s="3163"/>
    </row>
    <row r="409" spans="1:13" ht="16.5">
      <c r="A409" s="3170">
        <v>407</v>
      </c>
      <c r="B409" s="3171" t="s">
        <v>4792</v>
      </c>
      <c r="C409" s="3172" t="s">
        <v>4792</v>
      </c>
      <c r="D409" s="3173" t="s">
        <v>5606</v>
      </c>
      <c r="E409" s="3172" t="s">
        <v>5607</v>
      </c>
      <c r="F409" s="3179" t="s">
        <v>4795</v>
      </c>
      <c r="G409" s="3171">
        <v>-1628</v>
      </c>
      <c r="H409" s="3174">
        <v>37.39</v>
      </c>
      <c r="I409" s="3175">
        <v>600000.32120000001</v>
      </c>
      <c r="J409" s="3176" t="s">
        <v>3453</v>
      </c>
      <c r="K409" s="3163"/>
      <c r="M409" s="3163"/>
    </row>
    <row r="410" spans="1:13" ht="16.5">
      <c r="A410" s="3170">
        <v>408</v>
      </c>
      <c r="B410" s="3171" t="s">
        <v>4792</v>
      </c>
      <c r="C410" s="3172" t="s">
        <v>4792</v>
      </c>
      <c r="D410" s="3173" t="s">
        <v>5608</v>
      </c>
      <c r="E410" s="3172" t="s">
        <v>5609</v>
      </c>
      <c r="F410" s="3179" t="s">
        <v>4795</v>
      </c>
      <c r="G410" s="3171">
        <v>-1630</v>
      </c>
      <c r="H410" s="3174">
        <v>37.39</v>
      </c>
      <c r="I410" s="3175">
        <v>600000.32120000001</v>
      </c>
      <c r="J410" s="3176" t="s">
        <v>3453</v>
      </c>
      <c r="K410" s="3163"/>
      <c r="M410" s="3163"/>
    </row>
    <row r="411" spans="1:13" ht="16.5">
      <c r="A411" s="3170">
        <v>409</v>
      </c>
      <c r="B411" s="3171" t="s">
        <v>4792</v>
      </c>
      <c r="C411" s="3172" t="s">
        <v>4792</v>
      </c>
      <c r="D411" s="3173" t="s">
        <v>5610</v>
      </c>
      <c r="E411" s="3172" t="s">
        <v>5611</v>
      </c>
      <c r="F411" s="3179" t="s">
        <v>4795</v>
      </c>
      <c r="G411" s="3171">
        <v>-1632</v>
      </c>
      <c r="H411" s="3174">
        <v>37.39</v>
      </c>
      <c r="I411" s="3175">
        <v>600000.32120000001</v>
      </c>
      <c r="J411" s="3176" t="s">
        <v>3453</v>
      </c>
      <c r="K411" s="3163"/>
      <c r="M411" s="3163"/>
    </row>
    <row r="412" spans="1:13" ht="16.5">
      <c r="A412" s="3170">
        <v>410</v>
      </c>
      <c r="B412" s="3171" t="s">
        <v>4792</v>
      </c>
      <c r="C412" s="3172" t="s">
        <v>4792</v>
      </c>
      <c r="D412" s="3173" t="s">
        <v>5612</v>
      </c>
      <c r="E412" s="3172" t="s">
        <v>5613</v>
      </c>
      <c r="F412" s="3179" t="s">
        <v>4795</v>
      </c>
      <c r="G412" s="3171">
        <v>-1633</v>
      </c>
      <c r="H412" s="3174">
        <v>37.39</v>
      </c>
      <c r="I412" s="3175">
        <v>600000.32120000001</v>
      </c>
      <c r="J412" s="3176" t="s">
        <v>3453</v>
      </c>
      <c r="K412" s="3163"/>
      <c r="M412" s="3163"/>
    </row>
    <row r="413" spans="1:13" ht="16.5">
      <c r="A413" s="3170">
        <v>411</v>
      </c>
      <c r="B413" s="3171" t="s">
        <v>4792</v>
      </c>
      <c r="C413" s="3172" t="s">
        <v>4792</v>
      </c>
      <c r="D413" s="3173" t="s">
        <v>5614</v>
      </c>
      <c r="E413" s="3172" t="s">
        <v>5615</v>
      </c>
      <c r="F413" s="3179" t="s">
        <v>4795</v>
      </c>
      <c r="G413" s="3171">
        <v>-1635</v>
      </c>
      <c r="H413" s="3174">
        <v>37.39</v>
      </c>
      <c r="I413" s="3175">
        <v>600000.32120000001</v>
      </c>
      <c r="J413" s="3176" t="s">
        <v>3453</v>
      </c>
      <c r="K413" s="3163"/>
      <c r="M413" s="3163"/>
    </row>
    <row r="414" spans="1:13" ht="16.5">
      <c r="A414" s="3170">
        <v>412</v>
      </c>
      <c r="B414" s="3171" t="s">
        <v>4792</v>
      </c>
      <c r="C414" s="3172" t="s">
        <v>4792</v>
      </c>
      <c r="D414" s="3173" t="s">
        <v>5616</v>
      </c>
      <c r="E414" s="3172" t="s">
        <v>5617</v>
      </c>
      <c r="F414" s="3179" t="s">
        <v>4795</v>
      </c>
      <c r="G414" s="3171">
        <v>-1637</v>
      </c>
      <c r="H414" s="3174">
        <v>37.39</v>
      </c>
      <c r="I414" s="3175">
        <v>600000.32120000001</v>
      </c>
      <c r="J414" s="3176" t="s">
        <v>3469</v>
      </c>
      <c r="K414" s="3163"/>
      <c r="M414" s="3163"/>
    </row>
    <row r="415" spans="1:13" ht="16.5">
      <c r="A415" s="3170">
        <v>413</v>
      </c>
      <c r="B415" s="3171" t="s">
        <v>4792</v>
      </c>
      <c r="C415" s="3172" t="s">
        <v>4792</v>
      </c>
      <c r="D415" s="3173" t="s">
        <v>5618</v>
      </c>
      <c r="E415" s="3172" t="s">
        <v>5619</v>
      </c>
      <c r="F415" s="3179" t="s">
        <v>4795</v>
      </c>
      <c r="G415" s="3171">
        <v>-1638</v>
      </c>
      <c r="H415" s="3174">
        <v>37.39</v>
      </c>
      <c r="I415" s="3175">
        <v>600000.32120000001</v>
      </c>
      <c r="J415" s="3176" t="s">
        <v>3453</v>
      </c>
      <c r="K415" s="3163"/>
      <c r="M415" s="3163"/>
    </row>
    <row r="416" spans="1:13" ht="16.5">
      <c r="A416" s="3170">
        <v>414</v>
      </c>
      <c r="B416" s="3171" t="s">
        <v>4792</v>
      </c>
      <c r="C416" s="3172" t="s">
        <v>4792</v>
      </c>
      <c r="D416" s="3173" t="s">
        <v>5620</v>
      </c>
      <c r="E416" s="3172" t="s">
        <v>5621</v>
      </c>
      <c r="F416" s="3179" t="s">
        <v>4795</v>
      </c>
      <c r="G416" s="3171">
        <v>-1640</v>
      </c>
      <c r="H416" s="3174">
        <v>37.39</v>
      </c>
      <c r="I416" s="3175">
        <v>600000.32120000001</v>
      </c>
      <c r="J416" s="3176" t="s">
        <v>3453</v>
      </c>
      <c r="K416" s="3163"/>
      <c r="M416" s="3163"/>
    </row>
    <row r="417" spans="1:13" ht="16.5">
      <c r="A417" s="3170">
        <v>415</v>
      </c>
      <c r="B417" s="3171" t="s">
        <v>4792</v>
      </c>
      <c r="C417" s="3172" t="s">
        <v>4792</v>
      </c>
      <c r="D417" s="3173" t="s">
        <v>5622</v>
      </c>
      <c r="E417" s="3172" t="s">
        <v>5623</v>
      </c>
      <c r="F417" s="3179" t="s">
        <v>4795</v>
      </c>
      <c r="G417" s="3171">
        <v>-1641</v>
      </c>
      <c r="H417" s="3174">
        <v>37.39</v>
      </c>
      <c r="I417" s="3175">
        <v>600000.32120000001</v>
      </c>
      <c r="J417" s="3176" t="s">
        <v>3453</v>
      </c>
      <c r="K417" s="3163"/>
      <c r="M417" s="3163"/>
    </row>
    <row r="418" spans="1:13" ht="16.5">
      <c r="A418" s="3170">
        <v>416</v>
      </c>
      <c r="B418" s="3171" t="s">
        <v>4792</v>
      </c>
      <c r="C418" s="3172" t="s">
        <v>4792</v>
      </c>
      <c r="D418" s="3173" t="s">
        <v>5624</v>
      </c>
      <c r="E418" s="3172" t="s">
        <v>5625</v>
      </c>
      <c r="F418" s="3179" t="s">
        <v>4795</v>
      </c>
      <c r="G418" s="3171">
        <v>-1648</v>
      </c>
      <c r="H418" s="3174">
        <v>37.39</v>
      </c>
      <c r="I418" s="3175">
        <v>600000.32120000001</v>
      </c>
      <c r="J418" s="3176" t="s">
        <v>3453</v>
      </c>
      <c r="K418" s="3163"/>
      <c r="M418" s="3163"/>
    </row>
    <row r="419" spans="1:13" ht="16.5">
      <c r="A419" s="3170">
        <v>417</v>
      </c>
      <c r="B419" s="3171" t="s">
        <v>4792</v>
      </c>
      <c r="C419" s="3172" t="s">
        <v>4792</v>
      </c>
      <c r="D419" s="3173" t="s">
        <v>5626</v>
      </c>
      <c r="E419" s="3172" t="s">
        <v>5627</v>
      </c>
      <c r="F419" s="3179" t="s">
        <v>4795</v>
      </c>
      <c r="G419" s="3171">
        <v>-1663</v>
      </c>
      <c r="H419" s="3174">
        <v>37.39</v>
      </c>
      <c r="I419" s="3175">
        <v>600000.32120000001</v>
      </c>
      <c r="J419" s="3176" t="s">
        <v>3453</v>
      </c>
      <c r="K419" s="3163"/>
      <c r="M419" s="3163"/>
    </row>
    <row r="420" spans="1:13" ht="16.5">
      <c r="A420" s="3170">
        <v>418</v>
      </c>
      <c r="B420" s="3171" t="s">
        <v>4792</v>
      </c>
      <c r="C420" s="3172" t="s">
        <v>4792</v>
      </c>
      <c r="D420" s="3173" t="s">
        <v>5628</v>
      </c>
      <c r="E420" s="3172" t="s">
        <v>5629</v>
      </c>
      <c r="F420" s="3179" t="s">
        <v>4795</v>
      </c>
      <c r="G420" s="3171">
        <v>-1664</v>
      </c>
      <c r="H420" s="3174">
        <v>37.39</v>
      </c>
      <c r="I420" s="3175">
        <v>600000.32120000001</v>
      </c>
      <c r="J420" s="3176" t="s">
        <v>3453</v>
      </c>
      <c r="K420" s="3163"/>
      <c r="M420" s="3163"/>
    </row>
    <row r="421" spans="1:13" ht="16.5">
      <c r="A421" s="3170">
        <v>419</v>
      </c>
      <c r="B421" s="3171" t="s">
        <v>4792</v>
      </c>
      <c r="C421" s="3172" t="s">
        <v>4792</v>
      </c>
      <c r="D421" s="3173" t="s">
        <v>5630</v>
      </c>
      <c r="E421" s="3172" t="s">
        <v>5631</v>
      </c>
      <c r="F421" s="3179" t="s">
        <v>4795</v>
      </c>
      <c r="G421" s="3171">
        <v>-1665</v>
      </c>
      <c r="H421" s="3174">
        <v>37.39</v>
      </c>
      <c r="I421" s="3175">
        <v>600000.32120000001</v>
      </c>
      <c r="J421" s="3176" t="s">
        <v>3453</v>
      </c>
      <c r="K421" s="3163"/>
      <c r="M421" s="3163"/>
    </row>
    <row r="422" spans="1:13" ht="16.5">
      <c r="A422" s="3170">
        <v>420</v>
      </c>
      <c r="B422" s="3171" t="s">
        <v>4792</v>
      </c>
      <c r="C422" s="3172" t="s">
        <v>4792</v>
      </c>
      <c r="D422" s="3173" t="s">
        <v>5632</v>
      </c>
      <c r="E422" s="3172" t="s">
        <v>5633</v>
      </c>
      <c r="F422" s="3179" t="s">
        <v>4795</v>
      </c>
      <c r="G422" s="3171">
        <v>-1666</v>
      </c>
      <c r="H422" s="3174">
        <v>37.39</v>
      </c>
      <c r="I422" s="3175">
        <v>600000.32120000001</v>
      </c>
      <c r="J422" s="3176" t="s">
        <v>3453</v>
      </c>
      <c r="K422" s="3163"/>
      <c r="M422" s="3163"/>
    </row>
    <row r="423" spans="1:13" ht="16.5">
      <c r="A423" s="3170">
        <v>421</v>
      </c>
      <c r="B423" s="3171" t="s">
        <v>4792</v>
      </c>
      <c r="C423" s="3172" t="s">
        <v>4792</v>
      </c>
      <c r="D423" s="3173" t="s">
        <v>5634</v>
      </c>
      <c r="E423" s="3172" t="s">
        <v>5635</v>
      </c>
      <c r="F423" s="3179" t="s">
        <v>4795</v>
      </c>
      <c r="G423" s="3171">
        <v>-1667</v>
      </c>
      <c r="H423" s="3174">
        <v>37.39</v>
      </c>
      <c r="I423" s="3175">
        <v>600000.32120000001</v>
      </c>
      <c r="J423" s="3176" t="s">
        <v>3453</v>
      </c>
      <c r="K423" s="3163"/>
      <c r="M423" s="3163"/>
    </row>
    <row r="424" spans="1:13" ht="16.5">
      <c r="A424" s="3170">
        <v>422</v>
      </c>
      <c r="B424" s="3171" t="s">
        <v>4792</v>
      </c>
      <c r="C424" s="3172" t="s">
        <v>4792</v>
      </c>
      <c r="D424" s="3173" t="s">
        <v>5636</v>
      </c>
      <c r="E424" s="3172" t="s">
        <v>5637</v>
      </c>
      <c r="F424" s="3179" t="s">
        <v>4795</v>
      </c>
      <c r="G424" s="3171">
        <v>-1668</v>
      </c>
      <c r="H424" s="3174">
        <v>37.39</v>
      </c>
      <c r="I424" s="3175">
        <v>600000.32120000001</v>
      </c>
      <c r="J424" s="3176" t="s">
        <v>3453</v>
      </c>
      <c r="K424" s="3163"/>
      <c r="M424" s="3163"/>
    </row>
    <row r="425" spans="1:13" ht="16.5">
      <c r="A425" s="3170">
        <v>423</v>
      </c>
      <c r="B425" s="3171" t="s">
        <v>4792</v>
      </c>
      <c r="C425" s="3172" t="s">
        <v>4792</v>
      </c>
      <c r="D425" s="3173" t="s">
        <v>5638</v>
      </c>
      <c r="E425" s="3172" t="s">
        <v>5639</v>
      </c>
      <c r="F425" s="3179" t="s">
        <v>4795</v>
      </c>
      <c r="G425" s="3171">
        <v>-1669</v>
      </c>
      <c r="H425" s="3174">
        <v>35.9</v>
      </c>
      <c r="I425" s="3175">
        <v>600000.29</v>
      </c>
      <c r="J425" s="3176" t="s">
        <v>3453</v>
      </c>
      <c r="K425" s="3163"/>
      <c r="M425" s="3163"/>
    </row>
    <row r="426" spans="1:13" ht="16.5">
      <c r="A426" s="3170">
        <v>424</v>
      </c>
      <c r="B426" s="3171" t="s">
        <v>4792</v>
      </c>
      <c r="C426" s="3172" t="s">
        <v>4792</v>
      </c>
      <c r="D426" s="3173" t="s">
        <v>5640</v>
      </c>
      <c r="E426" s="3172" t="s">
        <v>5641</v>
      </c>
      <c r="F426" s="3179" t="s">
        <v>4795</v>
      </c>
      <c r="G426" s="3171">
        <v>-1671</v>
      </c>
      <c r="H426" s="3174">
        <v>37.39</v>
      </c>
      <c r="I426" s="3175">
        <v>600000.32120000001</v>
      </c>
      <c r="J426" s="3176" t="s">
        <v>3453</v>
      </c>
      <c r="K426" s="3163"/>
      <c r="M426" s="3163"/>
    </row>
    <row r="427" spans="1:13" ht="16.5">
      <c r="A427" s="3170">
        <v>425</v>
      </c>
      <c r="B427" s="3171" t="s">
        <v>4792</v>
      </c>
      <c r="C427" s="3172" t="s">
        <v>4792</v>
      </c>
      <c r="D427" s="3173" t="s">
        <v>5642</v>
      </c>
      <c r="E427" s="3172" t="s">
        <v>5643</v>
      </c>
      <c r="F427" s="3179" t="s">
        <v>4795</v>
      </c>
      <c r="G427" s="3171">
        <v>-1672</v>
      </c>
      <c r="H427" s="3174">
        <v>37.39</v>
      </c>
      <c r="I427" s="3175">
        <v>600000.32120000001</v>
      </c>
      <c r="J427" s="3176" t="s">
        <v>3453</v>
      </c>
      <c r="K427" s="3163"/>
      <c r="M427" s="3163"/>
    </row>
    <row r="428" spans="1:13" ht="16.5">
      <c r="A428" s="3170">
        <v>426</v>
      </c>
      <c r="B428" s="3171" t="s">
        <v>4792</v>
      </c>
      <c r="C428" s="3172" t="s">
        <v>4792</v>
      </c>
      <c r="D428" s="3173" t="s">
        <v>5644</v>
      </c>
      <c r="E428" s="3172" t="s">
        <v>5645</v>
      </c>
      <c r="F428" s="3179" t="s">
        <v>4795</v>
      </c>
      <c r="G428" s="3171">
        <v>-1674</v>
      </c>
      <c r="H428" s="3174">
        <v>37.39</v>
      </c>
      <c r="I428" s="3175">
        <v>600000.32120000001</v>
      </c>
      <c r="J428" s="3176" t="s">
        <v>3453</v>
      </c>
      <c r="K428" s="3163"/>
      <c r="M428" s="3163"/>
    </row>
    <row r="429" spans="1:13" ht="16.5">
      <c r="A429" s="3170">
        <v>427</v>
      </c>
      <c r="B429" s="3171" t="s">
        <v>4792</v>
      </c>
      <c r="C429" s="3172" t="s">
        <v>4792</v>
      </c>
      <c r="D429" s="3173" t="s">
        <v>5646</v>
      </c>
      <c r="E429" s="3172" t="s">
        <v>5647</v>
      </c>
      <c r="F429" s="3179" t="s">
        <v>4795</v>
      </c>
      <c r="G429" s="3171">
        <v>-1675</v>
      </c>
      <c r="H429" s="3174">
        <v>37.39</v>
      </c>
      <c r="I429" s="3175">
        <v>600000.32120000001</v>
      </c>
      <c r="J429" s="3176" t="s">
        <v>3469</v>
      </c>
      <c r="K429" s="3163"/>
      <c r="M429" s="3163"/>
    </row>
    <row r="430" spans="1:13" ht="16.5">
      <c r="A430" s="3170">
        <v>428</v>
      </c>
      <c r="B430" s="3171" t="s">
        <v>4792</v>
      </c>
      <c r="C430" s="3172" t="s">
        <v>4792</v>
      </c>
      <c r="D430" s="3173" t="s">
        <v>5648</v>
      </c>
      <c r="E430" s="3172" t="s">
        <v>5649</v>
      </c>
      <c r="F430" s="3179" t="s">
        <v>4795</v>
      </c>
      <c r="G430" s="3171">
        <v>-1677</v>
      </c>
      <c r="H430" s="3174">
        <v>37.39</v>
      </c>
      <c r="I430" s="3175">
        <v>600000.32120000001</v>
      </c>
      <c r="J430" s="3176" t="s">
        <v>3453</v>
      </c>
      <c r="K430" s="3163"/>
      <c r="M430" s="3163"/>
    </row>
    <row r="431" spans="1:13" ht="16.5">
      <c r="A431" s="3170">
        <v>429</v>
      </c>
      <c r="B431" s="3171" t="s">
        <v>4792</v>
      </c>
      <c r="C431" s="3172" t="s">
        <v>4792</v>
      </c>
      <c r="D431" s="3173" t="s">
        <v>5650</v>
      </c>
      <c r="E431" s="3172" t="s">
        <v>5651</v>
      </c>
      <c r="F431" s="3179" t="s">
        <v>4795</v>
      </c>
      <c r="G431" s="3171">
        <v>-1678</v>
      </c>
      <c r="H431" s="3174">
        <v>37.39</v>
      </c>
      <c r="I431" s="3175">
        <v>600000.32120000001</v>
      </c>
      <c r="J431" s="3176" t="s">
        <v>3453</v>
      </c>
      <c r="K431" s="3163"/>
      <c r="M431" s="3163"/>
    </row>
    <row r="432" spans="1:13" ht="16.5">
      <c r="A432" s="3170">
        <v>430</v>
      </c>
      <c r="B432" s="3171" t="s">
        <v>4792</v>
      </c>
      <c r="C432" s="3172" t="s">
        <v>4792</v>
      </c>
      <c r="D432" s="3173" t="s">
        <v>5652</v>
      </c>
      <c r="E432" s="3172" t="s">
        <v>5653</v>
      </c>
      <c r="F432" s="3179" t="s">
        <v>4795</v>
      </c>
      <c r="G432" s="3171">
        <v>-1682</v>
      </c>
      <c r="H432" s="3174">
        <v>37.39</v>
      </c>
      <c r="I432" s="3175">
        <v>600000.32120000001</v>
      </c>
      <c r="J432" s="3176" t="s">
        <v>3469</v>
      </c>
      <c r="K432" s="3163"/>
      <c r="M432" s="3163"/>
    </row>
    <row r="433" spans="1:10" ht="16.5">
      <c r="A433" s="3170">
        <v>431</v>
      </c>
      <c r="B433" s="3171" t="s">
        <v>4792</v>
      </c>
      <c r="C433" s="3172" t="s">
        <v>4792</v>
      </c>
      <c r="D433" s="3173" t="s">
        <v>5654</v>
      </c>
      <c r="E433" s="3172" t="s">
        <v>5655</v>
      </c>
      <c r="F433" s="3179" t="s">
        <v>4795</v>
      </c>
      <c r="G433" s="3171">
        <v>-1683</v>
      </c>
      <c r="H433" s="3174">
        <v>37.39</v>
      </c>
      <c r="I433" s="3175">
        <v>600000.32120000001</v>
      </c>
      <c r="J433" s="3176" t="s">
        <v>3453</v>
      </c>
    </row>
    <row r="434" spans="1:10" ht="16.5">
      <c r="A434" s="3170">
        <v>432</v>
      </c>
      <c r="B434" s="3171" t="s">
        <v>4792</v>
      </c>
      <c r="C434" s="3172" t="s">
        <v>4792</v>
      </c>
      <c r="D434" s="3173" t="s">
        <v>5656</v>
      </c>
      <c r="E434" s="3172" t="s">
        <v>5657</v>
      </c>
      <c r="F434" s="3179" t="s">
        <v>4795</v>
      </c>
      <c r="G434" s="3171">
        <v>-1684</v>
      </c>
      <c r="H434" s="3174">
        <v>37.39</v>
      </c>
      <c r="I434" s="3175">
        <v>600000.32120000001</v>
      </c>
      <c r="J434" s="3176" t="s">
        <v>3453</v>
      </c>
    </row>
    <row r="435" spans="1:10" ht="16.5">
      <c r="A435" s="3170">
        <v>433</v>
      </c>
      <c r="B435" s="3171" t="s">
        <v>4792</v>
      </c>
      <c r="C435" s="3172" t="s">
        <v>4792</v>
      </c>
      <c r="D435" s="3173" t="s">
        <v>5658</v>
      </c>
      <c r="E435" s="3172" t="s">
        <v>5659</v>
      </c>
      <c r="F435" s="3179" t="s">
        <v>4795</v>
      </c>
      <c r="G435" s="3171">
        <v>-1688</v>
      </c>
      <c r="H435" s="3174">
        <v>37.39</v>
      </c>
      <c r="I435" s="3175">
        <v>600000.32120000001</v>
      </c>
      <c r="J435" s="3176" t="s">
        <v>3453</v>
      </c>
    </row>
    <row r="436" spans="1:10" ht="16.5">
      <c r="A436" s="3170">
        <v>434</v>
      </c>
      <c r="B436" s="3171" t="s">
        <v>4792</v>
      </c>
      <c r="C436" s="3172" t="s">
        <v>4792</v>
      </c>
      <c r="D436" s="3173" t="s">
        <v>5660</v>
      </c>
      <c r="E436" s="3172" t="s">
        <v>5661</v>
      </c>
      <c r="F436" s="3179" t="s">
        <v>4795</v>
      </c>
      <c r="G436" s="3171">
        <v>-1689</v>
      </c>
      <c r="H436" s="3174">
        <v>37.39</v>
      </c>
      <c r="I436" s="3175">
        <v>600000.32120000001</v>
      </c>
      <c r="J436" s="3176" t="s">
        <v>3453</v>
      </c>
    </row>
    <row r="437" spans="1:10" ht="16.5">
      <c r="A437" s="3170">
        <v>435</v>
      </c>
      <c r="B437" s="3171" t="s">
        <v>4792</v>
      </c>
      <c r="C437" s="3172" t="s">
        <v>4792</v>
      </c>
      <c r="D437" s="3173" t="s">
        <v>5662</v>
      </c>
      <c r="E437" s="3172" t="s">
        <v>5663</v>
      </c>
      <c r="F437" s="3179" t="s">
        <v>4795</v>
      </c>
      <c r="G437" s="3171">
        <v>-1690</v>
      </c>
      <c r="H437" s="3174">
        <v>37.39</v>
      </c>
      <c r="I437" s="3175">
        <v>600000.32120000001</v>
      </c>
      <c r="J437" s="3176" t="s">
        <v>3453</v>
      </c>
    </row>
    <row r="438" spans="1:10" ht="16.5">
      <c r="A438" s="3170">
        <v>436</v>
      </c>
      <c r="B438" s="3171" t="s">
        <v>4792</v>
      </c>
      <c r="C438" s="3172" t="s">
        <v>4792</v>
      </c>
      <c r="D438" s="3173" t="s">
        <v>5664</v>
      </c>
      <c r="E438" s="3172" t="s">
        <v>5665</v>
      </c>
      <c r="F438" s="3179" t="s">
        <v>4795</v>
      </c>
      <c r="G438" s="3171">
        <v>-1692</v>
      </c>
      <c r="H438" s="3174">
        <v>37.39</v>
      </c>
      <c r="I438" s="3175">
        <v>600000.32120000001</v>
      </c>
      <c r="J438" s="3176" t="s">
        <v>3453</v>
      </c>
    </row>
    <row r="439" spans="1:10" ht="16.5">
      <c r="A439" s="3170">
        <v>437</v>
      </c>
      <c r="B439" s="3171" t="s">
        <v>4792</v>
      </c>
      <c r="C439" s="3172" t="s">
        <v>4792</v>
      </c>
      <c r="D439" s="3173" t="s">
        <v>5666</v>
      </c>
      <c r="E439" s="3172" t="s">
        <v>5667</v>
      </c>
      <c r="F439" s="3179" t="s">
        <v>4795</v>
      </c>
      <c r="G439" s="3171">
        <v>-1693</v>
      </c>
      <c r="H439" s="3174">
        <v>37.39</v>
      </c>
      <c r="I439" s="3175">
        <v>600000.32120000001</v>
      </c>
      <c r="J439" s="3176" t="s">
        <v>3453</v>
      </c>
    </row>
    <row r="440" spans="1:10" ht="16.5">
      <c r="A440" s="3170">
        <v>438</v>
      </c>
      <c r="B440" s="3171" t="s">
        <v>4792</v>
      </c>
      <c r="C440" s="3172" t="s">
        <v>4792</v>
      </c>
      <c r="D440" s="3173" t="s">
        <v>5668</v>
      </c>
      <c r="E440" s="3172" t="s">
        <v>5669</v>
      </c>
      <c r="F440" s="3179" t="s">
        <v>4795</v>
      </c>
      <c r="G440" s="3171">
        <v>-1694</v>
      </c>
      <c r="H440" s="3174">
        <v>37.39</v>
      </c>
      <c r="I440" s="3175">
        <v>600000.32120000001</v>
      </c>
      <c r="J440" s="3176" t="s">
        <v>3453</v>
      </c>
    </row>
    <row r="441" spans="1:10" ht="16.5">
      <c r="A441" s="3170">
        <v>439</v>
      </c>
      <c r="B441" s="3171" t="s">
        <v>4792</v>
      </c>
      <c r="C441" s="3172" t="s">
        <v>4792</v>
      </c>
      <c r="D441" s="3173" t="s">
        <v>5670</v>
      </c>
      <c r="E441" s="3172" t="s">
        <v>5671</v>
      </c>
      <c r="F441" s="3179" t="s">
        <v>4795</v>
      </c>
      <c r="G441" s="3171">
        <v>-1696</v>
      </c>
      <c r="H441" s="3174">
        <v>37.39</v>
      </c>
      <c r="I441" s="3175">
        <v>600000.32120000001</v>
      </c>
      <c r="J441" s="3176" t="s">
        <v>3453</v>
      </c>
    </row>
    <row r="442" spans="1:10" ht="16.5">
      <c r="A442" s="3170">
        <v>440</v>
      </c>
      <c r="B442" s="3171" t="s">
        <v>4792</v>
      </c>
      <c r="C442" s="3172" t="s">
        <v>4792</v>
      </c>
      <c r="D442" s="3173" t="s">
        <v>5672</v>
      </c>
      <c r="E442" s="3172" t="s">
        <v>5673</v>
      </c>
      <c r="F442" s="3179" t="s">
        <v>4795</v>
      </c>
      <c r="G442" s="3171">
        <v>-1697</v>
      </c>
      <c r="H442" s="3174">
        <v>37.39</v>
      </c>
      <c r="I442" s="3175">
        <v>600000.32120000001</v>
      </c>
      <c r="J442" s="3176" t="s">
        <v>3453</v>
      </c>
    </row>
    <row r="443" spans="1:10" ht="16.5">
      <c r="A443" s="3170">
        <v>441</v>
      </c>
      <c r="B443" s="3171" t="s">
        <v>4792</v>
      </c>
      <c r="C443" s="3172" t="s">
        <v>4792</v>
      </c>
      <c r="D443" s="3173" t="s">
        <v>5674</v>
      </c>
      <c r="E443" s="3172" t="s">
        <v>5675</v>
      </c>
      <c r="F443" s="3179" t="s">
        <v>4795</v>
      </c>
      <c r="G443" s="3171">
        <v>-1699</v>
      </c>
      <c r="H443" s="3174">
        <v>37.39</v>
      </c>
      <c r="I443" s="3175">
        <v>600000.32120000001</v>
      </c>
      <c r="J443" s="3176" t="s">
        <v>3453</v>
      </c>
    </row>
    <row r="444" spans="1:10" ht="16.5">
      <c r="A444" s="3170">
        <v>442</v>
      </c>
      <c r="B444" s="3171" t="s">
        <v>4792</v>
      </c>
      <c r="C444" s="3172" t="s">
        <v>4792</v>
      </c>
      <c r="D444" s="3173" t="s">
        <v>5676</v>
      </c>
      <c r="E444" s="3172" t="s">
        <v>5677</v>
      </c>
      <c r="F444" s="3179" t="s">
        <v>4795</v>
      </c>
      <c r="G444" s="3171">
        <v>-1700</v>
      </c>
      <c r="H444" s="3174">
        <v>35.9</v>
      </c>
      <c r="I444" s="3175">
        <v>600000.29</v>
      </c>
      <c r="J444" s="3176" t="s">
        <v>3453</v>
      </c>
    </row>
    <row r="445" spans="1:10" ht="16.5">
      <c r="A445" s="3170">
        <v>443</v>
      </c>
      <c r="B445" s="3171" t="s">
        <v>4792</v>
      </c>
      <c r="C445" s="3172" t="s">
        <v>4792</v>
      </c>
      <c r="D445" s="3173" t="s">
        <v>5678</v>
      </c>
      <c r="E445" s="3172" t="s">
        <v>5679</v>
      </c>
      <c r="F445" s="3179" t="s">
        <v>4795</v>
      </c>
      <c r="G445" s="3171">
        <v>-1703</v>
      </c>
      <c r="H445" s="3174">
        <v>37.39</v>
      </c>
      <c r="I445" s="3175">
        <v>600000.32120000001</v>
      </c>
      <c r="J445" s="3176" t="s">
        <v>3453</v>
      </c>
    </row>
    <row r="446" spans="1:10" ht="16.5">
      <c r="A446" s="3170">
        <v>444</v>
      </c>
      <c r="B446" s="3171" t="s">
        <v>4792</v>
      </c>
      <c r="C446" s="3172" t="s">
        <v>4792</v>
      </c>
      <c r="D446" s="3173" t="s">
        <v>5680</v>
      </c>
      <c r="E446" s="3172" t="s">
        <v>5681</v>
      </c>
      <c r="F446" s="3179" t="s">
        <v>4795</v>
      </c>
      <c r="G446" s="3171">
        <v>-1704</v>
      </c>
      <c r="H446" s="3174">
        <v>37.39</v>
      </c>
      <c r="I446" s="3175">
        <v>600000.32120000001</v>
      </c>
      <c r="J446" s="3176" t="s">
        <v>3453</v>
      </c>
    </row>
    <row r="447" spans="1:10" ht="16.5">
      <c r="A447" s="3170">
        <v>445</v>
      </c>
      <c r="B447" s="3171" t="s">
        <v>4792</v>
      </c>
      <c r="C447" s="3172" t="s">
        <v>4792</v>
      </c>
      <c r="D447" s="3173" t="s">
        <v>5682</v>
      </c>
      <c r="E447" s="3172" t="s">
        <v>5683</v>
      </c>
      <c r="F447" s="3179" t="s">
        <v>4795</v>
      </c>
      <c r="G447" s="3171">
        <v>-1705</v>
      </c>
      <c r="H447" s="3174">
        <v>37.39</v>
      </c>
      <c r="I447" s="3175">
        <v>600000.32120000001</v>
      </c>
      <c r="J447" s="3176" t="s">
        <v>3453</v>
      </c>
    </row>
    <row r="448" spans="1:10" ht="16.5">
      <c r="A448" s="3170">
        <v>446</v>
      </c>
      <c r="B448" s="3171" t="s">
        <v>4792</v>
      </c>
      <c r="C448" s="3172" t="s">
        <v>4792</v>
      </c>
      <c r="D448" s="3173" t="s">
        <v>5684</v>
      </c>
      <c r="E448" s="3172" t="s">
        <v>5685</v>
      </c>
      <c r="F448" s="3179" t="s">
        <v>4795</v>
      </c>
      <c r="G448" s="3171">
        <v>-1706</v>
      </c>
      <c r="H448" s="3174">
        <v>37.39</v>
      </c>
      <c r="I448" s="3175">
        <v>600000.32120000001</v>
      </c>
      <c r="J448" s="3176" t="s">
        <v>3453</v>
      </c>
    </row>
    <row r="449" spans="1:10" ht="16.5">
      <c r="A449" s="3170">
        <v>447</v>
      </c>
      <c r="B449" s="3171" t="s">
        <v>4792</v>
      </c>
      <c r="C449" s="3172" t="s">
        <v>4792</v>
      </c>
      <c r="D449" s="3173" t="s">
        <v>5686</v>
      </c>
      <c r="E449" s="3172" t="s">
        <v>5687</v>
      </c>
      <c r="F449" s="3179" t="s">
        <v>4795</v>
      </c>
      <c r="G449" s="3171">
        <v>-1707</v>
      </c>
      <c r="H449" s="3174">
        <v>37.39</v>
      </c>
      <c r="I449" s="3175">
        <v>600000.32120000001</v>
      </c>
      <c r="J449" s="3176" t="s">
        <v>3453</v>
      </c>
    </row>
    <row r="450" spans="1:10" ht="16.5">
      <c r="A450" s="3170">
        <v>448</v>
      </c>
      <c r="B450" s="3171" t="s">
        <v>4792</v>
      </c>
      <c r="C450" s="3172" t="s">
        <v>4792</v>
      </c>
      <c r="D450" s="3173" t="s">
        <v>5688</v>
      </c>
      <c r="E450" s="3172" t="s">
        <v>5689</v>
      </c>
      <c r="F450" s="3179" t="s">
        <v>4795</v>
      </c>
      <c r="G450" s="3171">
        <v>-1708</v>
      </c>
      <c r="H450" s="3174">
        <v>37.39</v>
      </c>
      <c r="I450" s="3175">
        <v>600000.32120000001</v>
      </c>
      <c r="J450" s="3176" t="s">
        <v>3453</v>
      </c>
    </row>
    <row r="451" spans="1:10" ht="16.5">
      <c r="A451" s="3170">
        <v>449</v>
      </c>
      <c r="B451" s="3171" t="s">
        <v>4792</v>
      </c>
      <c r="C451" s="3172" t="s">
        <v>4792</v>
      </c>
      <c r="D451" s="3173" t="s">
        <v>5690</v>
      </c>
      <c r="E451" s="3172" t="s">
        <v>5691</v>
      </c>
      <c r="F451" s="3179" t="s">
        <v>4795</v>
      </c>
      <c r="G451" s="3171">
        <v>-1709</v>
      </c>
      <c r="H451" s="3174">
        <v>35.9</v>
      </c>
      <c r="I451" s="3175">
        <v>600000.29</v>
      </c>
      <c r="J451" s="3176" t="s">
        <v>3453</v>
      </c>
    </row>
    <row r="452" spans="1:10">
      <c r="H452" s="3178">
        <f>SUM(H3:H451)</f>
        <v>16849.759999999893</v>
      </c>
    </row>
  </sheetData>
  <autoFilter ref="A2:P432"/>
  <mergeCells count="1">
    <mergeCell ref="A1:H1"/>
  </mergeCells>
  <phoneticPr fontId="134" type="noConversion"/>
  <conditionalFormatting sqref="D3">
    <cfRule type="expression" dxfId="1038" priority="898">
      <formula>AND(SUMPRODUCT(IFERROR(1*(($D$660&amp;"x")=(D3&amp;"x")),0))&gt;1,NOT(ISBLANK(D3)))</formula>
    </cfRule>
    <cfRule type="duplicateValues" dxfId="1037" priority="449"/>
  </conditionalFormatting>
  <conditionalFormatting sqref="D4">
    <cfRule type="expression" dxfId="1036" priority="897">
      <formula>AND(SUMPRODUCT(IFERROR(1*(($D$661&amp;"x")=(D4&amp;"x")),0))&gt;1,NOT(ISBLANK(D4)))</formula>
    </cfRule>
    <cfRule type="duplicateValues" dxfId="1035" priority="448"/>
  </conditionalFormatting>
  <conditionalFormatting sqref="D5">
    <cfRule type="duplicateValues" dxfId="1034" priority="447"/>
    <cfRule type="expression" dxfId="1033" priority="896">
      <formula>AND(SUMPRODUCT(IFERROR(1*(($D$662&amp;"x")=(D5&amp;"x")),0))&gt;1,NOT(ISBLANK(D5)))</formula>
    </cfRule>
  </conditionalFormatting>
  <conditionalFormatting sqref="D6">
    <cfRule type="duplicateValues" dxfId="1032" priority="446"/>
    <cfRule type="expression" dxfId="1031" priority="895">
      <formula>AND(SUMPRODUCT(IFERROR(1*(($D$663&amp;"x")=(D6&amp;"x")),0))&gt;1,NOT(ISBLANK(D6)))</formula>
    </cfRule>
  </conditionalFormatting>
  <conditionalFormatting sqref="D7">
    <cfRule type="expression" dxfId="1030" priority="894">
      <formula>AND(SUMPRODUCT(IFERROR(1*(($D$664&amp;"x")=(D7&amp;"x")),0))&gt;1,NOT(ISBLANK(D7)))</formula>
    </cfRule>
    <cfRule type="duplicateValues" dxfId="1029" priority="445"/>
  </conditionalFormatting>
  <conditionalFormatting sqref="D8">
    <cfRule type="expression" dxfId="1028" priority="893">
      <formula>AND(SUMPRODUCT(IFERROR(1*(($D$665&amp;"x")=(D8&amp;"x")),0))&gt;1,NOT(ISBLANK(D8)))</formula>
    </cfRule>
    <cfRule type="duplicateValues" dxfId="1027" priority="444"/>
  </conditionalFormatting>
  <conditionalFormatting sqref="D9">
    <cfRule type="expression" dxfId="1026" priority="892">
      <formula>AND(SUMPRODUCT(IFERROR(1*(($D$666&amp;"x")=(D9&amp;"x")),0))&gt;1,NOT(ISBLANK(D9)))</formula>
    </cfRule>
    <cfRule type="duplicateValues" dxfId="1025" priority="443"/>
  </conditionalFormatting>
  <conditionalFormatting sqref="D10">
    <cfRule type="expression" dxfId="1024" priority="891">
      <formula>AND(SUMPRODUCT(IFERROR(1*(($D$667&amp;"x")=(D10&amp;"x")),0))&gt;1,NOT(ISBLANK(D10)))</formula>
    </cfRule>
    <cfRule type="duplicateValues" dxfId="1023" priority="442"/>
  </conditionalFormatting>
  <conditionalFormatting sqref="D11">
    <cfRule type="expression" dxfId="1022" priority="890">
      <formula>AND(SUMPRODUCT(IFERROR(1*(($D$668&amp;"x")=(D11&amp;"x")),0))&gt;1,NOT(ISBLANK(D11)))</formula>
    </cfRule>
    <cfRule type="duplicateValues" dxfId="1021" priority="441"/>
  </conditionalFormatting>
  <conditionalFormatting sqref="D12">
    <cfRule type="expression" dxfId="1020" priority="889">
      <formula>AND(SUMPRODUCT(IFERROR(1*(($D$669&amp;"x")=(D12&amp;"x")),0))&gt;1,NOT(ISBLANK(D12)))</formula>
    </cfRule>
    <cfRule type="duplicateValues" dxfId="1019" priority="440"/>
  </conditionalFormatting>
  <conditionalFormatting sqref="D13">
    <cfRule type="duplicateValues" dxfId="1018" priority="439"/>
    <cfRule type="expression" dxfId="1017" priority="888">
      <formula>AND(SUMPRODUCT(IFERROR(1*(($D$670&amp;"x")=(D13&amp;"x")),0))&gt;1,NOT(ISBLANK(D13)))</formula>
    </cfRule>
  </conditionalFormatting>
  <conditionalFormatting sqref="D14">
    <cfRule type="expression" dxfId="1016" priority="887">
      <formula>AND(SUMPRODUCT(IFERROR(1*(($D$671&amp;"x")=(D14&amp;"x")),0))&gt;1,NOT(ISBLANK(D14)))</formula>
    </cfRule>
    <cfRule type="duplicateValues" dxfId="1015" priority="438"/>
  </conditionalFormatting>
  <conditionalFormatting sqref="D15">
    <cfRule type="expression" dxfId="1014" priority="886">
      <formula>AND(SUMPRODUCT(IFERROR(1*(($D$672&amp;"x")=(D15&amp;"x")),0))&gt;1,NOT(ISBLANK(D15)))</formula>
    </cfRule>
    <cfRule type="duplicateValues" dxfId="1013" priority="437"/>
  </conditionalFormatting>
  <conditionalFormatting sqref="D16">
    <cfRule type="expression" dxfId="1012" priority="885">
      <formula>AND(SUMPRODUCT(IFERROR(1*(($D$673&amp;"x")=(D16&amp;"x")),0))&gt;1,NOT(ISBLANK(D16)))</formula>
    </cfRule>
    <cfRule type="duplicateValues" dxfId="1011" priority="436"/>
  </conditionalFormatting>
  <conditionalFormatting sqref="D17">
    <cfRule type="expression" dxfId="1010" priority="884">
      <formula>AND(SUMPRODUCT(IFERROR(1*(($D$674&amp;"x")=(D17&amp;"x")),0))&gt;1,NOT(ISBLANK(D17)))</formula>
    </cfRule>
    <cfRule type="duplicateValues" dxfId="1009" priority="435"/>
  </conditionalFormatting>
  <conditionalFormatting sqref="D18">
    <cfRule type="expression" dxfId="1008" priority="883">
      <formula>AND(SUMPRODUCT(IFERROR(1*(($D$675&amp;"x")=(D18&amp;"x")),0))&gt;1,NOT(ISBLANK(D18)))</formula>
    </cfRule>
    <cfRule type="duplicateValues" dxfId="1007" priority="434"/>
  </conditionalFormatting>
  <conditionalFormatting sqref="D19">
    <cfRule type="expression" dxfId="1006" priority="882">
      <formula>AND(SUMPRODUCT(IFERROR(1*(($D$676&amp;"x")=(D19&amp;"x")),0))&gt;1,NOT(ISBLANK(D19)))</formula>
    </cfRule>
    <cfRule type="duplicateValues" dxfId="1005" priority="433"/>
  </conditionalFormatting>
  <conditionalFormatting sqref="D20">
    <cfRule type="expression" dxfId="1004" priority="881">
      <formula>AND(SUMPRODUCT(IFERROR(1*(($D$677&amp;"x")=(D20&amp;"x")),0))&gt;1,NOT(ISBLANK(D20)))</formula>
    </cfRule>
    <cfRule type="duplicateValues" dxfId="1003" priority="432"/>
  </conditionalFormatting>
  <conditionalFormatting sqref="D21">
    <cfRule type="expression" dxfId="1002" priority="880">
      <formula>AND(SUMPRODUCT(IFERROR(1*(($D$678&amp;"x")=(D21&amp;"x")),0))&gt;1,NOT(ISBLANK(D21)))</formula>
    </cfRule>
    <cfRule type="duplicateValues" dxfId="1001" priority="431"/>
  </conditionalFormatting>
  <conditionalFormatting sqref="D22">
    <cfRule type="duplicateValues" dxfId="1000" priority="430"/>
    <cfRule type="expression" dxfId="999" priority="879">
      <formula>AND(SUMPRODUCT(IFERROR(1*(($D$679&amp;"x")=(D22&amp;"x")),0))&gt;1,NOT(ISBLANK(D22)))</formula>
    </cfRule>
  </conditionalFormatting>
  <conditionalFormatting sqref="D23">
    <cfRule type="duplicateValues" dxfId="998" priority="429"/>
    <cfRule type="expression" dxfId="997" priority="878">
      <formula>AND(SUMPRODUCT(IFERROR(1*(($D$680&amp;"x")=(D23&amp;"x")),0))&gt;1,NOT(ISBLANK(D23)))</formula>
    </cfRule>
  </conditionalFormatting>
  <conditionalFormatting sqref="D24">
    <cfRule type="duplicateValues" dxfId="996" priority="428"/>
    <cfRule type="expression" dxfId="995" priority="877">
      <formula>AND(SUMPRODUCT(IFERROR(1*(($D$681&amp;"x")=(D24&amp;"x")),0))&gt;1,NOT(ISBLANK(D24)))</formula>
    </cfRule>
  </conditionalFormatting>
  <conditionalFormatting sqref="D25">
    <cfRule type="duplicateValues" dxfId="994" priority="427"/>
    <cfRule type="expression" dxfId="993" priority="876">
      <formula>AND(SUMPRODUCT(IFERROR(1*(($D$682&amp;"x")=(D25&amp;"x")),0))&gt;1,NOT(ISBLANK(D25)))</formula>
    </cfRule>
  </conditionalFormatting>
  <conditionalFormatting sqref="D26">
    <cfRule type="duplicateValues" dxfId="992" priority="426"/>
    <cfRule type="expression" dxfId="991" priority="875">
      <formula>AND(SUMPRODUCT(IFERROR(1*(($D$683&amp;"x")=(D26&amp;"x")),0))&gt;1,NOT(ISBLANK(D26)))</formula>
    </cfRule>
  </conditionalFormatting>
  <conditionalFormatting sqref="D27">
    <cfRule type="duplicateValues" dxfId="990" priority="425"/>
    <cfRule type="expression" dxfId="989" priority="874">
      <formula>AND(SUMPRODUCT(IFERROR(1*(($D$684&amp;"x")=(D27&amp;"x")),0))&gt;1,NOT(ISBLANK(D27)))</formula>
    </cfRule>
  </conditionalFormatting>
  <conditionalFormatting sqref="D28">
    <cfRule type="duplicateValues" dxfId="988" priority="424"/>
    <cfRule type="expression" dxfId="987" priority="873">
      <formula>AND(SUMPRODUCT(IFERROR(1*(($D$685&amp;"x")=(D28&amp;"x")),0))&gt;1,NOT(ISBLANK(D28)))</formula>
    </cfRule>
  </conditionalFormatting>
  <conditionalFormatting sqref="D29">
    <cfRule type="expression" dxfId="986" priority="872">
      <formula>AND(SUMPRODUCT(IFERROR(1*(($D$686&amp;"x")=(D29&amp;"x")),0))&gt;1,NOT(ISBLANK(D29)))</formula>
    </cfRule>
    <cfRule type="duplicateValues" dxfId="985" priority="423"/>
  </conditionalFormatting>
  <conditionalFormatting sqref="D30">
    <cfRule type="duplicateValues" dxfId="984" priority="422"/>
    <cfRule type="expression" dxfId="983" priority="871">
      <formula>AND(SUMPRODUCT(IFERROR(1*(($D$687&amp;"x")=(D30&amp;"x")),0))&gt;1,NOT(ISBLANK(D30)))</formula>
    </cfRule>
  </conditionalFormatting>
  <conditionalFormatting sqref="D31">
    <cfRule type="expression" dxfId="982" priority="870">
      <formula>AND(SUMPRODUCT(IFERROR(1*(($D$688&amp;"x")=(D31&amp;"x")),0))&gt;1,NOT(ISBLANK(D31)))</formula>
    </cfRule>
    <cfRule type="duplicateValues" dxfId="981" priority="421"/>
  </conditionalFormatting>
  <conditionalFormatting sqref="D32">
    <cfRule type="expression" dxfId="980" priority="869">
      <formula>AND(SUMPRODUCT(IFERROR(1*(($D$689&amp;"x")=(D32&amp;"x")),0))&gt;1,NOT(ISBLANK(D32)))</formula>
    </cfRule>
    <cfRule type="duplicateValues" dxfId="979" priority="420"/>
  </conditionalFormatting>
  <conditionalFormatting sqref="D33">
    <cfRule type="expression" dxfId="978" priority="868">
      <formula>AND(SUMPRODUCT(IFERROR(1*(($D$690&amp;"x")=(D33&amp;"x")),0))&gt;1,NOT(ISBLANK(D33)))</formula>
    </cfRule>
    <cfRule type="duplicateValues" dxfId="977" priority="419"/>
  </conditionalFormatting>
  <conditionalFormatting sqref="D34">
    <cfRule type="expression" dxfId="976" priority="867">
      <formula>AND(SUMPRODUCT(IFERROR(1*(($D$691&amp;"x")=(D34&amp;"x")),0))&gt;1,NOT(ISBLANK(D34)))</formula>
    </cfRule>
    <cfRule type="duplicateValues" dxfId="975" priority="418"/>
  </conditionalFormatting>
  <conditionalFormatting sqref="D35">
    <cfRule type="expression" dxfId="974" priority="866">
      <formula>AND(SUMPRODUCT(IFERROR(1*(($D$692&amp;"x")=(D35&amp;"x")),0))&gt;1,NOT(ISBLANK(D35)))</formula>
    </cfRule>
    <cfRule type="duplicateValues" dxfId="973" priority="417"/>
  </conditionalFormatting>
  <conditionalFormatting sqref="D36">
    <cfRule type="expression" dxfId="972" priority="865">
      <formula>AND(SUMPRODUCT(IFERROR(1*(($D$693&amp;"x")=(D36&amp;"x")),0))&gt;1,NOT(ISBLANK(D36)))</formula>
    </cfRule>
    <cfRule type="duplicateValues" dxfId="971" priority="416"/>
  </conditionalFormatting>
  <conditionalFormatting sqref="D37">
    <cfRule type="expression" dxfId="970" priority="864">
      <formula>AND(SUMPRODUCT(IFERROR(1*(($D$694&amp;"x")=(D37&amp;"x")),0))&gt;1,NOT(ISBLANK(D37)))</formula>
    </cfRule>
    <cfRule type="duplicateValues" dxfId="969" priority="415"/>
  </conditionalFormatting>
  <conditionalFormatting sqref="D38">
    <cfRule type="expression" dxfId="968" priority="863">
      <formula>AND(SUMPRODUCT(IFERROR(1*(($D$695&amp;"x")=(D38&amp;"x")),0))&gt;1,NOT(ISBLANK(D38)))</formula>
    </cfRule>
    <cfRule type="duplicateValues" dxfId="967" priority="414"/>
  </conditionalFormatting>
  <conditionalFormatting sqref="D39">
    <cfRule type="expression" dxfId="966" priority="862">
      <formula>AND(SUMPRODUCT(IFERROR(1*(($D$696&amp;"x")=(D39&amp;"x")),0))&gt;1,NOT(ISBLANK(D39)))</formula>
    </cfRule>
    <cfRule type="duplicateValues" dxfId="965" priority="413"/>
  </conditionalFormatting>
  <conditionalFormatting sqref="D40">
    <cfRule type="expression" dxfId="964" priority="861">
      <formula>AND(SUMPRODUCT(IFERROR(1*(($D$697&amp;"x")=(D40&amp;"x")),0))&gt;1,NOT(ISBLANK(D40)))</formula>
    </cfRule>
    <cfRule type="duplicateValues" dxfId="963" priority="412"/>
  </conditionalFormatting>
  <conditionalFormatting sqref="D41">
    <cfRule type="expression" dxfId="962" priority="860">
      <formula>AND(SUMPRODUCT(IFERROR(1*(($D$698&amp;"x")=(D41&amp;"x")),0))&gt;1,NOT(ISBLANK(D41)))</formula>
    </cfRule>
    <cfRule type="duplicateValues" dxfId="961" priority="411"/>
  </conditionalFormatting>
  <conditionalFormatting sqref="D42">
    <cfRule type="expression" dxfId="960" priority="859">
      <formula>AND(SUMPRODUCT(IFERROR(1*(($D$699&amp;"x")=(D42&amp;"x")),0))&gt;1,NOT(ISBLANK(D42)))</formula>
    </cfRule>
    <cfRule type="duplicateValues" dxfId="959" priority="410"/>
  </conditionalFormatting>
  <conditionalFormatting sqref="D43">
    <cfRule type="expression" dxfId="958" priority="858">
      <formula>AND(SUMPRODUCT(IFERROR(1*(($D$700&amp;"x")=(D43&amp;"x")),0))&gt;1,NOT(ISBLANK(D43)))</formula>
    </cfRule>
    <cfRule type="duplicateValues" dxfId="957" priority="409"/>
  </conditionalFormatting>
  <conditionalFormatting sqref="D44">
    <cfRule type="expression" dxfId="956" priority="857">
      <formula>AND(SUMPRODUCT(IFERROR(1*(($D$701&amp;"x")=(D44&amp;"x")),0))&gt;1,NOT(ISBLANK(D44)))</formula>
    </cfRule>
    <cfRule type="duplicateValues" dxfId="955" priority="408"/>
  </conditionalFormatting>
  <conditionalFormatting sqref="D45">
    <cfRule type="expression" dxfId="954" priority="856">
      <formula>AND(SUMPRODUCT(IFERROR(1*(($D$702&amp;"x")=(D45&amp;"x")),0))&gt;1,NOT(ISBLANK(D45)))</formula>
    </cfRule>
    <cfRule type="duplicateValues" dxfId="953" priority="407"/>
  </conditionalFormatting>
  <conditionalFormatting sqref="D46">
    <cfRule type="expression" dxfId="952" priority="855">
      <formula>AND(SUMPRODUCT(IFERROR(1*(($D$703&amp;"x")=(D46&amp;"x")),0))&gt;1,NOT(ISBLANK(D46)))</formula>
    </cfRule>
    <cfRule type="duplicateValues" dxfId="951" priority="406"/>
  </conditionalFormatting>
  <conditionalFormatting sqref="D47">
    <cfRule type="expression" dxfId="950" priority="854">
      <formula>AND(SUMPRODUCT(IFERROR(1*(($D$704&amp;"x")=(D47&amp;"x")),0))&gt;1,NOT(ISBLANK(D47)))</formula>
    </cfRule>
    <cfRule type="duplicateValues" dxfId="949" priority="405"/>
  </conditionalFormatting>
  <conditionalFormatting sqref="D48">
    <cfRule type="expression" dxfId="948" priority="853">
      <formula>AND(SUMPRODUCT(IFERROR(1*(($D$705&amp;"x")=(D48&amp;"x")),0))&gt;1,NOT(ISBLANK(D48)))</formula>
    </cfRule>
    <cfRule type="duplicateValues" dxfId="947" priority="404"/>
  </conditionalFormatting>
  <conditionalFormatting sqref="D49">
    <cfRule type="expression" dxfId="946" priority="852">
      <formula>AND(SUMPRODUCT(IFERROR(1*(($D$706&amp;"x")=(D49&amp;"x")),0))&gt;1,NOT(ISBLANK(D49)))</formula>
    </cfRule>
    <cfRule type="duplicateValues" dxfId="945" priority="403"/>
  </conditionalFormatting>
  <conditionalFormatting sqref="D50">
    <cfRule type="expression" dxfId="944" priority="851">
      <formula>AND(SUMPRODUCT(IFERROR(1*(($D$707&amp;"x")=(D50&amp;"x")),0))&gt;1,NOT(ISBLANK(D50)))</formula>
    </cfRule>
    <cfRule type="duplicateValues" dxfId="943" priority="402"/>
  </conditionalFormatting>
  <conditionalFormatting sqref="D51">
    <cfRule type="expression" dxfId="942" priority="850">
      <formula>AND(SUMPRODUCT(IFERROR(1*(($D$708&amp;"x")=(D51&amp;"x")),0))&gt;1,NOT(ISBLANK(D51)))</formula>
    </cfRule>
    <cfRule type="duplicateValues" dxfId="941" priority="401"/>
  </conditionalFormatting>
  <conditionalFormatting sqref="D52">
    <cfRule type="expression" dxfId="940" priority="849">
      <formula>AND(SUMPRODUCT(IFERROR(1*(($D$709&amp;"x")=(D52&amp;"x")),0))&gt;1,NOT(ISBLANK(D52)))</formula>
    </cfRule>
    <cfRule type="duplicateValues" dxfId="939" priority="400"/>
  </conditionalFormatting>
  <conditionalFormatting sqref="D53">
    <cfRule type="expression" dxfId="938" priority="848">
      <formula>AND(SUMPRODUCT(IFERROR(1*(($D$710&amp;"x")=(D53&amp;"x")),0))&gt;1,NOT(ISBLANK(D53)))</formula>
    </cfRule>
    <cfRule type="duplicateValues" dxfId="937" priority="399"/>
  </conditionalFormatting>
  <conditionalFormatting sqref="D54">
    <cfRule type="expression" dxfId="936" priority="847">
      <formula>AND(SUMPRODUCT(IFERROR(1*(($D$711&amp;"x")=(D54&amp;"x")),0))&gt;1,NOT(ISBLANK(D54)))</formula>
    </cfRule>
    <cfRule type="duplicateValues" dxfId="935" priority="398"/>
  </conditionalFormatting>
  <conditionalFormatting sqref="D55">
    <cfRule type="expression" dxfId="934" priority="846">
      <formula>AND(SUMPRODUCT(IFERROR(1*(($D$712&amp;"x")=(D55&amp;"x")),0))&gt;1,NOT(ISBLANK(D55)))</formula>
    </cfRule>
    <cfRule type="duplicateValues" dxfId="933" priority="397"/>
  </conditionalFormatting>
  <conditionalFormatting sqref="D56">
    <cfRule type="expression" dxfId="932" priority="845">
      <formula>AND(SUMPRODUCT(IFERROR(1*(($D$713&amp;"x")=(D56&amp;"x")),0))&gt;1,NOT(ISBLANK(D56)))</formula>
    </cfRule>
    <cfRule type="duplicateValues" dxfId="931" priority="396"/>
  </conditionalFormatting>
  <conditionalFormatting sqref="D57">
    <cfRule type="expression" dxfId="930" priority="844">
      <formula>AND(SUMPRODUCT(IFERROR(1*(($D$714&amp;"x")=(D57&amp;"x")),0))&gt;1,NOT(ISBLANK(D57)))</formula>
    </cfRule>
    <cfRule type="duplicateValues" dxfId="929" priority="395"/>
  </conditionalFormatting>
  <conditionalFormatting sqref="D58">
    <cfRule type="expression" dxfId="928" priority="843">
      <formula>AND(SUMPRODUCT(IFERROR(1*(($D$715&amp;"x")=(D58&amp;"x")),0))&gt;1,NOT(ISBLANK(D58)))</formula>
    </cfRule>
    <cfRule type="duplicateValues" dxfId="927" priority="394"/>
  </conditionalFormatting>
  <conditionalFormatting sqref="D59">
    <cfRule type="expression" dxfId="926" priority="842">
      <formula>AND(SUMPRODUCT(IFERROR(1*(($D$716&amp;"x")=(D59&amp;"x")),0))&gt;1,NOT(ISBLANK(D59)))</formula>
    </cfRule>
    <cfRule type="duplicateValues" dxfId="925" priority="393"/>
  </conditionalFormatting>
  <conditionalFormatting sqref="D60">
    <cfRule type="expression" dxfId="924" priority="841">
      <formula>AND(SUMPRODUCT(IFERROR(1*(($D$717&amp;"x")=(D60&amp;"x")),0))&gt;1,NOT(ISBLANK(D60)))</formula>
    </cfRule>
    <cfRule type="duplicateValues" dxfId="923" priority="392"/>
  </conditionalFormatting>
  <conditionalFormatting sqref="D61">
    <cfRule type="expression" dxfId="922" priority="840">
      <formula>AND(SUMPRODUCT(IFERROR(1*(($D$718&amp;"x")=(D61&amp;"x")),0))&gt;1,NOT(ISBLANK(D61)))</formula>
    </cfRule>
    <cfRule type="duplicateValues" dxfId="921" priority="391"/>
  </conditionalFormatting>
  <conditionalFormatting sqref="D62">
    <cfRule type="expression" dxfId="920" priority="839">
      <formula>AND(SUMPRODUCT(IFERROR(1*(($D$719&amp;"x")=(D62&amp;"x")),0))&gt;1,NOT(ISBLANK(D62)))</formula>
    </cfRule>
    <cfRule type="duplicateValues" dxfId="919" priority="390"/>
  </conditionalFormatting>
  <conditionalFormatting sqref="D63">
    <cfRule type="expression" dxfId="918" priority="838">
      <formula>AND(SUMPRODUCT(IFERROR(1*(($D$720&amp;"x")=(D63&amp;"x")),0))&gt;1,NOT(ISBLANK(D63)))</formula>
    </cfRule>
    <cfRule type="duplicateValues" dxfId="917" priority="389"/>
  </conditionalFormatting>
  <conditionalFormatting sqref="D64">
    <cfRule type="expression" dxfId="916" priority="837">
      <formula>AND(SUMPRODUCT(IFERROR(1*(($D$721&amp;"x")=(D64&amp;"x")),0))&gt;1,NOT(ISBLANK(D64)))</formula>
    </cfRule>
    <cfRule type="duplicateValues" dxfId="915" priority="388"/>
  </conditionalFormatting>
  <conditionalFormatting sqref="D65">
    <cfRule type="expression" dxfId="914" priority="836">
      <formula>AND(SUMPRODUCT(IFERROR(1*(($D$722&amp;"x")=(D65&amp;"x")),0))&gt;1,NOT(ISBLANK(D65)))</formula>
    </cfRule>
    <cfRule type="duplicateValues" dxfId="913" priority="387"/>
  </conditionalFormatting>
  <conditionalFormatting sqref="D66">
    <cfRule type="expression" dxfId="912" priority="835">
      <formula>AND(SUMPRODUCT(IFERROR(1*(($D$723&amp;"x")=(D66&amp;"x")),0))&gt;1,NOT(ISBLANK(D66)))</formula>
    </cfRule>
    <cfRule type="duplicateValues" dxfId="911" priority="386"/>
  </conditionalFormatting>
  <conditionalFormatting sqref="D67">
    <cfRule type="duplicateValues" dxfId="910" priority="385"/>
    <cfRule type="expression" dxfId="909" priority="834">
      <formula>AND(SUMPRODUCT(IFERROR(1*(($D$724&amp;"x")=(D67&amp;"x")),0))&gt;1,NOT(ISBLANK(D67)))</formula>
    </cfRule>
  </conditionalFormatting>
  <conditionalFormatting sqref="D68">
    <cfRule type="duplicateValues" dxfId="908" priority="384"/>
    <cfRule type="expression" dxfId="907" priority="833">
      <formula>AND(SUMPRODUCT(IFERROR(1*(($D$725&amp;"x")=(D68&amp;"x")),0))&gt;1,NOT(ISBLANK(D68)))</formula>
    </cfRule>
  </conditionalFormatting>
  <conditionalFormatting sqref="D69">
    <cfRule type="duplicateValues" dxfId="906" priority="383"/>
    <cfRule type="expression" dxfId="905" priority="832">
      <formula>AND(SUMPRODUCT(IFERROR(1*(($D$726&amp;"x")=(D69&amp;"x")),0))&gt;1,NOT(ISBLANK(D69)))</formula>
    </cfRule>
  </conditionalFormatting>
  <conditionalFormatting sqref="D70">
    <cfRule type="duplicateValues" dxfId="904" priority="382"/>
    <cfRule type="expression" dxfId="903" priority="831">
      <formula>AND(SUMPRODUCT(IFERROR(1*(($D$727&amp;"x")=(D70&amp;"x")),0))&gt;1,NOT(ISBLANK(D70)))</formula>
    </cfRule>
  </conditionalFormatting>
  <conditionalFormatting sqref="D71">
    <cfRule type="expression" dxfId="902" priority="830">
      <formula>AND(SUMPRODUCT(IFERROR(1*(($D$728&amp;"x")=(D71&amp;"x")),0))&gt;1,NOT(ISBLANK(D71)))</formula>
    </cfRule>
    <cfRule type="duplicateValues" dxfId="901" priority="381"/>
  </conditionalFormatting>
  <conditionalFormatting sqref="D72">
    <cfRule type="expression" dxfId="900" priority="829">
      <formula>AND(SUMPRODUCT(IFERROR(1*(($D$729&amp;"x")=(D72&amp;"x")),0))&gt;1,NOT(ISBLANK(D72)))</formula>
    </cfRule>
    <cfRule type="duplicateValues" dxfId="899" priority="380"/>
  </conditionalFormatting>
  <conditionalFormatting sqref="D73">
    <cfRule type="expression" dxfId="898" priority="828">
      <formula>AND(SUMPRODUCT(IFERROR(1*(($D$730&amp;"x")=(D73&amp;"x")),0))&gt;1,NOT(ISBLANK(D73)))</formula>
    </cfRule>
    <cfRule type="duplicateValues" dxfId="897" priority="379"/>
  </conditionalFormatting>
  <conditionalFormatting sqref="D74">
    <cfRule type="duplicateValues" dxfId="896" priority="378"/>
    <cfRule type="expression" dxfId="895" priority="827">
      <formula>AND(SUMPRODUCT(IFERROR(1*(($D$731&amp;"x")=(D74&amp;"x")),0))&gt;1,NOT(ISBLANK(D74)))</formula>
    </cfRule>
  </conditionalFormatting>
  <conditionalFormatting sqref="D75">
    <cfRule type="expression" dxfId="894" priority="826">
      <formula>AND(SUMPRODUCT(IFERROR(1*(($D$732&amp;"x")=(D75&amp;"x")),0))&gt;1,NOT(ISBLANK(D75)))</formula>
    </cfRule>
    <cfRule type="duplicateValues" dxfId="893" priority="377"/>
  </conditionalFormatting>
  <conditionalFormatting sqref="D76">
    <cfRule type="expression" dxfId="892" priority="825">
      <formula>AND(SUMPRODUCT(IFERROR(1*(($D$733&amp;"x")=(D76&amp;"x")),0))&gt;1,NOT(ISBLANK(D76)))</formula>
    </cfRule>
    <cfRule type="duplicateValues" dxfId="891" priority="376"/>
  </conditionalFormatting>
  <conditionalFormatting sqref="D77">
    <cfRule type="expression" dxfId="890" priority="824">
      <formula>AND(SUMPRODUCT(IFERROR(1*(($D$734&amp;"x")=(D77&amp;"x")),0))&gt;1,NOT(ISBLANK(D77)))</formula>
    </cfRule>
    <cfRule type="duplicateValues" dxfId="889" priority="375"/>
  </conditionalFormatting>
  <conditionalFormatting sqref="D78">
    <cfRule type="expression" dxfId="888" priority="823">
      <formula>AND(SUMPRODUCT(IFERROR(1*(($D$735&amp;"x")=(D78&amp;"x")),0))&gt;1,NOT(ISBLANK(D78)))</formula>
    </cfRule>
    <cfRule type="duplicateValues" dxfId="887" priority="374"/>
  </conditionalFormatting>
  <conditionalFormatting sqref="D79">
    <cfRule type="expression" dxfId="886" priority="822">
      <formula>AND(SUMPRODUCT(IFERROR(1*(($D$736&amp;"x")=(D79&amp;"x")),0))&gt;1,NOT(ISBLANK(D79)))</formula>
    </cfRule>
    <cfRule type="duplicateValues" dxfId="885" priority="373"/>
  </conditionalFormatting>
  <conditionalFormatting sqref="D80">
    <cfRule type="expression" dxfId="884" priority="821">
      <formula>AND(SUMPRODUCT(IFERROR(1*(($D$737&amp;"x")=(D80&amp;"x")),0))&gt;1,NOT(ISBLANK(D80)))</formula>
    </cfRule>
    <cfRule type="duplicateValues" dxfId="883" priority="372"/>
  </conditionalFormatting>
  <conditionalFormatting sqref="D81">
    <cfRule type="expression" dxfId="882" priority="820">
      <formula>AND(SUMPRODUCT(IFERROR(1*(($D$738&amp;"x")=(D81&amp;"x")),0))&gt;1,NOT(ISBLANK(D81)))</formula>
    </cfRule>
    <cfRule type="duplicateValues" dxfId="881" priority="371"/>
  </conditionalFormatting>
  <conditionalFormatting sqref="D82">
    <cfRule type="expression" dxfId="880" priority="819">
      <formula>AND(SUMPRODUCT(IFERROR(1*(($D$739&amp;"x")=(D82&amp;"x")),0))&gt;1,NOT(ISBLANK(D82)))</formula>
    </cfRule>
    <cfRule type="duplicateValues" dxfId="879" priority="370"/>
  </conditionalFormatting>
  <conditionalFormatting sqref="D83">
    <cfRule type="expression" dxfId="878" priority="818">
      <formula>AND(SUMPRODUCT(IFERROR(1*(($D$740&amp;"x")=(D83&amp;"x")),0))&gt;1,NOT(ISBLANK(D83)))</formula>
    </cfRule>
    <cfRule type="duplicateValues" dxfId="877" priority="369"/>
  </conditionalFormatting>
  <conditionalFormatting sqref="D84">
    <cfRule type="expression" dxfId="876" priority="817">
      <formula>AND(SUMPRODUCT(IFERROR(1*(($D$741&amp;"x")=(D84&amp;"x")),0))&gt;1,NOT(ISBLANK(D84)))</formula>
    </cfRule>
    <cfRule type="duplicateValues" dxfId="875" priority="368"/>
  </conditionalFormatting>
  <conditionalFormatting sqref="D85">
    <cfRule type="expression" dxfId="874" priority="816">
      <formula>AND(SUMPRODUCT(IFERROR(1*(($D$742&amp;"x")=(D85&amp;"x")),0))&gt;1,NOT(ISBLANK(D85)))</formula>
    </cfRule>
    <cfRule type="duplicateValues" dxfId="873" priority="367"/>
  </conditionalFormatting>
  <conditionalFormatting sqref="D86">
    <cfRule type="expression" dxfId="872" priority="815">
      <formula>AND(SUMPRODUCT(IFERROR(1*(($D$743&amp;"x")=(D86&amp;"x")),0))&gt;1,NOT(ISBLANK(D86)))</formula>
    </cfRule>
    <cfRule type="duplicateValues" dxfId="871" priority="366"/>
  </conditionalFormatting>
  <conditionalFormatting sqref="D87">
    <cfRule type="expression" dxfId="870" priority="814">
      <formula>AND(SUMPRODUCT(IFERROR(1*(($D$744&amp;"x")=(D87&amp;"x")),0))&gt;1,NOT(ISBLANK(D87)))</formula>
    </cfRule>
    <cfRule type="duplicateValues" dxfId="869" priority="365"/>
  </conditionalFormatting>
  <conditionalFormatting sqref="D88">
    <cfRule type="expression" dxfId="868" priority="813">
      <formula>AND(SUMPRODUCT(IFERROR(1*(($D$745&amp;"x")=(D88&amp;"x")),0))&gt;1,NOT(ISBLANK(D88)))</formula>
    </cfRule>
    <cfRule type="duplicateValues" dxfId="867" priority="364"/>
  </conditionalFormatting>
  <conditionalFormatting sqref="D89">
    <cfRule type="expression" dxfId="866" priority="812">
      <formula>AND(SUMPRODUCT(IFERROR(1*(($D$746&amp;"x")=(D89&amp;"x")),0))&gt;1,NOT(ISBLANK(D89)))</formula>
    </cfRule>
    <cfRule type="duplicateValues" dxfId="865" priority="363"/>
  </conditionalFormatting>
  <conditionalFormatting sqref="D90">
    <cfRule type="expression" dxfId="864" priority="811">
      <formula>AND(SUMPRODUCT(IFERROR(1*(($D$747&amp;"x")=(D90&amp;"x")),0))&gt;1,NOT(ISBLANK(D90)))</formula>
    </cfRule>
    <cfRule type="duplicateValues" dxfId="863" priority="362"/>
  </conditionalFormatting>
  <conditionalFormatting sqref="D91">
    <cfRule type="expression" dxfId="862" priority="810">
      <formula>AND(SUMPRODUCT(IFERROR(1*(($D$748&amp;"x")=(D91&amp;"x")),0))&gt;1,NOT(ISBLANK(D91)))</formula>
    </cfRule>
    <cfRule type="duplicateValues" dxfId="861" priority="361"/>
  </conditionalFormatting>
  <conditionalFormatting sqref="D92">
    <cfRule type="expression" dxfId="860" priority="809">
      <formula>AND(SUMPRODUCT(IFERROR(1*(($D$749&amp;"x")=(D92&amp;"x")),0))&gt;1,NOT(ISBLANK(D92)))</formula>
    </cfRule>
    <cfRule type="duplicateValues" dxfId="859" priority="360"/>
  </conditionalFormatting>
  <conditionalFormatting sqref="D93">
    <cfRule type="expression" dxfId="858" priority="808">
      <formula>AND(SUMPRODUCT(IFERROR(1*(($D$750&amp;"x")=(D93&amp;"x")),0))&gt;1,NOT(ISBLANK(D93)))</formula>
    </cfRule>
    <cfRule type="duplicateValues" dxfId="857" priority="359"/>
  </conditionalFormatting>
  <conditionalFormatting sqref="D94">
    <cfRule type="expression" dxfId="856" priority="807">
      <formula>AND(SUMPRODUCT(IFERROR(1*(($D$751&amp;"x")=(D94&amp;"x")),0))&gt;1,NOT(ISBLANK(D94)))</formula>
    </cfRule>
    <cfRule type="duplicateValues" dxfId="855" priority="358"/>
  </conditionalFormatting>
  <conditionalFormatting sqref="D95">
    <cfRule type="duplicateValues" dxfId="854" priority="357"/>
    <cfRule type="expression" dxfId="853" priority="806">
      <formula>AND(SUMPRODUCT(IFERROR(1*(($D$752&amp;"x")=(D95&amp;"x")),0))&gt;1,NOT(ISBLANK(D95)))</formula>
    </cfRule>
  </conditionalFormatting>
  <conditionalFormatting sqref="D96">
    <cfRule type="expression" dxfId="852" priority="805">
      <formula>AND(SUMPRODUCT(IFERROR(1*(($D$753&amp;"x")=(D96&amp;"x")),0))&gt;1,NOT(ISBLANK(D96)))</formula>
    </cfRule>
    <cfRule type="duplicateValues" dxfId="851" priority="356"/>
  </conditionalFormatting>
  <conditionalFormatting sqref="D97">
    <cfRule type="duplicateValues" dxfId="850" priority="355"/>
    <cfRule type="expression" dxfId="849" priority="804">
      <formula>AND(SUMPRODUCT(IFERROR(1*(($D$754&amp;"x")=(D97&amp;"x")),0))&gt;1,NOT(ISBLANK(D97)))</formula>
    </cfRule>
  </conditionalFormatting>
  <conditionalFormatting sqref="D98">
    <cfRule type="duplicateValues" dxfId="848" priority="354"/>
    <cfRule type="expression" dxfId="847" priority="803">
      <formula>AND(SUMPRODUCT(IFERROR(1*(($D$755&amp;"x")=(D98&amp;"x")),0))&gt;1,NOT(ISBLANK(D98)))</formula>
    </cfRule>
  </conditionalFormatting>
  <conditionalFormatting sqref="D99">
    <cfRule type="expression" dxfId="846" priority="802">
      <formula>AND(SUMPRODUCT(IFERROR(1*(($D$756&amp;"x")=(D99&amp;"x")),0))&gt;1,NOT(ISBLANK(D99)))</formula>
    </cfRule>
    <cfRule type="duplicateValues" dxfId="845" priority="353"/>
  </conditionalFormatting>
  <conditionalFormatting sqref="D100">
    <cfRule type="duplicateValues" dxfId="844" priority="352"/>
    <cfRule type="expression" dxfId="843" priority="801">
      <formula>AND(SUMPRODUCT(IFERROR(1*(($D$757&amp;"x")=(D100&amp;"x")),0))&gt;1,NOT(ISBLANK(D100)))</formula>
    </cfRule>
  </conditionalFormatting>
  <conditionalFormatting sqref="D101">
    <cfRule type="expression" dxfId="842" priority="800">
      <formula>AND(SUMPRODUCT(IFERROR(1*(($D$758&amp;"x")=(D101&amp;"x")),0))&gt;1,NOT(ISBLANK(D101)))</formula>
    </cfRule>
    <cfRule type="duplicateValues" dxfId="841" priority="351"/>
  </conditionalFormatting>
  <conditionalFormatting sqref="D102">
    <cfRule type="expression" dxfId="840" priority="799">
      <formula>AND(SUMPRODUCT(IFERROR(1*(($D$759&amp;"x")=(D102&amp;"x")),0))&gt;1,NOT(ISBLANK(D102)))</formula>
    </cfRule>
    <cfRule type="duplicateValues" dxfId="839" priority="350"/>
  </conditionalFormatting>
  <conditionalFormatting sqref="D103">
    <cfRule type="expression" dxfId="838" priority="798">
      <formula>AND(SUMPRODUCT(IFERROR(1*(($D$760&amp;"x")=(D103&amp;"x")),0))&gt;1,NOT(ISBLANK(D103)))</formula>
    </cfRule>
    <cfRule type="duplicateValues" dxfId="837" priority="349"/>
  </conditionalFormatting>
  <conditionalFormatting sqref="D104">
    <cfRule type="expression" dxfId="836" priority="797">
      <formula>AND(SUMPRODUCT(IFERROR(1*(($D$761&amp;"x")=(D104&amp;"x")),0))&gt;1,NOT(ISBLANK(D104)))</formula>
    </cfRule>
    <cfRule type="duplicateValues" dxfId="835" priority="348"/>
  </conditionalFormatting>
  <conditionalFormatting sqref="D105">
    <cfRule type="duplicateValues" dxfId="834" priority="347"/>
    <cfRule type="expression" dxfId="833" priority="796">
      <formula>AND(SUMPRODUCT(IFERROR(1*(($D$762&amp;"x")=(D105&amp;"x")),0))&gt;1,NOT(ISBLANK(D105)))</formula>
    </cfRule>
  </conditionalFormatting>
  <conditionalFormatting sqref="D106">
    <cfRule type="expression" dxfId="832" priority="795">
      <formula>AND(SUMPRODUCT(IFERROR(1*(($D$763&amp;"x")=(D106&amp;"x")),0))&gt;1,NOT(ISBLANK(D106)))</formula>
    </cfRule>
    <cfRule type="duplicateValues" dxfId="831" priority="346"/>
  </conditionalFormatting>
  <conditionalFormatting sqref="D107">
    <cfRule type="duplicateValues" dxfId="830" priority="345"/>
    <cfRule type="expression" dxfId="829" priority="794">
      <formula>AND(SUMPRODUCT(IFERROR(1*(($D$764&amp;"x")=(D107&amp;"x")),0))&gt;1,NOT(ISBLANK(D107)))</formula>
    </cfRule>
  </conditionalFormatting>
  <conditionalFormatting sqref="D108">
    <cfRule type="expression" dxfId="828" priority="793">
      <formula>AND(SUMPRODUCT(IFERROR(1*(($D$765&amp;"x")=(D108&amp;"x")),0))&gt;1,NOT(ISBLANK(D108)))</formula>
    </cfRule>
    <cfRule type="duplicateValues" dxfId="827" priority="344"/>
  </conditionalFormatting>
  <conditionalFormatting sqref="D109">
    <cfRule type="expression" dxfId="826" priority="792">
      <formula>AND(SUMPRODUCT(IFERROR(1*(($D$766&amp;"x")=(D109&amp;"x")),0))&gt;1,NOT(ISBLANK(D109)))</formula>
    </cfRule>
    <cfRule type="duplicateValues" dxfId="825" priority="343"/>
  </conditionalFormatting>
  <conditionalFormatting sqref="D110">
    <cfRule type="duplicateValues" dxfId="824" priority="342"/>
    <cfRule type="expression" dxfId="823" priority="791">
      <formula>AND(SUMPRODUCT(IFERROR(1*(($D$767&amp;"x")=(D110&amp;"x")),0))&gt;1,NOT(ISBLANK(D110)))</formula>
    </cfRule>
  </conditionalFormatting>
  <conditionalFormatting sqref="D111">
    <cfRule type="expression" dxfId="822" priority="790">
      <formula>AND(SUMPRODUCT(IFERROR(1*(($D$768&amp;"x")=(D111&amp;"x")),0))&gt;1,NOT(ISBLANK(D111)))</formula>
    </cfRule>
    <cfRule type="duplicateValues" dxfId="821" priority="341"/>
  </conditionalFormatting>
  <conditionalFormatting sqref="D112">
    <cfRule type="expression" dxfId="820" priority="789">
      <formula>AND(SUMPRODUCT(IFERROR(1*(($D$769&amp;"x")=(D112&amp;"x")),0))&gt;1,NOT(ISBLANK(D112)))</formula>
    </cfRule>
    <cfRule type="duplicateValues" dxfId="819" priority="340"/>
  </conditionalFormatting>
  <conditionalFormatting sqref="D113">
    <cfRule type="expression" dxfId="818" priority="788">
      <formula>AND(SUMPRODUCT(IFERROR(1*(($D$770&amp;"x")=(D113&amp;"x")),0))&gt;1,NOT(ISBLANK(D113)))</formula>
    </cfRule>
    <cfRule type="duplicateValues" dxfId="817" priority="339"/>
  </conditionalFormatting>
  <conditionalFormatting sqref="D114">
    <cfRule type="expression" dxfId="816" priority="787">
      <formula>AND(SUMPRODUCT(IFERROR(1*(($D$771&amp;"x")=(D114&amp;"x")),0))&gt;1,NOT(ISBLANK(D114)))</formula>
    </cfRule>
    <cfRule type="duplicateValues" dxfId="815" priority="338"/>
  </conditionalFormatting>
  <conditionalFormatting sqref="D115">
    <cfRule type="duplicateValues" dxfId="814" priority="337"/>
    <cfRule type="expression" dxfId="813" priority="786">
      <formula>AND(SUMPRODUCT(IFERROR(1*(($D$772&amp;"x")=(D115&amp;"x")),0))&gt;1,NOT(ISBLANK(D115)))</formula>
    </cfRule>
  </conditionalFormatting>
  <conditionalFormatting sqref="D116">
    <cfRule type="expression" dxfId="812" priority="785">
      <formula>AND(SUMPRODUCT(IFERROR(1*(($D$773&amp;"x")=(D116&amp;"x")),0))&gt;1,NOT(ISBLANK(D116)))</formula>
    </cfRule>
    <cfRule type="duplicateValues" dxfId="811" priority="336"/>
  </conditionalFormatting>
  <conditionalFormatting sqref="D117">
    <cfRule type="expression" dxfId="810" priority="784">
      <formula>AND(SUMPRODUCT(IFERROR(1*(($D$774&amp;"x")=(D117&amp;"x")),0))&gt;1,NOT(ISBLANK(D117)))</formula>
    </cfRule>
    <cfRule type="duplicateValues" dxfId="809" priority="335"/>
  </conditionalFormatting>
  <conditionalFormatting sqref="D118">
    <cfRule type="expression" dxfId="808" priority="783">
      <formula>AND(SUMPRODUCT(IFERROR(1*(($D$775&amp;"x")=(D118&amp;"x")),0))&gt;1,NOT(ISBLANK(D118)))</formula>
    </cfRule>
    <cfRule type="duplicateValues" dxfId="807" priority="334"/>
  </conditionalFormatting>
  <conditionalFormatting sqref="D119">
    <cfRule type="expression" dxfId="806" priority="782">
      <formula>AND(SUMPRODUCT(IFERROR(1*(($D$776&amp;"x")=(D119&amp;"x")),0))&gt;1,NOT(ISBLANK(D119)))</formula>
    </cfRule>
    <cfRule type="duplicateValues" dxfId="805" priority="333"/>
  </conditionalFormatting>
  <conditionalFormatting sqref="D120">
    <cfRule type="duplicateValues" dxfId="804" priority="332"/>
    <cfRule type="expression" dxfId="803" priority="781">
      <formula>AND(SUMPRODUCT(IFERROR(1*(($D$777&amp;"x")=(D120&amp;"x")),0))&gt;1,NOT(ISBLANK(D120)))</formula>
    </cfRule>
  </conditionalFormatting>
  <conditionalFormatting sqref="D121">
    <cfRule type="duplicateValues" dxfId="802" priority="331"/>
    <cfRule type="expression" dxfId="801" priority="780">
      <formula>AND(SUMPRODUCT(IFERROR(1*(($D$778&amp;"x")=(D121&amp;"x")),0))&gt;1,NOT(ISBLANK(D121)))</formula>
    </cfRule>
  </conditionalFormatting>
  <conditionalFormatting sqref="D122">
    <cfRule type="duplicateValues" dxfId="800" priority="330"/>
    <cfRule type="expression" dxfId="799" priority="779">
      <formula>AND(SUMPRODUCT(IFERROR(1*(($D$779&amp;"x")=(D122&amp;"x")),0))&gt;1,NOT(ISBLANK(D122)))</formula>
    </cfRule>
  </conditionalFormatting>
  <conditionalFormatting sqref="D123">
    <cfRule type="duplicateValues" dxfId="798" priority="329"/>
    <cfRule type="expression" dxfId="797" priority="778">
      <formula>AND(SUMPRODUCT(IFERROR(1*(($D$780&amp;"x")=(D123&amp;"x")),0))&gt;1,NOT(ISBLANK(D123)))</formula>
    </cfRule>
  </conditionalFormatting>
  <conditionalFormatting sqref="D124">
    <cfRule type="duplicateValues" dxfId="796" priority="328"/>
    <cfRule type="expression" dxfId="795" priority="777">
      <formula>AND(SUMPRODUCT(IFERROR(1*(($D$781&amp;"x")=(D124&amp;"x")),0))&gt;1,NOT(ISBLANK(D124)))</formula>
    </cfRule>
  </conditionalFormatting>
  <conditionalFormatting sqref="D125">
    <cfRule type="duplicateValues" dxfId="794" priority="327"/>
    <cfRule type="expression" dxfId="793" priority="776">
      <formula>AND(SUMPRODUCT(IFERROR(1*(($D$782&amp;"x")=(D125&amp;"x")),0))&gt;1,NOT(ISBLANK(D125)))</formula>
    </cfRule>
  </conditionalFormatting>
  <conditionalFormatting sqref="D126">
    <cfRule type="duplicateValues" dxfId="792" priority="326"/>
    <cfRule type="expression" dxfId="791" priority="775">
      <formula>AND(SUMPRODUCT(IFERROR(1*(($D$783&amp;"x")=(D126&amp;"x")),0))&gt;1,NOT(ISBLANK(D126)))</formula>
    </cfRule>
  </conditionalFormatting>
  <conditionalFormatting sqref="D127">
    <cfRule type="expression" dxfId="790" priority="774">
      <formula>AND(SUMPRODUCT(IFERROR(1*(($D$784&amp;"x")=(D127&amp;"x")),0))&gt;1,NOT(ISBLANK(D127)))</formula>
    </cfRule>
    <cfRule type="duplicateValues" dxfId="789" priority="325"/>
  </conditionalFormatting>
  <conditionalFormatting sqref="D128">
    <cfRule type="duplicateValues" dxfId="788" priority="324"/>
    <cfRule type="expression" dxfId="787" priority="773">
      <formula>AND(SUMPRODUCT(IFERROR(1*(($D$785&amp;"x")=(D128&amp;"x")),0))&gt;1,NOT(ISBLANK(D128)))</formula>
    </cfRule>
  </conditionalFormatting>
  <conditionalFormatting sqref="D129">
    <cfRule type="expression" dxfId="786" priority="772">
      <formula>AND(SUMPRODUCT(IFERROR(1*(($D$786&amp;"x")=(D129&amp;"x")),0))&gt;1,NOT(ISBLANK(D129)))</formula>
    </cfRule>
    <cfRule type="duplicateValues" dxfId="785" priority="323"/>
  </conditionalFormatting>
  <conditionalFormatting sqref="D130">
    <cfRule type="expression" dxfId="784" priority="771">
      <formula>AND(SUMPRODUCT(IFERROR(1*(($D$787&amp;"x")=(D130&amp;"x")),0))&gt;1,NOT(ISBLANK(D130)))</formula>
    </cfRule>
    <cfRule type="duplicateValues" dxfId="783" priority="322"/>
  </conditionalFormatting>
  <conditionalFormatting sqref="D131">
    <cfRule type="expression" dxfId="782" priority="770">
      <formula>AND(SUMPRODUCT(IFERROR(1*(($D$788&amp;"x")=(D131&amp;"x")),0))&gt;1,NOT(ISBLANK(D131)))</formula>
    </cfRule>
    <cfRule type="duplicateValues" dxfId="781" priority="321"/>
  </conditionalFormatting>
  <conditionalFormatting sqref="D132">
    <cfRule type="expression" dxfId="780" priority="769">
      <formula>AND(SUMPRODUCT(IFERROR(1*(($D$789&amp;"x")=(D132&amp;"x")),0))&gt;1,NOT(ISBLANK(D132)))</formula>
    </cfRule>
    <cfRule type="duplicateValues" dxfId="779" priority="320"/>
  </conditionalFormatting>
  <conditionalFormatting sqref="D133">
    <cfRule type="expression" dxfId="778" priority="768">
      <formula>AND(SUMPRODUCT(IFERROR(1*(($D$790&amp;"x")=(D133&amp;"x")),0))&gt;1,NOT(ISBLANK(D133)))</formula>
    </cfRule>
    <cfRule type="duplicateValues" dxfId="777" priority="319"/>
  </conditionalFormatting>
  <conditionalFormatting sqref="D134">
    <cfRule type="expression" dxfId="776" priority="767">
      <formula>AND(SUMPRODUCT(IFERROR(1*(($D$791&amp;"x")=(D134&amp;"x")),0))&gt;1,NOT(ISBLANK(D134)))</formula>
    </cfRule>
    <cfRule type="duplicateValues" dxfId="775" priority="318"/>
  </conditionalFormatting>
  <conditionalFormatting sqref="D135">
    <cfRule type="expression" dxfId="774" priority="766">
      <formula>AND(SUMPRODUCT(IFERROR(1*(($D$792&amp;"x")=(D135&amp;"x")),0))&gt;1,NOT(ISBLANK(D135)))</formula>
    </cfRule>
    <cfRule type="duplicateValues" dxfId="773" priority="317"/>
  </conditionalFormatting>
  <conditionalFormatting sqref="D136">
    <cfRule type="duplicateValues" dxfId="772" priority="316"/>
    <cfRule type="expression" dxfId="771" priority="765">
      <formula>AND(SUMPRODUCT(IFERROR(1*(($D$793&amp;"x")=(D136&amp;"x")),0))&gt;1,NOT(ISBLANK(D136)))</formula>
    </cfRule>
  </conditionalFormatting>
  <conditionalFormatting sqref="D137">
    <cfRule type="expression" dxfId="770" priority="764">
      <formula>AND(SUMPRODUCT(IFERROR(1*(($D$794&amp;"x")=(D137&amp;"x")),0))&gt;1,NOT(ISBLANK(D137)))</formula>
    </cfRule>
    <cfRule type="duplicateValues" dxfId="769" priority="315"/>
  </conditionalFormatting>
  <conditionalFormatting sqref="D138">
    <cfRule type="duplicateValues" dxfId="768" priority="314"/>
    <cfRule type="expression" dxfId="767" priority="763">
      <formula>AND(SUMPRODUCT(IFERROR(1*(($D$795&amp;"x")=(D138&amp;"x")),0))&gt;1,NOT(ISBLANK(D138)))</formula>
    </cfRule>
  </conditionalFormatting>
  <conditionalFormatting sqref="D139">
    <cfRule type="duplicateValues" dxfId="766" priority="313"/>
    <cfRule type="expression" dxfId="765" priority="762">
      <formula>AND(SUMPRODUCT(IFERROR(1*(($D$796&amp;"x")=(D139&amp;"x")),0))&gt;1,NOT(ISBLANK(D139)))</formula>
    </cfRule>
  </conditionalFormatting>
  <conditionalFormatting sqref="D140">
    <cfRule type="duplicateValues" dxfId="764" priority="312"/>
    <cfRule type="expression" dxfId="763" priority="761">
      <formula>AND(SUMPRODUCT(IFERROR(1*(($D$797&amp;"x")=(D140&amp;"x")),0))&gt;1,NOT(ISBLANK(D140)))</formula>
    </cfRule>
  </conditionalFormatting>
  <conditionalFormatting sqref="D141">
    <cfRule type="duplicateValues" dxfId="762" priority="311"/>
    <cfRule type="expression" dxfId="761" priority="760">
      <formula>AND(SUMPRODUCT(IFERROR(1*(($D$798&amp;"x")=(D141&amp;"x")),0))&gt;1,NOT(ISBLANK(D141)))</formula>
    </cfRule>
  </conditionalFormatting>
  <conditionalFormatting sqref="D142">
    <cfRule type="duplicateValues" dxfId="760" priority="310"/>
    <cfRule type="expression" dxfId="759" priority="759">
      <formula>AND(SUMPRODUCT(IFERROR(1*(($D$799&amp;"x")=(D142&amp;"x")),0))&gt;1,NOT(ISBLANK(D142)))</formula>
    </cfRule>
  </conditionalFormatting>
  <conditionalFormatting sqref="D143">
    <cfRule type="duplicateValues" dxfId="758" priority="309"/>
    <cfRule type="expression" dxfId="757" priority="758">
      <formula>AND(SUMPRODUCT(IFERROR(1*(($D$800&amp;"x")=(D143&amp;"x")),0))&gt;1,NOT(ISBLANK(D143)))</formula>
    </cfRule>
  </conditionalFormatting>
  <conditionalFormatting sqref="D144">
    <cfRule type="expression" dxfId="756" priority="757">
      <formula>AND(SUMPRODUCT(IFERROR(1*(($D$801&amp;"x")=(D144&amp;"x")),0))&gt;1,NOT(ISBLANK(D144)))</formula>
    </cfRule>
    <cfRule type="duplicateValues" dxfId="755" priority="308"/>
  </conditionalFormatting>
  <conditionalFormatting sqref="D145">
    <cfRule type="duplicateValues" dxfId="754" priority="307"/>
    <cfRule type="expression" dxfId="753" priority="756">
      <formula>AND(SUMPRODUCT(IFERROR(1*(($D$802&amp;"x")=(D145&amp;"x")),0))&gt;1,NOT(ISBLANK(D145)))</formula>
    </cfRule>
  </conditionalFormatting>
  <conditionalFormatting sqref="D146">
    <cfRule type="duplicateValues" dxfId="752" priority="306"/>
    <cfRule type="expression" dxfId="751" priority="755">
      <formula>AND(SUMPRODUCT(IFERROR(1*(($D$803&amp;"x")=(D146&amp;"x")),0))&gt;1,NOT(ISBLANK(D146)))</formula>
    </cfRule>
  </conditionalFormatting>
  <conditionalFormatting sqref="D147">
    <cfRule type="duplicateValues" dxfId="750" priority="305"/>
    <cfRule type="expression" dxfId="749" priority="754">
      <formula>AND(SUMPRODUCT(IFERROR(1*(($D$804&amp;"x")=(D147&amp;"x")),0))&gt;1,NOT(ISBLANK(D147)))</formula>
    </cfRule>
  </conditionalFormatting>
  <conditionalFormatting sqref="D148">
    <cfRule type="duplicateValues" dxfId="748" priority="304"/>
    <cfRule type="expression" dxfId="747" priority="753">
      <formula>AND(SUMPRODUCT(IFERROR(1*(($D$805&amp;"x")=(D148&amp;"x")),0))&gt;1,NOT(ISBLANK(D148)))</formula>
    </cfRule>
  </conditionalFormatting>
  <conditionalFormatting sqref="D149">
    <cfRule type="expression" dxfId="746" priority="752">
      <formula>AND(SUMPRODUCT(IFERROR(1*(($D$806&amp;"x")=(D149&amp;"x")),0))&gt;1,NOT(ISBLANK(D149)))</formula>
    </cfRule>
    <cfRule type="duplicateValues" dxfId="745" priority="303"/>
  </conditionalFormatting>
  <conditionalFormatting sqref="D150">
    <cfRule type="expression" dxfId="744" priority="751">
      <formula>AND(SUMPRODUCT(IFERROR(1*(($D$807&amp;"x")=(D150&amp;"x")),0))&gt;1,NOT(ISBLANK(D150)))</formula>
    </cfRule>
    <cfRule type="duplicateValues" dxfId="743" priority="302"/>
  </conditionalFormatting>
  <conditionalFormatting sqref="D151">
    <cfRule type="duplicateValues" dxfId="742" priority="301"/>
    <cfRule type="expression" dxfId="741" priority="750">
      <formula>AND(SUMPRODUCT(IFERROR(1*(($D$808&amp;"x")=(D151&amp;"x")),0))&gt;1,NOT(ISBLANK(D151)))</formula>
    </cfRule>
  </conditionalFormatting>
  <conditionalFormatting sqref="D152">
    <cfRule type="expression" dxfId="740" priority="749">
      <formula>AND(SUMPRODUCT(IFERROR(1*(($D$809&amp;"x")=(D152&amp;"x")),0))&gt;1,NOT(ISBLANK(D152)))</formula>
    </cfRule>
    <cfRule type="duplicateValues" dxfId="739" priority="300"/>
  </conditionalFormatting>
  <conditionalFormatting sqref="D153">
    <cfRule type="expression" dxfId="738" priority="748">
      <formula>AND(SUMPRODUCT(IFERROR(1*(($D$810&amp;"x")=(D153&amp;"x")),0))&gt;1,NOT(ISBLANK(D153)))</formula>
    </cfRule>
    <cfRule type="duplicateValues" dxfId="737" priority="299"/>
  </conditionalFormatting>
  <conditionalFormatting sqref="D154">
    <cfRule type="expression" dxfId="736" priority="747">
      <formula>AND(SUMPRODUCT(IFERROR(1*(($D$811&amp;"x")=(D154&amp;"x")),0))&gt;1,NOT(ISBLANK(D154)))</formula>
    </cfRule>
    <cfRule type="duplicateValues" dxfId="735" priority="298"/>
  </conditionalFormatting>
  <conditionalFormatting sqref="D155">
    <cfRule type="duplicateValues" dxfId="734" priority="297"/>
    <cfRule type="expression" dxfId="733" priority="746">
      <formula>AND(SUMPRODUCT(IFERROR(1*(($D$812&amp;"x")=(D155&amp;"x")),0))&gt;1,NOT(ISBLANK(D155)))</formula>
    </cfRule>
  </conditionalFormatting>
  <conditionalFormatting sqref="D156">
    <cfRule type="expression" dxfId="732" priority="745">
      <formula>AND(SUMPRODUCT(IFERROR(1*(($D$813&amp;"x")=(D156&amp;"x")),0))&gt;1,NOT(ISBLANK(D156)))</formula>
    </cfRule>
    <cfRule type="duplicateValues" dxfId="731" priority="296"/>
  </conditionalFormatting>
  <conditionalFormatting sqref="D157">
    <cfRule type="expression" dxfId="730" priority="744">
      <formula>AND(SUMPRODUCT(IFERROR(1*(($D$814&amp;"x")=(D157&amp;"x")),0))&gt;1,NOT(ISBLANK(D157)))</formula>
    </cfRule>
    <cfRule type="duplicateValues" dxfId="729" priority="295"/>
  </conditionalFormatting>
  <conditionalFormatting sqref="D158">
    <cfRule type="expression" dxfId="728" priority="743">
      <formula>AND(SUMPRODUCT(IFERROR(1*(($D$815&amp;"x")=(D158&amp;"x")),0))&gt;1,NOT(ISBLANK(D158)))</formula>
    </cfRule>
    <cfRule type="duplicateValues" dxfId="727" priority="294"/>
  </conditionalFormatting>
  <conditionalFormatting sqref="D159">
    <cfRule type="expression" dxfId="726" priority="742">
      <formula>AND(SUMPRODUCT(IFERROR(1*(($D$816&amp;"x")=(D159&amp;"x")),0))&gt;1,NOT(ISBLANK(D159)))</formula>
    </cfRule>
    <cfRule type="duplicateValues" dxfId="725" priority="293"/>
  </conditionalFormatting>
  <conditionalFormatting sqref="D160">
    <cfRule type="expression" dxfId="724" priority="741">
      <formula>AND(SUMPRODUCT(IFERROR(1*(($D$817&amp;"x")=(D160&amp;"x")),0))&gt;1,NOT(ISBLANK(D160)))</formula>
    </cfRule>
    <cfRule type="duplicateValues" dxfId="723" priority="292"/>
  </conditionalFormatting>
  <conditionalFormatting sqref="D161">
    <cfRule type="duplicateValues" dxfId="722" priority="291"/>
    <cfRule type="expression" dxfId="721" priority="740">
      <formula>AND(SUMPRODUCT(IFERROR(1*(($D$818&amp;"x")=(D161&amp;"x")),0))&gt;1,NOT(ISBLANK(D161)))</formula>
    </cfRule>
  </conditionalFormatting>
  <conditionalFormatting sqref="D162">
    <cfRule type="duplicateValues" dxfId="720" priority="290"/>
    <cfRule type="expression" dxfId="719" priority="739">
      <formula>AND(SUMPRODUCT(IFERROR(1*(($D$819&amp;"x")=(D162&amp;"x")),0))&gt;1,NOT(ISBLANK(D162)))</formula>
    </cfRule>
  </conditionalFormatting>
  <conditionalFormatting sqref="D163">
    <cfRule type="duplicateValues" dxfId="718" priority="289"/>
    <cfRule type="expression" dxfId="717" priority="738">
      <formula>AND(SUMPRODUCT(IFERROR(1*(($D$820&amp;"x")=(D163&amp;"x")),0))&gt;1,NOT(ISBLANK(D163)))</formula>
    </cfRule>
  </conditionalFormatting>
  <conditionalFormatting sqref="D164">
    <cfRule type="expression" dxfId="716" priority="737">
      <formula>AND(SUMPRODUCT(IFERROR(1*(($D$821&amp;"x")=(D164&amp;"x")),0))&gt;1,NOT(ISBLANK(D164)))</formula>
    </cfRule>
    <cfRule type="duplicateValues" dxfId="715" priority="288"/>
  </conditionalFormatting>
  <conditionalFormatting sqref="D165">
    <cfRule type="expression" dxfId="714" priority="736">
      <formula>AND(SUMPRODUCT(IFERROR(1*(($D$822&amp;"x")=(D165&amp;"x")),0))&gt;1,NOT(ISBLANK(D165)))</formula>
    </cfRule>
    <cfRule type="duplicateValues" dxfId="713" priority="287"/>
  </conditionalFormatting>
  <conditionalFormatting sqref="D166">
    <cfRule type="expression" dxfId="712" priority="735">
      <formula>AND(SUMPRODUCT(IFERROR(1*(($D$823&amp;"x")=(D166&amp;"x")),0))&gt;1,NOT(ISBLANK(D166)))</formula>
    </cfRule>
    <cfRule type="duplicateValues" dxfId="711" priority="286"/>
  </conditionalFormatting>
  <conditionalFormatting sqref="D167">
    <cfRule type="expression" dxfId="710" priority="734">
      <formula>AND(SUMPRODUCT(IFERROR(1*(($D$824&amp;"x")=(D167&amp;"x")),0))&gt;1,NOT(ISBLANK(D167)))</formula>
    </cfRule>
    <cfRule type="duplicateValues" dxfId="709" priority="285"/>
  </conditionalFormatting>
  <conditionalFormatting sqref="D168">
    <cfRule type="expression" dxfId="708" priority="733">
      <formula>AND(SUMPRODUCT(IFERROR(1*(($D$825&amp;"x")=(D168&amp;"x")),0))&gt;1,NOT(ISBLANK(D168)))</formula>
    </cfRule>
    <cfRule type="duplicateValues" dxfId="707" priority="284"/>
  </conditionalFormatting>
  <conditionalFormatting sqref="D169">
    <cfRule type="expression" dxfId="706" priority="732">
      <formula>AND(SUMPRODUCT(IFERROR(1*(($D$826&amp;"x")=(D169&amp;"x")),0))&gt;1,NOT(ISBLANK(D169)))</formula>
    </cfRule>
    <cfRule type="duplicateValues" dxfId="705" priority="283"/>
  </conditionalFormatting>
  <conditionalFormatting sqref="D170">
    <cfRule type="expression" dxfId="704" priority="731">
      <formula>AND(SUMPRODUCT(IFERROR(1*(($D$827&amp;"x")=(D170&amp;"x")),0))&gt;1,NOT(ISBLANK(D170)))</formula>
    </cfRule>
    <cfRule type="duplicateValues" dxfId="703" priority="282"/>
  </conditionalFormatting>
  <conditionalFormatting sqref="D171">
    <cfRule type="expression" dxfId="702" priority="730">
      <formula>AND(SUMPRODUCT(IFERROR(1*(($D$828&amp;"x")=(D171&amp;"x")),0))&gt;1,NOT(ISBLANK(D171)))</formula>
    </cfRule>
    <cfRule type="duplicateValues" dxfId="701" priority="281"/>
  </conditionalFormatting>
  <conditionalFormatting sqref="D172">
    <cfRule type="expression" dxfId="700" priority="729">
      <formula>AND(SUMPRODUCT(IFERROR(1*(($D$829&amp;"x")=(D172&amp;"x")),0))&gt;1,NOT(ISBLANK(D172)))</formula>
    </cfRule>
    <cfRule type="duplicateValues" dxfId="699" priority="280"/>
  </conditionalFormatting>
  <conditionalFormatting sqref="D173">
    <cfRule type="expression" dxfId="698" priority="728">
      <formula>AND(SUMPRODUCT(IFERROR(1*(($D$830&amp;"x")=(D173&amp;"x")),0))&gt;1,NOT(ISBLANK(D173)))</formula>
    </cfRule>
    <cfRule type="duplicateValues" dxfId="697" priority="279"/>
  </conditionalFormatting>
  <conditionalFormatting sqref="D174">
    <cfRule type="expression" dxfId="696" priority="727">
      <formula>AND(SUMPRODUCT(IFERROR(1*(($D$831&amp;"x")=(D174&amp;"x")),0))&gt;1,NOT(ISBLANK(D174)))</formula>
    </cfRule>
    <cfRule type="duplicateValues" dxfId="695" priority="278"/>
  </conditionalFormatting>
  <conditionalFormatting sqref="D175">
    <cfRule type="expression" dxfId="694" priority="726">
      <formula>AND(SUMPRODUCT(IFERROR(1*(($D$832&amp;"x")=(D175&amp;"x")),0))&gt;1,NOT(ISBLANK(D175)))</formula>
    </cfRule>
    <cfRule type="duplicateValues" dxfId="693" priority="277"/>
  </conditionalFormatting>
  <conditionalFormatting sqref="D176">
    <cfRule type="duplicateValues" dxfId="692" priority="276"/>
    <cfRule type="expression" dxfId="691" priority="725">
      <formula>AND(SUMPRODUCT(IFERROR(1*(($D$833&amp;"x")=(D176&amp;"x")),0))&gt;1,NOT(ISBLANK(D176)))</formula>
    </cfRule>
  </conditionalFormatting>
  <conditionalFormatting sqref="D177">
    <cfRule type="duplicateValues" dxfId="690" priority="275"/>
    <cfRule type="expression" dxfId="689" priority="724">
      <formula>AND(SUMPRODUCT(IFERROR(1*(($D$834&amp;"x")=(D177&amp;"x")),0))&gt;1,NOT(ISBLANK(D177)))</formula>
    </cfRule>
  </conditionalFormatting>
  <conditionalFormatting sqref="D178">
    <cfRule type="duplicateValues" dxfId="688" priority="274"/>
    <cfRule type="expression" dxfId="687" priority="723">
      <formula>AND(SUMPRODUCT(IFERROR(1*(($D$835&amp;"x")=(D178&amp;"x")),0))&gt;1,NOT(ISBLANK(D178)))</formula>
    </cfRule>
  </conditionalFormatting>
  <conditionalFormatting sqref="D179">
    <cfRule type="duplicateValues" dxfId="686" priority="273"/>
    <cfRule type="expression" dxfId="685" priority="722">
      <formula>AND(SUMPRODUCT(IFERROR(1*(($D$836&amp;"x")=(D179&amp;"x")),0))&gt;1,NOT(ISBLANK(D179)))</formula>
    </cfRule>
  </conditionalFormatting>
  <conditionalFormatting sqref="D180">
    <cfRule type="duplicateValues" dxfId="684" priority="272"/>
    <cfRule type="expression" dxfId="683" priority="721">
      <formula>AND(SUMPRODUCT(IFERROR(1*(($D$837&amp;"x")=(D180&amp;"x")),0))&gt;1,NOT(ISBLANK(D180)))</formula>
    </cfRule>
  </conditionalFormatting>
  <conditionalFormatting sqref="D181">
    <cfRule type="duplicateValues" dxfId="682" priority="271"/>
    <cfRule type="expression" dxfId="681" priority="720">
      <formula>AND(SUMPRODUCT(IFERROR(1*(($D$838&amp;"x")=(D181&amp;"x")),0))&gt;1,NOT(ISBLANK(D181)))</formula>
    </cfRule>
  </conditionalFormatting>
  <conditionalFormatting sqref="D182">
    <cfRule type="expression" dxfId="680" priority="719">
      <formula>AND(SUMPRODUCT(IFERROR(1*(($D$839&amp;"x")=(D182&amp;"x")),0))&gt;1,NOT(ISBLANK(D182)))</formula>
    </cfRule>
    <cfRule type="duplicateValues" dxfId="679" priority="270"/>
  </conditionalFormatting>
  <conditionalFormatting sqref="D183">
    <cfRule type="duplicateValues" dxfId="678" priority="269"/>
    <cfRule type="expression" dxfId="677" priority="718">
      <formula>AND(SUMPRODUCT(IFERROR(1*(($D$840&amp;"x")=(D183&amp;"x")),0))&gt;1,NOT(ISBLANK(D183)))</formula>
    </cfRule>
  </conditionalFormatting>
  <conditionalFormatting sqref="D184">
    <cfRule type="duplicateValues" dxfId="676" priority="268"/>
    <cfRule type="expression" dxfId="675" priority="717">
      <formula>AND(SUMPRODUCT(IFERROR(1*(($D$841&amp;"x")=(D184&amp;"x")),0))&gt;1,NOT(ISBLANK(D184)))</formula>
    </cfRule>
  </conditionalFormatting>
  <conditionalFormatting sqref="D185">
    <cfRule type="duplicateValues" dxfId="674" priority="267"/>
    <cfRule type="expression" dxfId="673" priority="716">
      <formula>AND(SUMPRODUCT(IFERROR(1*(($D$842&amp;"x")=(D185&amp;"x")),0))&gt;1,NOT(ISBLANK(D185)))</formula>
    </cfRule>
  </conditionalFormatting>
  <conditionalFormatting sqref="D186">
    <cfRule type="duplicateValues" dxfId="672" priority="266"/>
    <cfRule type="expression" dxfId="671" priority="715">
      <formula>AND(SUMPRODUCT(IFERROR(1*(($D$843&amp;"x")=(D186&amp;"x")),0))&gt;1,NOT(ISBLANK(D186)))</formula>
    </cfRule>
  </conditionalFormatting>
  <conditionalFormatting sqref="D187">
    <cfRule type="duplicateValues" dxfId="670" priority="265"/>
    <cfRule type="expression" dxfId="669" priority="714">
      <formula>AND(SUMPRODUCT(IFERROR(1*(($D$844&amp;"x")=(D187&amp;"x")),0))&gt;1,NOT(ISBLANK(D187)))</formula>
    </cfRule>
  </conditionalFormatting>
  <conditionalFormatting sqref="D188">
    <cfRule type="duplicateValues" dxfId="668" priority="264"/>
    <cfRule type="expression" dxfId="667" priority="713">
      <formula>AND(SUMPRODUCT(IFERROR(1*(($D$845&amp;"x")=(D188&amp;"x")),0))&gt;1,NOT(ISBLANK(D188)))</formula>
    </cfRule>
  </conditionalFormatting>
  <conditionalFormatting sqref="D189">
    <cfRule type="duplicateValues" dxfId="666" priority="263"/>
    <cfRule type="expression" dxfId="665" priority="712">
      <formula>AND(SUMPRODUCT(IFERROR(1*(($D$846&amp;"x")=(D189&amp;"x")),0))&gt;1,NOT(ISBLANK(D189)))</formula>
    </cfRule>
  </conditionalFormatting>
  <conditionalFormatting sqref="D190">
    <cfRule type="expression" dxfId="664" priority="711">
      <formula>AND(SUMPRODUCT(IFERROR(1*(($D$847&amp;"x")=(D190&amp;"x")),0))&gt;1,NOT(ISBLANK(D190)))</formula>
    </cfRule>
    <cfRule type="duplicateValues" dxfId="663" priority="262"/>
  </conditionalFormatting>
  <conditionalFormatting sqref="D191">
    <cfRule type="expression" dxfId="662" priority="710">
      <formula>AND(SUMPRODUCT(IFERROR(1*(($D$848&amp;"x")=(D191&amp;"x")),0))&gt;1,NOT(ISBLANK(D191)))</formula>
    </cfRule>
    <cfRule type="duplicateValues" dxfId="661" priority="261"/>
  </conditionalFormatting>
  <conditionalFormatting sqref="D192">
    <cfRule type="expression" dxfId="660" priority="709">
      <formula>AND(SUMPRODUCT(IFERROR(1*(($D$849&amp;"x")=(D192&amp;"x")),0))&gt;1,NOT(ISBLANK(D192)))</formula>
    </cfRule>
    <cfRule type="duplicateValues" dxfId="659" priority="260"/>
  </conditionalFormatting>
  <conditionalFormatting sqref="D193">
    <cfRule type="duplicateValues" dxfId="658" priority="259"/>
    <cfRule type="expression" dxfId="657" priority="708">
      <formula>AND(SUMPRODUCT(IFERROR(1*(($D$850&amp;"x")=(D193&amp;"x")),0))&gt;1,NOT(ISBLANK(D193)))</formula>
    </cfRule>
  </conditionalFormatting>
  <conditionalFormatting sqref="D194">
    <cfRule type="expression" dxfId="656" priority="707">
      <formula>AND(SUMPRODUCT(IFERROR(1*(($D$851&amp;"x")=(D194&amp;"x")),0))&gt;1,NOT(ISBLANK(D194)))</formula>
    </cfRule>
    <cfRule type="duplicateValues" dxfId="655" priority="258"/>
  </conditionalFormatting>
  <conditionalFormatting sqref="D195">
    <cfRule type="duplicateValues" dxfId="654" priority="257"/>
    <cfRule type="expression" dxfId="653" priority="706">
      <formula>AND(SUMPRODUCT(IFERROR(1*(($D$852&amp;"x")=(D195&amp;"x")),0))&gt;1,NOT(ISBLANK(D195)))</formula>
    </cfRule>
  </conditionalFormatting>
  <conditionalFormatting sqref="D196">
    <cfRule type="expression" dxfId="652" priority="705">
      <formula>AND(SUMPRODUCT(IFERROR(1*(($D$853&amp;"x")=(D196&amp;"x")),0))&gt;1,NOT(ISBLANK(D196)))</formula>
    </cfRule>
    <cfRule type="duplicateValues" dxfId="651" priority="256"/>
  </conditionalFormatting>
  <conditionalFormatting sqref="D197">
    <cfRule type="expression" dxfId="650" priority="704">
      <formula>AND(SUMPRODUCT(IFERROR(1*(($D$854&amp;"x")=(D197&amp;"x")),0))&gt;1,NOT(ISBLANK(D197)))</formula>
    </cfRule>
    <cfRule type="duplicateValues" dxfId="649" priority="255"/>
  </conditionalFormatting>
  <conditionalFormatting sqref="D198">
    <cfRule type="expression" dxfId="648" priority="703">
      <formula>AND(SUMPRODUCT(IFERROR(1*(($D$855&amp;"x")=(D198&amp;"x")),0))&gt;1,NOT(ISBLANK(D198)))</formula>
    </cfRule>
    <cfRule type="duplicateValues" dxfId="647" priority="254"/>
  </conditionalFormatting>
  <conditionalFormatting sqref="D199">
    <cfRule type="duplicateValues" dxfId="646" priority="253"/>
    <cfRule type="expression" dxfId="645" priority="702">
      <formula>AND(SUMPRODUCT(IFERROR(1*(($D$856&amp;"x")=(D199&amp;"x")),0))&gt;1,NOT(ISBLANK(D199)))</formula>
    </cfRule>
  </conditionalFormatting>
  <conditionalFormatting sqref="D200">
    <cfRule type="duplicateValues" dxfId="644" priority="252"/>
    <cfRule type="expression" dxfId="643" priority="701">
      <formula>AND(SUMPRODUCT(IFERROR(1*(($D$857&amp;"x")=(D200&amp;"x")),0))&gt;1,NOT(ISBLANK(D200)))</formula>
    </cfRule>
  </conditionalFormatting>
  <conditionalFormatting sqref="D201">
    <cfRule type="duplicateValues" dxfId="642" priority="251"/>
    <cfRule type="expression" dxfId="641" priority="700">
      <formula>AND(SUMPRODUCT(IFERROR(1*(($D$858&amp;"x")=(D201&amp;"x")),0))&gt;1,NOT(ISBLANK(D201)))</formula>
    </cfRule>
  </conditionalFormatting>
  <conditionalFormatting sqref="D202">
    <cfRule type="duplicateValues" dxfId="640" priority="250"/>
    <cfRule type="expression" dxfId="639" priority="699">
      <formula>AND(SUMPRODUCT(IFERROR(1*(($D$859&amp;"x")=(D202&amp;"x")),0))&gt;1,NOT(ISBLANK(D202)))</formula>
    </cfRule>
  </conditionalFormatting>
  <conditionalFormatting sqref="D203">
    <cfRule type="duplicateValues" dxfId="638" priority="249"/>
    <cfRule type="expression" dxfId="637" priority="698">
      <formula>AND(SUMPRODUCT(IFERROR(1*(($D$860&amp;"x")=(D203&amp;"x")),0))&gt;1,NOT(ISBLANK(D203)))</formula>
    </cfRule>
  </conditionalFormatting>
  <conditionalFormatting sqref="D204">
    <cfRule type="duplicateValues" dxfId="636" priority="248"/>
    <cfRule type="expression" dxfId="635" priority="697">
      <formula>AND(SUMPRODUCT(IFERROR(1*(($D$861&amp;"x")=(D204&amp;"x")),0))&gt;1,NOT(ISBLANK(D204)))</formula>
    </cfRule>
  </conditionalFormatting>
  <conditionalFormatting sqref="D205">
    <cfRule type="duplicateValues" dxfId="634" priority="247"/>
    <cfRule type="expression" dxfId="633" priority="696">
      <formula>AND(SUMPRODUCT(IFERROR(1*(($D$862&amp;"x")=(D205&amp;"x")),0))&gt;1,NOT(ISBLANK(D205)))</formula>
    </cfRule>
  </conditionalFormatting>
  <conditionalFormatting sqref="D206">
    <cfRule type="duplicateValues" dxfId="632" priority="246"/>
    <cfRule type="expression" dxfId="631" priority="695">
      <formula>AND(SUMPRODUCT(IFERROR(1*(($D$863&amp;"x")=(D206&amp;"x")),0))&gt;1,NOT(ISBLANK(D206)))</formula>
    </cfRule>
  </conditionalFormatting>
  <conditionalFormatting sqref="D207">
    <cfRule type="duplicateValues" dxfId="630" priority="245"/>
    <cfRule type="expression" dxfId="629" priority="694">
      <formula>AND(SUMPRODUCT(IFERROR(1*(($D$864&amp;"x")=(D207&amp;"x")),0))&gt;1,NOT(ISBLANK(D207)))</formula>
    </cfRule>
  </conditionalFormatting>
  <conditionalFormatting sqref="D208">
    <cfRule type="duplicateValues" dxfId="628" priority="244"/>
    <cfRule type="expression" dxfId="627" priority="693">
      <formula>AND(SUMPRODUCT(IFERROR(1*(($D$865&amp;"x")=(D208&amp;"x")),0))&gt;1,NOT(ISBLANK(D208)))</formula>
    </cfRule>
  </conditionalFormatting>
  <conditionalFormatting sqref="D209">
    <cfRule type="duplicateValues" dxfId="626" priority="243"/>
    <cfRule type="expression" dxfId="625" priority="692">
      <formula>AND(SUMPRODUCT(IFERROR(1*(($D$866&amp;"x")=(D209&amp;"x")),0))&gt;1,NOT(ISBLANK(D209)))</formula>
    </cfRule>
  </conditionalFormatting>
  <conditionalFormatting sqref="D210">
    <cfRule type="duplicateValues" dxfId="624" priority="242"/>
    <cfRule type="expression" dxfId="623" priority="691">
      <formula>AND(SUMPRODUCT(IFERROR(1*(($D$867&amp;"x")=(D210&amp;"x")),0))&gt;1,NOT(ISBLANK(D210)))</formula>
    </cfRule>
  </conditionalFormatting>
  <conditionalFormatting sqref="D211">
    <cfRule type="expression" dxfId="622" priority="690">
      <formula>AND(SUMPRODUCT(IFERROR(1*(($D$868&amp;"x")=(D211&amp;"x")),0))&gt;1,NOT(ISBLANK(D211)))</formula>
    </cfRule>
    <cfRule type="duplicateValues" dxfId="621" priority="241"/>
  </conditionalFormatting>
  <conditionalFormatting sqref="D212">
    <cfRule type="duplicateValues" dxfId="620" priority="240"/>
    <cfRule type="expression" dxfId="619" priority="689">
      <formula>AND(SUMPRODUCT(IFERROR(1*(($D$869&amp;"x")=(D212&amp;"x")),0))&gt;1,NOT(ISBLANK(D212)))</formula>
    </cfRule>
  </conditionalFormatting>
  <conditionalFormatting sqref="D213">
    <cfRule type="duplicateValues" dxfId="618" priority="239"/>
    <cfRule type="expression" dxfId="617" priority="688">
      <formula>AND(SUMPRODUCT(IFERROR(1*(($D$870&amp;"x")=(D213&amp;"x")),0))&gt;1,NOT(ISBLANK(D213)))</formula>
    </cfRule>
  </conditionalFormatting>
  <conditionalFormatting sqref="D214">
    <cfRule type="duplicateValues" dxfId="616" priority="238"/>
    <cfRule type="expression" dxfId="615" priority="687">
      <formula>AND(SUMPRODUCT(IFERROR(1*(($D$871&amp;"x")=(D214&amp;"x")),0))&gt;1,NOT(ISBLANK(D214)))</formula>
    </cfRule>
  </conditionalFormatting>
  <conditionalFormatting sqref="D215">
    <cfRule type="duplicateValues" dxfId="614" priority="237"/>
    <cfRule type="expression" dxfId="613" priority="686">
      <formula>AND(SUMPRODUCT(IFERROR(1*(($D$872&amp;"x")=(D215&amp;"x")),0))&gt;1,NOT(ISBLANK(D215)))</formula>
    </cfRule>
  </conditionalFormatting>
  <conditionalFormatting sqref="D216">
    <cfRule type="duplicateValues" dxfId="612" priority="236"/>
    <cfRule type="expression" dxfId="611" priority="685">
      <formula>AND(SUMPRODUCT(IFERROR(1*(($D$873&amp;"x")=(D216&amp;"x")),0))&gt;1,NOT(ISBLANK(D216)))</formula>
    </cfRule>
  </conditionalFormatting>
  <conditionalFormatting sqref="D217">
    <cfRule type="expression" dxfId="610" priority="684">
      <formula>AND(SUMPRODUCT(IFERROR(1*(($D$874&amp;"x")=(D217&amp;"x")),0))&gt;1,NOT(ISBLANK(D217)))</formula>
    </cfRule>
    <cfRule type="duplicateValues" dxfId="609" priority="235"/>
  </conditionalFormatting>
  <conditionalFormatting sqref="D218">
    <cfRule type="duplicateValues" dxfId="608" priority="234"/>
    <cfRule type="expression" dxfId="607" priority="683">
      <formula>AND(SUMPRODUCT(IFERROR(1*(($D$875&amp;"x")=(D218&amp;"x")),0))&gt;1,NOT(ISBLANK(D218)))</formula>
    </cfRule>
  </conditionalFormatting>
  <conditionalFormatting sqref="D219">
    <cfRule type="duplicateValues" dxfId="606" priority="233"/>
    <cfRule type="expression" dxfId="605" priority="682">
      <formula>AND(SUMPRODUCT(IFERROR(1*(($D$876&amp;"x")=(D219&amp;"x")),0))&gt;1,NOT(ISBLANK(D219)))</formula>
    </cfRule>
  </conditionalFormatting>
  <conditionalFormatting sqref="D220">
    <cfRule type="duplicateValues" dxfId="604" priority="232"/>
    <cfRule type="expression" dxfId="603" priority="681">
      <formula>AND(SUMPRODUCT(IFERROR(1*(($D$877&amp;"x")=(D220&amp;"x")),0))&gt;1,NOT(ISBLANK(D220)))</formula>
    </cfRule>
  </conditionalFormatting>
  <conditionalFormatting sqref="D221">
    <cfRule type="duplicateValues" dxfId="602" priority="231"/>
    <cfRule type="expression" dxfId="601" priority="680">
      <formula>AND(SUMPRODUCT(IFERROR(1*(($D$878&amp;"x")=(D221&amp;"x")),0))&gt;1,NOT(ISBLANK(D221)))</formula>
    </cfRule>
  </conditionalFormatting>
  <conditionalFormatting sqref="D222">
    <cfRule type="duplicateValues" dxfId="600" priority="230"/>
    <cfRule type="expression" dxfId="599" priority="679">
      <formula>AND(SUMPRODUCT(IFERROR(1*(($D$879&amp;"x")=(D222&amp;"x")),0))&gt;1,NOT(ISBLANK(D222)))</formula>
    </cfRule>
  </conditionalFormatting>
  <conditionalFormatting sqref="D223">
    <cfRule type="duplicateValues" dxfId="598" priority="229"/>
    <cfRule type="expression" dxfId="597" priority="678">
      <formula>AND(SUMPRODUCT(IFERROR(1*(($D$880&amp;"x")=(D223&amp;"x")),0))&gt;1,NOT(ISBLANK(D223)))</formula>
    </cfRule>
  </conditionalFormatting>
  <conditionalFormatting sqref="D224">
    <cfRule type="duplicateValues" dxfId="596" priority="228"/>
    <cfRule type="expression" dxfId="595" priority="677">
      <formula>AND(SUMPRODUCT(IFERROR(1*(($D$881&amp;"x")=(D224&amp;"x")),0))&gt;1,NOT(ISBLANK(D224)))</formula>
    </cfRule>
  </conditionalFormatting>
  <conditionalFormatting sqref="D225">
    <cfRule type="duplicateValues" dxfId="594" priority="227"/>
    <cfRule type="expression" dxfId="593" priority="676">
      <formula>AND(SUMPRODUCT(IFERROR(1*(($D$882&amp;"x")=(D225&amp;"x")),0))&gt;1,NOT(ISBLANK(D225)))</formula>
    </cfRule>
  </conditionalFormatting>
  <conditionalFormatting sqref="D226">
    <cfRule type="duplicateValues" dxfId="592" priority="226"/>
    <cfRule type="expression" dxfId="591" priority="675">
      <formula>AND(SUMPRODUCT(IFERROR(1*(($D$883&amp;"x")=(D226&amp;"x")),0))&gt;1,NOT(ISBLANK(D226)))</formula>
    </cfRule>
  </conditionalFormatting>
  <conditionalFormatting sqref="D227">
    <cfRule type="expression" dxfId="590" priority="674">
      <formula>AND(SUMPRODUCT(IFERROR(1*(($D$884&amp;"x")=(D227&amp;"x")),0))&gt;1,NOT(ISBLANK(D227)))</formula>
    </cfRule>
    <cfRule type="duplicateValues" dxfId="589" priority="225"/>
  </conditionalFormatting>
  <conditionalFormatting sqref="D228">
    <cfRule type="duplicateValues" dxfId="588" priority="224"/>
    <cfRule type="expression" dxfId="587" priority="673">
      <formula>AND(SUMPRODUCT(IFERROR(1*(($D$885&amp;"x")=(D228&amp;"x")),0))&gt;1,NOT(ISBLANK(D228)))</formula>
    </cfRule>
  </conditionalFormatting>
  <conditionalFormatting sqref="D229">
    <cfRule type="duplicateValues" dxfId="586" priority="223"/>
    <cfRule type="expression" dxfId="585" priority="672">
      <formula>AND(SUMPRODUCT(IFERROR(1*(($D$886&amp;"x")=(D229&amp;"x")),0))&gt;1,NOT(ISBLANK(D229)))</formula>
    </cfRule>
  </conditionalFormatting>
  <conditionalFormatting sqref="D230">
    <cfRule type="duplicateValues" dxfId="584" priority="222"/>
    <cfRule type="expression" dxfId="583" priority="671">
      <formula>AND(SUMPRODUCT(IFERROR(1*(($D$887&amp;"x")=(D230&amp;"x")),0))&gt;1,NOT(ISBLANK(D230)))</formula>
    </cfRule>
  </conditionalFormatting>
  <conditionalFormatting sqref="D231">
    <cfRule type="duplicateValues" dxfId="582" priority="221"/>
    <cfRule type="expression" dxfId="581" priority="670">
      <formula>AND(SUMPRODUCT(IFERROR(1*(($D$888&amp;"x")=(D231&amp;"x")),0))&gt;1,NOT(ISBLANK(D231)))</formula>
    </cfRule>
  </conditionalFormatting>
  <conditionalFormatting sqref="D232">
    <cfRule type="duplicateValues" dxfId="580" priority="220"/>
    <cfRule type="expression" dxfId="579" priority="669">
      <formula>AND(SUMPRODUCT(IFERROR(1*(($D$889&amp;"x")=(D232&amp;"x")),0))&gt;1,NOT(ISBLANK(D232)))</formula>
    </cfRule>
  </conditionalFormatting>
  <conditionalFormatting sqref="D233">
    <cfRule type="duplicateValues" dxfId="578" priority="219"/>
    <cfRule type="expression" dxfId="577" priority="668">
      <formula>AND(SUMPRODUCT(IFERROR(1*(($D$890&amp;"x")=(D233&amp;"x")),0))&gt;1,NOT(ISBLANK(D233)))</formula>
    </cfRule>
  </conditionalFormatting>
  <conditionalFormatting sqref="D234">
    <cfRule type="duplicateValues" dxfId="576" priority="218"/>
    <cfRule type="expression" dxfId="575" priority="667">
      <formula>AND(SUMPRODUCT(IFERROR(1*(($D$891&amp;"x")=(D234&amp;"x")),0))&gt;1,NOT(ISBLANK(D234)))</formula>
    </cfRule>
  </conditionalFormatting>
  <conditionalFormatting sqref="D235">
    <cfRule type="duplicateValues" dxfId="574" priority="217"/>
    <cfRule type="expression" dxfId="573" priority="666">
      <formula>AND(SUMPRODUCT(IFERROR(1*(($D$892&amp;"x")=(D235&amp;"x")),0))&gt;1,NOT(ISBLANK(D235)))</formula>
    </cfRule>
  </conditionalFormatting>
  <conditionalFormatting sqref="D236">
    <cfRule type="duplicateValues" dxfId="572" priority="216"/>
    <cfRule type="expression" dxfId="571" priority="665">
      <formula>AND(SUMPRODUCT(IFERROR(1*(($D$893&amp;"x")=(D236&amp;"x")),0))&gt;1,NOT(ISBLANK(D236)))</formula>
    </cfRule>
  </conditionalFormatting>
  <conditionalFormatting sqref="D237">
    <cfRule type="expression" dxfId="570" priority="664">
      <formula>AND(SUMPRODUCT(IFERROR(1*(($D$894&amp;"x")=(D237&amp;"x")),0))&gt;1,NOT(ISBLANK(D237)))</formula>
    </cfRule>
    <cfRule type="duplicateValues" dxfId="569" priority="215"/>
  </conditionalFormatting>
  <conditionalFormatting sqref="D238">
    <cfRule type="duplicateValues" dxfId="568" priority="214"/>
    <cfRule type="expression" dxfId="567" priority="663">
      <formula>AND(SUMPRODUCT(IFERROR(1*(($D$895&amp;"x")=(D238&amp;"x")),0))&gt;1,NOT(ISBLANK(D238)))</formula>
    </cfRule>
  </conditionalFormatting>
  <conditionalFormatting sqref="D239">
    <cfRule type="expression" dxfId="566" priority="662">
      <formula>AND(SUMPRODUCT(IFERROR(1*(($D$896&amp;"x")=(D239&amp;"x")),0))&gt;1,NOT(ISBLANK(D239)))</formula>
    </cfRule>
    <cfRule type="duplicateValues" dxfId="565" priority="213"/>
  </conditionalFormatting>
  <conditionalFormatting sqref="D240">
    <cfRule type="duplicateValues" dxfId="564" priority="212"/>
    <cfRule type="expression" dxfId="563" priority="661">
      <formula>AND(SUMPRODUCT(IFERROR(1*(($D$897&amp;"x")=(D240&amp;"x")),0))&gt;1,NOT(ISBLANK(D240)))</formula>
    </cfRule>
  </conditionalFormatting>
  <conditionalFormatting sqref="D241">
    <cfRule type="expression" dxfId="562" priority="660">
      <formula>AND(SUMPRODUCT(IFERROR(1*(($D$898&amp;"x")=(D241&amp;"x")),0))&gt;1,NOT(ISBLANK(D241)))</formula>
    </cfRule>
    <cfRule type="duplicateValues" dxfId="561" priority="211"/>
  </conditionalFormatting>
  <conditionalFormatting sqref="D242">
    <cfRule type="expression" dxfId="560" priority="659">
      <formula>AND(SUMPRODUCT(IFERROR(1*(($D$899&amp;"x")=(D242&amp;"x")),0))&gt;1,NOT(ISBLANK(D242)))</formula>
    </cfRule>
    <cfRule type="duplicateValues" dxfId="559" priority="210"/>
  </conditionalFormatting>
  <conditionalFormatting sqref="D243">
    <cfRule type="expression" dxfId="558" priority="658">
      <formula>AND(SUMPRODUCT(IFERROR(1*(($D$900&amp;"x")=(D243&amp;"x")),0))&gt;1,NOT(ISBLANK(D243)))</formula>
    </cfRule>
    <cfRule type="duplicateValues" dxfId="557" priority="209"/>
  </conditionalFormatting>
  <conditionalFormatting sqref="D244">
    <cfRule type="duplicateValues" dxfId="556" priority="208"/>
    <cfRule type="expression" dxfId="555" priority="657">
      <formula>AND(SUMPRODUCT(IFERROR(1*(($D$901&amp;"x")=(D244&amp;"x")),0))&gt;1,NOT(ISBLANK(D244)))</formula>
    </cfRule>
  </conditionalFormatting>
  <conditionalFormatting sqref="D245">
    <cfRule type="expression" dxfId="554" priority="656">
      <formula>AND(SUMPRODUCT(IFERROR(1*(($D$902&amp;"x")=(D245&amp;"x")),0))&gt;1,NOT(ISBLANK(D245)))</formula>
    </cfRule>
    <cfRule type="duplicateValues" dxfId="553" priority="207"/>
  </conditionalFormatting>
  <conditionalFormatting sqref="D246">
    <cfRule type="duplicateValues" dxfId="552" priority="206"/>
    <cfRule type="expression" dxfId="551" priority="655">
      <formula>AND(SUMPRODUCT(IFERROR(1*(($D$903&amp;"x")=(D246&amp;"x")),0))&gt;1,NOT(ISBLANK(D246)))</formula>
    </cfRule>
  </conditionalFormatting>
  <conditionalFormatting sqref="D247">
    <cfRule type="duplicateValues" dxfId="550" priority="205"/>
    <cfRule type="expression" dxfId="549" priority="654">
      <formula>AND(SUMPRODUCT(IFERROR(1*(($D$904&amp;"x")=(D247&amp;"x")),0))&gt;1,NOT(ISBLANK(D247)))</formula>
    </cfRule>
  </conditionalFormatting>
  <conditionalFormatting sqref="D248">
    <cfRule type="duplicateValues" dxfId="548" priority="204"/>
    <cfRule type="expression" dxfId="547" priority="653">
      <formula>AND(SUMPRODUCT(IFERROR(1*(($D$905&amp;"x")=(D248&amp;"x")),0))&gt;1,NOT(ISBLANK(D248)))</formula>
    </cfRule>
  </conditionalFormatting>
  <conditionalFormatting sqref="D249">
    <cfRule type="duplicateValues" dxfId="546" priority="203"/>
    <cfRule type="expression" dxfId="545" priority="652">
      <formula>AND(SUMPRODUCT(IFERROR(1*(($D$906&amp;"x")=(D249&amp;"x")),0))&gt;1,NOT(ISBLANK(D249)))</formula>
    </cfRule>
  </conditionalFormatting>
  <conditionalFormatting sqref="D250">
    <cfRule type="expression" dxfId="544" priority="651">
      <formula>AND(SUMPRODUCT(IFERROR(1*(($D$907&amp;"x")=(D250&amp;"x")),0))&gt;1,NOT(ISBLANK(D250)))</formula>
    </cfRule>
    <cfRule type="duplicateValues" dxfId="543" priority="202"/>
  </conditionalFormatting>
  <conditionalFormatting sqref="D251">
    <cfRule type="duplicateValues" dxfId="542" priority="201"/>
    <cfRule type="expression" dxfId="541" priority="650">
      <formula>AND(SUMPRODUCT(IFERROR(1*(($D$908&amp;"x")=(D251&amp;"x")),0))&gt;1,NOT(ISBLANK(D251)))</formula>
    </cfRule>
  </conditionalFormatting>
  <conditionalFormatting sqref="D252">
    <cfRule type="duplicateValues" dxfId="540" priority="200"/>
    <cfRule type="expression" dxfId="539" priority="649">
      <formula>AND(SUMPRODUCT(IFERROR(1*(($D$909&amp;"x")=(D252&amp;"x")),0))&gt;1,NOT(ISBLANK(D252)))</formula>
    </cfRule>
  </conditionalFormatting>
  <conditionalFormatting sqref="D253">
    <cfRule type="expression" dxfId="538" priority="648">
      <formula>AND(SUMPRODUCT(IFERROR(1*(($D$910&amp;"x")=(D253&amp;"x")),0))&gt;1,NOT(ISBLANK(D253)))</formula>
    </cfRule>
    <cfRule type="duplicateValues" dxfId="537" priority="199"/>
  </conditionalFormatting>
  <conditionalFormatting sqref="D254">
    <cfRule type="duplicateValues" dxfId="536" priority="198"/>
    <cfRule type="expression" dxfId="535" priority="647">
      <formula>AND(SUMPRODUCT(IFERROR(1*(($D$911&amp;"x")=(D254&amp;"x")),0))&gt;1,NOT(ISBLANK(D254)))</formula>
    </cfRule>
  </conditionalFormatting>
  <conditionalFormatting sqref="D255">
    <cfRule type="duplicateValues" dxfId="534" priority="197"/>
    <cfRule type="expression" dxfId="533" priority="646">
      <formula>AND(SUMPRODUCT(IFERROR(1*(($D$912&amp;"x")=(D255&amp;"x")),0))&gt;1,NOT(ISBLANK(D255)))</formula>
    </cfRule>
  </conditionalFormatting>
  <conditionalFormatting sqref="D256">
    <cfRule type="expression" dxfId="532" priority="645">
      <formula>AND(SUMPRODUCT(IFERROR(1*(($D$913&amp;"x")=(D256&amp;"x")),0))&gt;1,NOT(ISBLANK(D256)))</formula>
    </cfRule>
    <cfRule type="duplicateValues" dxfId="531" priority="196"/>
  </conditionalFormatting>
  <conditionalFormatting sqref="D257">
    <cfRule type="duplicateValues" dxfId="530" priority="195"/>
    <cfRule type="expression" dxfId="529" priority="644">
      <formula>AND(SUMPRODUCT(IFERROR(1*(($D$914&amp;"x")=(D257&amp;"x")),0))&gt;1,NOT(ISBLANK(D257)))</formula>
    </cfRule>
  </conditionalFormatting>
  <conditionalFormatting sqref="D258">
    <cfRule type="duplicateValues" dxfId="528" priority="194"/>
    <cfRule type="expression" dxfId="527" priority="643">
      <formula>AND(SUMPRODUCT(IFERROR(1*(($D$915&amp;"x")=(D258&amp;"x")),0))&gt;1,NOT(ISBLANK(D258)))</formula>
    </cfRule>
  </conditionalFormatting>
  <conditionalFormatting sqref="D259">
    <cfRule type="expression" dxfId="526" priority="642">
      <formula>AND(SUMPRODUCT(IFERROR(1*(($D$916&amp;"x")=(D259&amp;"x")),0))&gt;1,NOT(ISBLANK(D259)))</formula>
    </cfRule>
    <cfRule type="duplicateValues" dxfId="525" priority="193"/>
  </conditionalFormatting>
  <conditionalFormatting sqref="D260">
    <cfRule type="expression" dxfId="524" priority="641">
      <formula>AND(SUMPRODUCT(IFERROR(1*(($D$917&amp;"x")=(D260&amp;"x")),0))&gt;1,NOT(ISBLANK(D260)))</formula>
    </cfRule>
    <cfRule type="duplicateValues" dxfId="523" priority="192"/>
  </conditionalFormatting>
  <conditionalFormatting sqref="D261">
    <cfRule type="expression" dxfId="522" priority="640">
      <formula>AND(SUMPRODUCT(IFERROR(1*(($D$918&amp;"x")=(D261&amp;"x")),0))&gt;1,NOT(ISBLANK(D261)))</formula>
    </cfRule>
    <cfRule type="duplicateValues" dxfId="521" priority="191"/>
  </conditionalFormatting>
  <conditionalFormatting sqref="D262">
    <cfRule type="duplicateValues" dxfId="520" priority="190"/>
    <cfRule type="expression" dxfId="519" priority="639">
      <formula>AND(SUMPRODUCT(IFERROR(1*(($D$919&amp;"x")=(D262&amp;"x")),0))&gt;1,NOT(ISBLANK(D262)))</formula>
    </cfRule>
  </conditionalFormatting>
  <conditionalFormatting sqref="D263">
    <cfRule type="expression" dxfId="518" priority="638">
      <formula>AND(SUMPRODUCT(IFERROR(1*(($D$920&amp;"x")=(D263&amp;"x")),0))&gt;1,NOT(ISBLANK(D263)))</formula>
    </cfRule>
    <cfRule type="duplicateValues" dxfId="517" priority="189"/>
  </conditionalFormatting>
  <conditionalFormatting sqref="D264">
    <cfRule type="expression" dxfId="516" priority="637">
      <formula>AND(SUMPRODUCT(IFERROR(1*(($D$921&amp;"x")=(D264&amp;"x")),0))&gt;1,NOT(ISBLANK(D264)))</formula>
    </cfRule>
    <cfRule type="duplicateValues" dxfId="515" priority="188"/>
  </conditionalFormatting>
  <conditionalFormatting sqref="D265">
    <cfRule type="duplicateValues" dxfId="514" priority="187"/>
    <cfRule type="expression" dxfId="513" priority="636">
      <formula>AND(SUMPRODUCT(IFERROR(1*(($D$922&amp;"x")=(D265&amp;"x")),0))&gt;1,NOT(ISBLANK(D265)))</formula>
    </cfRule>
  </conditionalFormatting>
  <conditionalFormatting sqref="D266">
    <cfRule type="duplicateValues" dxfId="512" priority="186"/>
    <cfRule type="expression" dxfId="511" priority="635">
      <formula>AND(SUMPRODUCT(IFERROR(1*(($D$923&amp;"x")=(D266&amp;"x")),0))&gt;1,NOT(ISBLANK(D266)))</formula>
    </cfRule>
  </conditionalFormatting>
  <conditionalFormatting sqref="D267">
    <cfRule type="duplicateValues" dxfId="510" priority="185"/>
    <cfRule type="expression" dxfId="509" priority="634">
      <formula>AND(SUMPRODUCT(IFERROR(1*(($D$924&amp;"x")=(D267&amp;"x")),0))&gt;1,NOT(ISBLANK(D267)))</formula>
    </cfRule>
  </conditionalFormatting>
  <conditionalFormatting sqref="D268">
    <cfRule type="expression" dxfId="508" priority="633">
      <formula>AND(SUMPRODUCT(IFERROR(1*(($D$925&amp;"x")=(D268&amp;"x")),0))&gt;1,NOT(ISBLANK(D268)))</formula>
    </cfRule>
    <cfRule type="duplicateValues" dxfId="507" priority="184"/>
  </conditionalFormatting>
  <conditionalFormatting sqref="D269">
    <cfRule type="expression" dxfId="506" priority="632">
      <formula>AND(SUMPRODUCT(IFERROR(1*(($D$926&amp;"x")=(D269&amp;"x")),0))&gt;1,NOT(ISBLANK(D269)))</formula>
    </cfRule>
    <cfRule type="duplicateValues" dxfId="505" priority="183"/>
  </conditionalFormatting>
  <conditionalFormatting sqref="D270">
    <cfRule type="expression" dxfId="504" priority="631">
      <formula>AND(SUMPRODUCT(IFERROR(1*(($D$927&amp;"x")=(D270&amp;"x")),0))&gt;1,NOT(ISBLANK(D270)))</formula>
    </cfRule>
    <cfRule type="duplicateValues" dxfId="503" priority="182"/>
  </conditionalFormatting>
  <conditionalFormatting sqref="D271">
    <cfRule type="expression" dxfId="502" priority="630">
      <formula>AND(SUMPRODUCT(IFERROR(1*(($D$928&amp;"x")=(D271&amp;"x")),0))&gt;1,NOT(ISBLANK(D271)))</formula>
    </cfRule>
    <cfRule type="duplicateValues" dxfId="501" priority="181"/>
  </conditionalFormatting>
  <conditionalFormatting sqref="D272">
    <cfRule type="expression" dxfId="500" priority="629">
      <formula>AND(SUMPRODUCT(IFERROR(1*(($D$929&amp;"x")=(D272&amp;"x")),0))&gt;1,NOT(ISBLANK(D272)))</formula>
    </cfRule>
    <cfRule type="duplicateValues" dxfId="499" priority="180"/>
  </conditionalFormatting>
  <conditionalFormatting sqref="D273">
    <cfRule type="duplicateValues" dxfId="498" priority="179"/>
    <cfRule type="expression" dxfId="497" priority="628">
      <formula>AND(SUMPRODUCT(IFERROR(1*(($D$930&amp;"x")=(D273&amp;"x")),0))&gt;1,NOT(ISBLANK(D273)))</formula>
    </cfRule>
  </conditionalFormatting>
  <conditionalFormatting sqref="D274">
    <cfRule type="duplicateValues" dxfId="496" priority="178"/>
    <cfRule type="expression" dxfId="495" priority="627">
      <formula>AND(SUMPRODUCT(IFERROR(1*(($D$931&amp;"x")=(D274&amp;"x")),0))&gt;1,NOT(ISBLANK(D274)))</formula>
    </cfRule>
  </conditionalFormatting>
  <conditionalFormatting sqref="D275">
    <cfRule type="duplicateValues" dxfId="494" priority="177"/>
    <cfRule type="expression" dxfId="493" priority="626">
      <formula>AND(SUMPRODUCT(IFERROR(1*(($D$932&amp;"x")=(D275&amp;"x")),0))&gt;1,NOT(ISBLANK(D275)))</formula>
    </cfRule>
  </conditionalFormatting>
  <conditionalFormatting sqref="D276">
    <cfRule type="expression" dxfId="492" priority="625">
      <formula>AND(SUMPRODUCT(IFERROR(1*(($D$933&amp;"x")=(D276&amp;"x")),0))&gt;1,NOT(ISBLANK(D276)))</formula>
    </cfRule>
    <cfRule type="duplicateValues" dxfId="491" priority="176"/>
  </conditionalFormatting>
  <conditionalFormatting sqref="D277">
    <cfRule type="duplicateValues" dxfId="490" priority="175"/>
    <cfRule type="expression" dxfId="489" priority="624">
      <formula>AND(SUMPRODUCT(IFERROR(1*(($D$934&amp;"x")=(D277&amp;"x")),0))&gt;1,NOT(ISBLANK(D277)))</formula>
    </cfRule>
  </conditionalFormatting>
  <conditionalFormatting sqref="D278">
    <cfRule type="expression" dxfId="488" priority="623">
      <formula>AND(SUMPRODUCT(IFERROR(1*(($D$935&amp;"x")=(D278&amp;"x")),0))&gt;1,NOT(ISBLANK(D278)))</formula>
    </cfRule>
    <cfRule type="duplicateValues" dxfId="487" priority="174"/>
  </conditionalFormatting>
  <conditionalFormatting sqref="D279">
    <cfRule type="expression" dxfId="486" priority="622">
      <formula>AND(SUMPRODUCT(IFERROR(1*(($D$936&amp;"x")=(D279&amp;"x")),0))&gt;1,NOT(ISBLANK(D279)))</formula>
    </cfRule>
    <cfRule type="duplicateValues" dxfId="485" priority="173"/>
  </conditionalFormatting>
  <conditionalFormatting sqref="D280">
    <cfRule type="expression" dxfId="484" priority="621">
      <formula>AND(SUMPRODUCT(IFERROR(1*(($D$937&amp;"x")=(D280&amp;"x")),0))&gt;1,NOT(ISBLANK(D280)))</formula>
    </cfRule>
    <cfRule type="duplicateValues" dxfId="483" priority="172"/>
  </conditionalFormatting>
  <conditionalFormatting sqref="D281">
    <cfRule type="expression" dxfId="482" priority="620">
      <formula>AND(SUMPRODUCT(IFERROR(1*(($D$938&amp;"x")=(D281&amp;"x")),0))&gt;1,NOT(ISBLANK(D281)))</formula>
    </cfRule>
    <cfRule type="duplicateValues" dxfId="481" priority="171"/>
  </conditionalFormatting>
  <conditionalFormatting sqref="D282">
    <cfRule type="expression" dxfId="480" priority="619">
      <formula>AND(SUMPRODUCT(IFERROR(1*(($D$939&amp;"x")=(D282&amp;"x")),0))&gt;1,NOT(ISBLANK(D282)))</formula>
    </cfRule>
    <cfRule type="duplicateValues" dxfId="479" priority="170"/>
  </conditionalFormatting>
  <conditionalFormatting sqref="D283">
    <cfRule type="expression" dxfId="478" priority="618">
      <formula>AND(SUMPRODUCT(IFERROR(1*(($D$940&amp;"x")=(D283&amp;"x")),0))&gt;1,NOT(ISBLANK(D283)))</formula>
    </cfRule>
    <cfRule type="duplicateValues" dxfId="477" priority="169"/>
  </conditionalFormatting>
  <conditionalFormatting sqref="D284">
    <cfRule type="duplicateValues" dxfId="476" priority="168"/>
    <cfRule type="expression" dxfId="475" priority="617">
      <formula>AND(SUMPRODUCT(IFERROR(1*(($D$941&amp;"x")=(D284&amp;"x")),0))&gt;1,NOT(ISBLANK(D284)))</formula>
    </cfRule>
  </conditionalFormatting>
  <conditionalFormatting sqref="D285">
    <cfRule type="expression" dxfId="474" priority="616">
      <formula>AND(SUMPRODUCT(IFERROR(1*(($D$942&amp;"x")=(D285&amp;"x")),0))&gt;1,NOT(ISBLANK(D285)))</formula>
    </cfRule>
    <cfRule type="duplicateValues" dxfId="473" priority="167"/>
  </conditionalFormatting>
  <conditionalFormatting sqref="D286">
    <cfRule type="expression" dxfId="472" priority="615">
      <formula>AND(SUMPRODUCT(IFERROR(1*(($D$943&amp;"x")=(D286&amp;"x")),0))&gt;1,NOT(ISBLANK(D286)))</formula>
    </cfRule>
    <cfRule type="duplicateValues" dxfId="471" priority="166"/>
  </conditionalFormatting>
  <conditionalFormatting sqref="D287">
    <cfRule type="expression" dxfId="470" priority="614">
      <formula>AND(SUMPRODUCT(IFERROR(1*(($D$944&amp;"x")=(D287&amp;"x")),0))&gt;1,NOT(ISBLANK(D287)))</formula>
    </cfRule>
    <cfRule type="duplicateValues" dxfId="469" priority="165"/>
  </conditionalFormatting>
  <conditionalFormatting sqref="D288">
    <cfRule type="expression" dxfId="468" priority="613">
      <formula>AND(SUMPRODUCT(IFERROR(1*(($D$945&amp;"x")=(D288&amp;"x")),0))&gt;1,NOT(ISBLANK(D288)))</formula>
    </cfRule>
    <cfRule type="duplicateValues" dxfId="467" priority="164"/>
  </conditionalFormatting>
  <conditionalFormatting sqref="D289">
    <cfRule type="expression" dxfId="466" priority="612">
      <formula>AND(SUMPRODUCT(IFERROR(1*(($D$946&amp;"x")=(D289&amp;"x")),0))&gt;1,NOT(ISBLANK(D289)))</formula>
    </cfRule>
    <cfRule type="duplicateValues" dxfId="465" priority="163"/>
  </conditionalFormatting>
  <conditionalFormatting sqref="D290">
    <cfRule type="duplicateValues" dxfId="464" priority="162"/>
    <cfRule type="expression" dxfId="463" priority="611">
      <formula>AND(SUMPRODUCT(IFERROR(1*(($D$947&amp;"x")=(D290&amp;"x")),0))&gt;1,NOT(ISBLANK(D290)))</formula>
    </cfRule>
  </conditionalFormatting>
  <conditionalFormatting sqref="D291">
    <cfRule type="expression" dxfId="462" priority="610">
      <formula>AND(SUMPRODUCT(IFERROR(1*(($D$948&amp;"x")=(D291&amp;"x")),0))&gt;1,NOT(ISBLANK(D291)))</formula>
    </cfRule>
    <cfRule type="duplicateValues" dxfId="461" priority="161"/>
  </conditionalFormatting>
  <conditionalFormatting sqref="D292">
    <cfRule type="expression" dxfId="460" priority="609">
      <formula>AND(SUMPRODUCT(IFERROR(1*(($D$949&amp;"x")=(D292&amp;"x")),0))&gt;1,NOT(ISBLANK(D292)))</formula>
    </cfRule>
    <cfRule type="duplicateValues" dxfId="459" priority="160"/>
  </conditionalFormatting>
  <conditionalFormatting sqref="D293">
    <cfRule type="expression" dxfId="458" priority="608">
      <formula>AND(SUMPRODUCT(IFERROR(1*(($D$950&amp;"x")=(D293&amp;"x")),0))&gt;1,NOT(ISBLANK(D293)))</formula>
    </cfRule>
    <cfRule type="duplicateValues" dxfId="457" priority="159"/>
  </conditionalFormatting>
  <conditionalFormatting sqref="D294">
    <cfRule type="duplicateValues" dxfId="456" priority="158"/>
    <cfRule type="expression" dxfId="455" priority="607">
      <formula>AND(SUMPRODUCT(IFERROR(1*(($D$951&amp;"x")=(D294&amp;"x")),0))&gt;1,NOT(ISBLANK(D294)))</formula>
    </cfRule>
  </conditionalFormatting>
  <conditionalFormatting sqref="D295">
    <cfRule type="duplicateValues" dxfId="454" priority="157"/>
    <cfRule type="expression" dxfId="453" priority="606">
      <formula>AND(SUMPRODUCT(IFERROR(1*(($D$952&amp;"x")=(D295&amp;"x")),0))&gt;1,NOT(ISBLANK(D295)))</formula>
    </cfRule>
  </conditionalFormatting>
  <conditionalFormatting sqref="D296">
    <cfRule type="duplicateValues" dxfId="452" priority="156"/>
    <cfRule type="expression" dxfId="451" priority="605">
      <formula>AND(SUMPRODUCT(IFERROR(1*(($D$953&amp;"x")=(D296&amp;"x")),0))&gt;1,NOT(ISBLANK(D296)))</formula>
    </cfRule>
  </conditionalFormatting>
  <conditionalFormatting sqref="D297">
    <cfRule type="duplicateValues" dxfId="450" priority="155"/>
    <cfRule type="expression" dxfId="449" priority="604">
      <formula>AND(SUMPRODUCT(IFERROR(1*(($D$954&amp;"x")=(D297&amp;"x")),0))&gt;1,NOT(ISBLANK(D297)))</formula>
    </cfRule>
  </conditionalFormatting>
  <conditionalFormatting sqref="D298">
    <cfRule type="duplicateValues" dxfId="448" priority="154"/>
    <cfRule type="expression" dxfId="447" priority="603">
      <formula>AND(SUMPRODUCT(IFERROR(1*(($D$955&amp;"x")=(D298&amp;"x")),0))&gt;1,NOT(ISBLANK(D298)))</formula>
    </cfRule>
  </conditionalFormatting>
  <conditionalFormatting sqref="D299">
    <cfRule type="duplicateValues" dxfId="446" priority="153"/>
    <cfRule type="expression" dxfId="445" priority="602">
      <formula>AND(SUMPRODUCT(IFERROR(1*(($D$956&amp;"x")=(D299&amp;"x")),0))&gt;1,NOT(ISBLANK(D299)))</formula>
    </cfRule>
  </conditionalFormatting>
  <conditionalFormatting sqref="D300">
    <cfRule type="expression" dxfId="444" priority="601">
      <formula>AND(SUMPRODUCT(IFERROR(1*(($D$957&amp;"x")=(D300&amp;"x")),0))&gt;1,NOT(ISBLANK(D300)))</formula>
    </cfRule>
    <cfRule type="duplicateValues" dxfId="443" priority="152"/>
  </conditionalFormatting>
  <conditionalFormatting sqref="D301">
    <cfRule type="expression" dxfId="442" priority="600">
      <formula>AND(SUMPRODUCT(IFERROR(1*(($D$958&amp;"x")=(D301&amp;"x")),0))&gt;1,NOT(ISBLANK(D301)))</formula>
    </cfRule>
    <cfRule type="duplicateValues" dxfId="441" priority="151"/>
  </conditionalFormatting>
  <conditionalFormatting sqref="D302">
    <cfRule type="expression" dxfId="440" priority="599">
      <formula>AND(SUMPRODUCT(IFERROR(1*(($D$959&amp;"x")=(D302&amp;"x")),0))&gt;1,NOT(ISBLANK(D302)))</formula>
    </cfRule>
    <cfRule type="duplicateValues" dxfId="439" priority="150"/>
  </conditionalFormatting>
  <conditionalFormatting sqref="D303">
    <cfRule type="expression" dxfId="438" priority="598">
      <formula>AND(SUMPRODUCT(IFERROR(1*(($D$960&amp;"x")=(D303&amp;"x")),0))&gt;1,NOT(ISBLANK(D303)))</formula>
    </cfRule>
    <cfRule type="duplicateValues" dxfId="437" priority="149"/>
  </conditionalFormatting>
  <conditionalFormatting sqref="D304">
    <cfRule type="expression" dxfId="436" priority="597">
      <formula>AND(SUMPRODUCT(IFERROR(1*(($D$961&amp;"x")=(D304&amp;"x")),0))&gt;1,NOT(ISBLANK(D304)))</formula>
    </cfRule>
    <cfRule type="duplicateValues" dxfId="435" priority="148"/>
  </conditionalFormatting>
  <conditionalFormatting sqref="D305">
    <cfRule type="expression" dxfId="434" priority="596">
      <formula>AND(SUMPRODUCT(IFERROR(1*(($D$962&amp;"x")=(D305&amp;"x")),0))&gt;1,NOT(ISBLANK(D305)))</formula>
    </cfRule>
    <cfRule type="duplicateValues" dxfId="433" priority="147"/>
  </conditionalFormatting>
  <conditionalFormatting sqref="D306">
    <cfRule type="expression" dxfId="432" priority="595">
      <formula>AND(SUMPRODUCT(IFERROR(1*(($D$963&amp;"x")=(D306&amp;"x")),0))&gt;1,NOT(ISBLANK(D306)))</formula>
    </cfRule>
    <cfRule type="duplicateValues" dxfId="431" priority="146"/>
  </conditionalFormatting>
  <conditionalFormatting sqref="D307">
    <cfRule type="expression" dxfId="430" priority="594">
      <formula>AND(SUMPRODUCT(IFERROR(1*(($D$964&amp;"x")=(D307&amp;"x")),0))&gt;1,NOT(ISBLANK(D307)))</formula>
    </cfRule>
    <cfRule type="duplicateValues" dxfId="429" priority="145"/>
  </conditionalFormatting>
  <conditionalFormatting sqref="D308">
    <cfRule type="duplicateValues" dxfId="428" priority="144"/>
    <cfRule type="expression" dxfId="427" priority="593">
      <formula>AND(SUMPRODUCT(IFERROR(1*(($D$965&amp;"x")=(D308&amp;"x")),0))&gt;1,NOT(ISBLANK(D308)))</formula>
    </cfRule>
  </conditionalFormatting>
  <conditionalFormatting sqref="D309">
    <cfRule type="duplicateValues" dxfId="426" priority="143"/>
    <cfRule type="expression" dxfId="425" priority="592">
      <formula>AND(SUMPRODUCT(IFERROR(1*(($D$966&amp;"x")=(D309&amp;"x")),0))&gt;1,NOT(ISBLANK(D309)))</formula>
    </cfRule>
  </conditionalFormatting>
  <conditionalFormatting sqref="D310">
    <cfRule type="expression" dxfId="424" priority="591">
      <formula>AND(SUMPRODUCT(IFERROR(1*(($D$967&amp;"x")=(D310&amp;"x")),0))&gt;1,NOT(ISBLANK(D310)))</formula>
    </cfRule>
    <cfRule type="duplicateValues" dxfId="423" priority="142"/>
  </conditionalFormatting>
  <conditionalFormatting sqref="D311">
    <cfRule type="duplicateValues" dxfId="422" priority="141"/>
    <cfRule type="expression" dxfId="421" priority="590">
      <formula>AND(SUMPRODUCT(IFERROR(1*(($D$968&amp;"x")=(D311&amp;"x")),0))&gt;1,NOT(ISBLANK(D311)))</formula>
    </cfRule>
  </conditionalFormatting>
  <conditionalFormatting sqref="D312">
    <cfRule type="duplicateValues" dxfId="420" priority="140"/>
    <cfRule type="expression" dxfId="419" priority="589">
      <formula>AND(SUMPRODUCT(IFERROR(1*(($D$969&amp;"x")=(D312&amp;"x")),0))&gt;1,NOT(ISBLANK(D312)))</formula>
    </cfRule>
  </conditionalFormatting>
  <conditionalFormatting sqref="D313">
    <cfRule type="duplicateValues" dxfId="418" priority="139"/>
    <cfRule type="expression" dxfId="417" priority="588">
      <formula>AND(SUMPRODUCT(IFERROR(1*(($D$970&amp;"x")=(D313&amp;"x")),0))&gt;1,NOT(ISBLANK(D313)))</formula>
    </cfRule>
  </conditionalFormatting>
  <conditionalFormatting sqref="D314">
    <cfRule type="duplicateValues" dxfId="416" priority="138"/>
    <cfRule type="expression" dxfId="415" priority="587">
      <formula>AND(SUMPRODUCT(IFERROR(1*(($D$971&amp;"x")=(D314&amp;"x")),0))&gt;1,NOT(ISBLANK(D314)))</formula>
    </cfRule>
  </conditionalFormatting>
  <conditionalFormatting sqref="D315">
    <cfRule type="duplicateValues" dxfId="414" priority="137"/>
    <cfRule type="expression" dxfId="413" priority="586">
      <formula>AND(SUMPRODUCT(IFERROR(1*(($D$972&amp;"x")=(D315&amp;"x")),0))&gt;1,NOT(ISBLANK(D315)))</formula>
    </cfRule>
  </conditionalFormatting>
  <conditionalFormatting sqref="D316">
    <cfRule type="expression" dxfId="412" priority="585">
      <formula>AND(SUMPRODUCT(IFERROR(1*(($D$973&amp;"x")=(D316&amp;"x")),0))&gt;1,NOT(ISBLANK(D316)))</formula>
    </cfRule>
    <cfRule type="duplicateValues" dxfId="411" priority="136"/>
  </conditionalFormatting>
  <conditionalFormatting sqref="D317">
    <cfRule type="expression" dxfId="410" priority="584">
      <formula>AND(SUMPRODUCT(IFERROR(1*(($D$974&amp;"x")=(D317&amp;"x")),0))&gt;1,NOT(ISBLANK(D317)))</formula>
    </cfRule>
    <cfRule type="duplicateValues" dxfId="409" priority="135"/>
  </conditionalFormatting>
  <conditionalFormatting sqref="D318">
    <cfRule type="expression" dxfId="408" priority="583">
      <formula>AND(SUMPRODUCT(IFERROR(1*(($D$975&amp;"x")=(D318&amp;"x")),0))&gt;1,NOT(ISBLANK(D318)))</formula>
    </cfRule>
    <cfRule type="duplicateValues" dxfId="407" priority="134"/>
  </conditionalFormatting>
  <conditionalFormatting sqref="D319">
    <cfRule type="expression" dxfId="406" priority="582">
      <formula>AND(SUMPRODUCT(IFERROR(1*(($D$976&amp;"x")=(D319&amp;"x")),0))&gt;1,NOT(ISBLANK(D319)))</formula>
    </cfRule>
    <cfRule type="duplicateValues" dxfId="405" priority="133"/>
  </conditionalFormatting>
  <conditionalFormatting sqref="D320">
    <cfRule type="expression" dxfId="404" priority="581">
      <formula>AND(SUMPRODUCT(IFERROR(1*(($D$977&amp;"x")=(D320&amp;"x")),0))&gt;1,NOT(ISBLANK(D320)))</formula>
    </cfRule>
    <cfRule type="duplicateValues" dxfId="403" priority="132"/>
  </conditionalFormatting>
  <conditionalFormatting sqref="D321">
    <cfRule type="expression" dxfId="402" priority="580">
      <formula>AND(SUMPRODUCT(IFERROR(1*(($D$978&amp;"x")=(D321&amp;"x")),0))&gt;1,NOT(ISBLANK(D321)))</formula>
    </cfRule>
    <cfRule type="duplicateValues" dxfId="401" priority="131"/>
  </conditionalFormatting>
  <conditionalFormatting sqref="D322">
    <cfRule type="expression" dxfId="400" priority="579">
      <formula>AND(SUMPRODUCT(IFERROR(1*(($D$979&amp;"x")=(D322&amp;"x")),0))&gt;1,NOT(ISBLANK(D322)))</formula>
    </cfRule>
    <cfRule type="duplicateValues" dxfId="399" priority="130"/>
  </conditionalFormatting>
  <conditionalFormatting sqref="D323">
    <cfRule type="duplicateValues" dxfId="398" priority="129"/>
    <cfRule type="expression" dxfId="397" priority="578">
      <formula>AND(SUMPRODUCT(IFERROR(1*(($D$980&amp;"x")=(D323&amp;"x")),0))&gt;1,NOT(ISBLANK(D323)))</formula>
    </cfRule>
  </conditionalFormatting>
  <conditionalFormatting sqref="D324">
    <cfRule type="duplicateValues" dxfId="396" priority="128"/>
    <cfRule type="expression" dxfId="395" priority="577">
      <formula>AND(SUMPRODUCT(IFERROR(1*(($D$981&amp;"x")=(D324&amp;"x")),0))&gt;1,NOT(ISBLANK(D324)))</formula>
    </cfRule>
  </conditionalFormatting>
  <conditionalFormatting sqref="D325">
    <cfRule type="duplicateValues" dxfId="394" priority="127"/>
    <cfRule type="expression" dxfId="393" priority="576">
      <formula>AND(SUMPRODUCT(IFERROR(1*(($D$982&amp;"x")=(D325&amp;"x")),0))&gt;1,NOT(ISBLANK(D325)))</formula>
    </cfRule>
  </conditionalFormatting>
  <conditionalFormatting sqref="D326">
    <cfRule type="duplicateValues" dxfId="392" priority="126"/>
    <cfRule type="expression" dxfId="391" priority="575">
      <formula>AND(SUMPRODUCT(IFERROR(1*(($D$983&amp;"x")=(D326&amp;"x")),0))&gt;1,NOT(ISBLANK(D326)))</formula>
    </cfRule>
  </conditionalFormatting>
  <conditionalFormatting sqref="D327">
    <cfRule type="duplicateValues" dxfId="390" priority="125"/>
    <cfRule type="expression" dxfId="389" priority="574">
      <formula>AND(SUMPRODUCT(IFERROR(1*(($D$984&amp;"x")=(D327&amp;"x")),0))&gt;1,NOT(ISBLANK(D327)))</formula>
    </cfRule>
  </conditionalFormatting>
  <conditionalFormatting sqref="D328">
    <cfRule type="expression" dxfId="388" priority="573">
      <formula>AND(SUMPRODUCT(IFERROR(1*(($D$985&amp;"x")=(D328&amp;"x")),0))&gt;1,NOT(ISBLANK(D328)))</formula>
    </cfRule>
    <cfRule type="duplicateValues" dxfId="387" priority="124"/>
  </conditionalFormatting>
  <conditionalFormatting sqref="D329">
    <cfRule type="duplicateValues" dxfId="386" priority="123"/>
    <cfRule type="expression" dxfId="385" priority="572">
      <formula>AND(SUMPRODUCT(IFERROR(1*(($D$986&amp;"x")=(D329&amp;"x")),0))&gt;1,NOT(ISBLANK(D329)))</formula>
    </cfRule>
  </conditionalFormatting>
  <conditionalFormatting sqref="D330">
    <cfRule type="expression" dxfId="384" priority="571">
      <formula>AND(SUMPRODUCT(IFERROR(1*(($D$987&amp;"x")=(D330&amp;"x")),0))&gt;1,NOT(ISBLANK(D330)))</formula>
    </cfRule>
    <cfRule type="duplicateValues" dxfId="383" priority="122"/>
  </conditionalFormatting>
  <conditionalFormatting sqref="D331">
    <cfRule type="duplicateValues" dxfId="382" priority="121"/>
    <cfRule type="expression" dxfId="381" priority="570">
      <formula>AND(SUMPRODUCT(IFERROR(1*(($D$988&amp;"x")=(D331&amp;"x")),0))&gt;1,NOT(ISBLANK(D331)))</formula>
    </cfRule>
  </conditionalFormatting>
  <conditionalFormatting sqref="D332">
    <cfRule type="duplicateValues" dxfId="380" priority="120"/>
    <cfRule type="expression" dxfId="379" priority="569">
      <formula>AND(SUMPRODUCT(IFERROR(1*(($D$989&amp;"x")=(D332&amp;"x")),0))&gt;1,NOT(ISBLANK(D332)))</formula>
    </cfRule>
  </conditionalFormatting>
  <conditionalFormatting sqref="D333">
    <cfRule type="duplicateValues" dxfId="378" priority="119"/>
    <cfRule type="expression" dxfId="377" priority="568">
      <formula>AND(SUMPRODUCT(IFERROR(1*(($D$990&amp;"x")=(D333&amp;"x")),0))&gt;1,NOT(ISBLANK(D333)))</formula>
    </cfRule>
  </conditionalFormatting>
  <conditionalFormatting sqref="D334">
    <cfRule type="duplicateValues" dxfId="376" priority="118"/>
    <cfRule type="expression" dxfId="375" priority="567">
      <formula>AND(SUMPRODUCT(IFERROR(1*(($D$991&amp;"x")=(D334&amp;"x")),0))&gt;1,NOT(ISBLANK(D334)))</formula>
    </cfRule>
  </conditionalFormatting>
  <conditionalFormatting sqref="D335">
    <cfRule type="duplicateValues" dxfId="374" priority="117"/>
    <cfRule type="expression" dxfId="373" priority="566">
      <formula>AND(SUMPRODUCT(IFERROR(1*(($D$992&amp;"x")=(D335&amp;"x")),0))&gt;1,NOT(ISBLANK(D335)))</formula>
    </cfRule>
  </conditionalFormatting>
  <conditionalFormatting sqref="D336">
    <cfRule type="duplicateValues" dxfId="372" priority="116"/>
    <cfRule type="expression" dxfId="371" priority="565">
      <formula>AND(SUMPRODUCT(IFERROR(1*(($D$993&amp;"x")=(D336&amp;"x")),0))&gt;1,NOT(ISBLANK(D336)))</formula>
    </cfRule>
  </conditionalFormatting>
  <conditionalFormatting sqref="D337">
    <cfRule type="duplicateValues" dxfId="370" priority="115"/>
    <cfRule type="expression" dxfId="369" priority="564">
      <formula>AND(SUMPRODUCT(IFERROR(1*(($D$994&amp;"x")=(D337&amp;"x")),0))&gt;1,NOT(ISBLANK(D337)))</formula>
    </cfRule>
  </conditionalFormatting>
  <conditionalFormatting sqref="D338">
    <cfRule type="duplicateValues" dxfId="368" priority="114"/>
    <cfRule type="expression" dxfId="367" priority="563">
      <formula>AND(SUMPRODUCT(IFERROR(1*(($D$995&amp;"x")=(D338&amp;"x")),0))&gt;1,NOT(ISBLANK(D338)))</formula>
    </cfRule>
  </conditionalFormatting>
  <conditionalFormatting sqref="D339">
    <cfRule type="duplicateValues" dxfId="366" priority="113"/>
    <cfRule type="expression" dxfId="365" priority="562">
      <formula>AND(SUMPRODUCT(IFERROR(1*(($D$996&amp;"x")=(D339&amp;"x")),0))&gt;1,NOT(ISBLANK(D339)))</formula>
    </cfRule>
  </conditionalFormatting>
  <conditionalFormatting sqref="D340">
    <cfRule type="duplicateValues" dxfId="364" priority="112"/>
    <cfRule type="expression" dxfId="363" priority="561">
      <formula>AND(SUMPRODUCT(IFERROR(1*(($D$997&amp;"x")=(D340&amp;"x")),0))&gt;1,NOT(ISBLANK(D340)))</formula>
    </cfRule>
  </conditionalFormatting>
  <conditionalFormatting sqref="D341">
    <cfRule type="duplicateValues" dxfId="362" priority="111"/>
    <cfRule type="expression" dxfId="361" priority="560">
      <formula>AND(SUMPRODUCT(IFERROR(1*(($D$998&amp;"x")=(D341&amp;"x")),0))&gt;1,NOT(ISBLANK(D341)))</formula>
    </cfRule>
  </conditionalFormatting>
  <conditionalFormatting sqref="D342">
    <cfRule type="expression" dxfId="360" priority="559">
      <formula>AND(SUMPRODUCT(IFERROR(1*(($D$999&amp;"x")=(D342&amp;"x")),0))&gt;1,NOT(ISBLANK(D342)))</formula>
    </cfRule>
    <cfRule type="duplicateValues" dxfId="359" priority="110"/>
  </conditionalFormatting>
  <conditionalFormatting sqref="D343">
    <cfRule type="duplicateValues" dxfId="358" priority="109"/>
    <cfRule type="expression" dxfId="357" priority="558">
      <formula>AND(SUMPRODUCT(IFERROR(1*(($D$1000&amp;"x")=(D343&amp;"x")),0))&gt;1,NOT(ISBLANK(D343)))</formula>
    </cfRule>
  </conditionalFormatting>
  <conditionalFormatting sqref="D344">
    <cfRule type="expression" dxfId="356" priority="557">
      <formula>AND(SUMPRODUCT(IFERROR(1*(($D$1001&amp;"x")=(D344&amp;"x")),0))&gt;1,NOT(ISBLANK(D344)))</formula>
    </cfRule>
    <cfRule type="duplicateValues" dxfId="355" priority="108"/>
  </conditionalFormatting>
  <conditionalFormatting sqref="D345">
    <cfRule type="expression" dxfId="354" priority="556">
      <formula>AND(SUMPRODUCT(IFERROR(1*(($D$1002&amp;"x")=(D345&amp;"x")),0))&gt;1,NOT(ISBLANK(D345)))</formula>
    </cfRule>
    <cfRule type="duplicateValues" dxfId="353" priority="107"/>
  </conditionalFormatting>
  <conditionalFormatting sqref="D346">
    <cfRule type="expression" dxfId="352" priority="555">
      <formula>AND(SUMPRODUCT(IFERROR(1*(($D$1003&amp;"x")=(D346&amp;"x")),0))&gt;1,NOT(ISBLANK(D346)))</formula>
    </cfRule>
    <cfRule type="duplicateValues" dxfId="351" priority="106"/>
  </conditionalFormatting>
  <conditionalFormatting sqref="D347">
    <cfRule type="expression" dxfId="350" priority="554">
      <formula>AND(SUMPRODUCT(IFERROR(1*(($D$1004&amp;"x")=(D347&amp;"x")),0))&gt;1,NOT(ISBLANK(D347)))</formula>
    </cfRule>
    <cfRule type="duplicateValues" dxfId="349" priority="105"/>
  </conditionalFormatting>
  <conditionalFormatting sqref="D348">
    <cfRule type="duplicateValues" dxfId="348" priority="104"/>
    <cfRule type="expression" dxfId="347" priority="553">
      <formula>AND(SUMPRODUCT(IFERROR(1*(($D$1005&amp;"x")=(D348&amp;"x")),0))&gt;1,NOT(ISBLANK(D348)))</formula>
    </cfRule>
  </conditionalFormatting>
  <conditionalFormatting sqref="D349">
    <cfRule type="duplicateValues" dxfId="346" priority="103"/>
    <cfRule type="expression" dxfId="345" priority="552">
      <formula>AND(SUMPRODUCT(IFERROR(1*(($D$1006&amp;"x")=(D349&amp;"x")),0))&gt;1,NOT(ISBLANK(D349)))</formula>
    </cfRule>
  </conditionalFormatting>
  <conditionalFormatting sqref="D350">
    <cfRule type="duplicateValues" dxfId="344" priority="102"/>
    <cfRule type="expression" dxfId="343" priority="551">
      <formula>AND(SUMPRODUCT(IFERROR(1*(($D$1007&amp;"x")=(D350&amp;"x")),0))&gt;1,NOT(ISBLANK(D350)))</formula>
    </cfRule>
  </conditionalFormatting>
  <conditionalFormatting sqref="D351">
    <cfRule type="duplicateValues" dxfId="342" priority="101"/>
    <cfRule type="expression" dxfId="341" priority="550">
      <formula>AND(SUMPRODUCT(IFERROR(1*(($D$1008&amp;"x")=(D351&amp;"x")),0))&gt;1,NOT(ISBLANK(D351)))</formula>
    </cfRule>
  </conditionalFormatting>
  <conditionalFormatting sqref="D352">
    <cfRule type="duplicateValues" dxfId="340" priority="100"/>
    <cfRule type="expression" dxfId="339" priority="549">
      <formula>AND(SUMPRODUCT(IFERROR(1*(($D$1009&amp;"x")=(D352&amp;"x")),0))&gt;1,NOT(ISBLANK(D352)))</formula>
    </cfRule>
  </conditionalFormatting>
  <conditionalFormatting sqref="D353">
    <cfRule type="duplicateValues" dxfId="338" priority="99"/>
    <cfRule type="expression" dxfId="337" priority="548">
      <formula>AND(SUMPRODUCT(IFERROR(1*(($D$1010&amp;"x")=(D353&amp;"x")),0))&gt;1,NOT(ISBLANK(D353)))</formula>
    </cfRule>
  </conditionalFormatting>
  <conditionalFormatting sqref="D354">
    <cfRule type="duplicateValues" dxfId="336" priority="98"/>
    <cfRule type="expression" dxfId="335" priority="547">
      <formula>AND(SUMPRODUCT(IFERROR(1*(($D$1011&amp;"x")=(D354&amp;"x")),0))&gt;1,NOT(ISBLANK(D354)))</formula>
    </cfRule>
  </conditionalFormatting>
  <conditionalFormatting sqref="D355">
    <cfRule type="duplicateValues" dxfId="334" priority="97"/>
    <cfRule type="expression" dxfId="333" priority="546">
      <formula>AND(SUMPRODUCT(IFERROR(1*(($D$1012&amp;"x")=(D355&amp;"x")),0))&gt;1,NOT(ISBLANK(D355)))</formula>
    </cfRule>
  </conditionalFormatting>
  <conditionalFormatting sqref="D356">
    <cfRule type="duplicateValues" dxfId="332" priority="96"/>
    <cfRule type="expression" dxfId="331" priority="545">
      <formula>AND(SUMPRODUCT(IFERROR(1*(($D$1013&amp;"x")=(D356&amp;"x")),0))&gt;1,NOT(ISBLANK(D356)))</formula>
    </cfRule>
  </conditionalFormatting>
  <conditionalFormatting sqref="D357">
    <cfRule type="duplicateValues" dxfId="330" priority="95"/>
    <cfRule type="expression" dxfId="329" priority="544">
      <formula>AND(SUMPRODUCT(IFERROR(1*(($D$1014&amp;"x")=(D357&amp;"x")),0))&gt;1,NOT(ISBLANK(D357)))</formula>
    </cfRule>
  </conditionalFormatting>
  <conditionalFormatting sqref="D358">
    <cfRule type="duplicateValues" dxfId="328" priority="94"/>
    <cfRule type="expression" dxfId="327" priority="543">
      <formula>AND(SUMPRODUCT(IFERROR(1*(($D$1015&amp;"x")=(D358&amp;"x")),0))&gt;1,NOT(ISBLANK(D358)))</formula>
    </cfRule>
  </conditionalFormatting>
  <conditionalFormatting sqref="D359">
    <cfRule type="duplicateValues" dxfId="326" priority="93"/>
    <cfRule type="expression" dxfId="325" priority="542">
      <formula>AND(SUMPRODUCT(IFERROR(1*(($D$1016&amp;"x")=(D359&amp;"x")),0))&gt;1,NOT(ISBLANK(D359)))</formula>
    </cfRule>
  </conditionalFormatting>
  <conditionalFormatting sqref="D360">
    <cfRule type="duplicateValues" dxfId="324" priority="92"/>
    <cfRule type="expression" dxfId="323" priority="541">
      <formula>AND(SUMPRODUCT(IFERROR(1*(($D$1017&amp;"x")=(D360&amp;"x")),0))&gt;1,NOT(ISBLANK(D360)))</formula>
    </cfRule>
  </conditionalFormatting>
  <conditionalFormatting sqref="D361">
    <cfRule type="duplicateValues" dxfId="322" priority="91"/>
    <cfRule type="expression" dxfId="321" priority="540">
      <formula>AND(SUMPRODUCT(IFERROR(1*(($D$1018&amp;"x")=(D361&amp;"x")),0))&gt;1,NOT(ISBLANK(D361)))</formula>
    </cfRule>
  </conditionalFormatting>
  <conditionalFormatting sqref="D362">
    <cfRule type="duplicateValues" dxfId="320" priority="90"/>
    <cfRule type="expression" dxfId="319" priority="539">
      <formula>AND(SUMPRODUCT(IFERROR(1*(($D$1019&amp;"x")=(D362&amp;"x")),0))&gt;1,NOT(ISBLANK(D362)))</formula>
    </cfRule>
  </conditionalFormatting>
  <conditionalFormatting sqref="D363">
    <cfRule type="duplicateValues" dxfId="318" priority="89"/>
    <cfRule type="expression" dxfId="317" priority="538">
      <formula>AND(SUMPRODUCT(IFERROR(1*(($D$1020&amp;"x")=(D363&amp;"x")),0))&gt;1,NOT(ISBLANK(D363)))</formula>
    </cfRule>
  </conditionalFormatting>
  <conditionalFormatting sqref="D364">
    <cfRule type="expression" dxfId="316" priority="537">
      <formula>AND(SUMPRODUCT(IFERROR(1*(($D$1021&amp;"x")=(D364&amp;"x")),0))&gt;1,NOT(ISBLANK(D364)))</formula>
    </cfRule>
    <cfRule type="duplicateValues" dxfId="315" priority="88"/>
  </conditionalFormatting>
  <conditionalFormatting sqref="D365">
    <cfRule type="duplicateValues" dxfId="314" priority="87"/>
    <cfRule type="expression" dxfId="313" priority="536">
      <formula>AND(SUMPRODUCT(IFERROR(1*(($D$1022&amp;"x")=(D365&amp;"x")),0))&gt;1,NOT(ISBLANK(D365)))</formula>
    </cfRule>
  </conditionalFormatting>
  <conditionalFormatting sqref="D366">
    <cfRule type="expression" dxfId="312" priority="535">
      <formula>AND(SUMPRODUCT(IFERROR(1*(($D$1023&amp;"x")=(D366&amp;"x")),0))&gt;1,NOT(ISBLANK(D366)))</formula>
    </cfRule>
    <cfRule type="duplicateValues" dxfId="311" priority="86"/>
  </conditionalFormatting>
  <conditionalFormatting sqref="D367">
    <cfRule type="expression" dxfId="310" priority="534">
      <formula>AND(SUMPRODUCT(IFERROR(1*(($D$1024&amp;"x")=(D367&amp;"x")),0))&gt;1,NOT(ISBLANK(D367)))</formula>
    </cfRule>
    <cfRule type="duplicateValues" dxfId="309" priority="85"/>
  </conditionalFormatting>
  <conditionalFormatting sqref="D368">
    <cfRule type="duplicateValues" dxfId="308" priority="84"/>
    <cfRule type="expression" dxfId="307" priority="533">
      <formula>AND(SUMPRODUCT(IFERROR(1*(($D$1025&amp;"x")=(D368&amp;"x")),0))&gt;1,NOT(ISBLANK(D368)))</formula>
    </cfRule>
  </conditionalFormatting>
  <conditionalFormatting sqref="D369">
    <cfRule type="duplicateValues" dxfId="306" priority="83"/>
    <cfRule type="expression" dxfId="305" priority="532">
      <formula>AND(SUMPRODUCT(IFERROR(1*(($D$1026&amp;"x")=(D369&amp;"x")),0))&gt;1,NOT(ISBLANK(D369)))</formula>
    </cfRule>
  </conditionalFormatting>
  <conditionalFormatting sqref="D370">
    <cfRule type="duplicateValues" dxfId="304" priority="82"/>
    <cfRule type="expression" dxfId="303" priority="531">
      <formula>AND(SUMPRODUCT(IFERROR(1*(($D$1027&amp;"x")=(D370&amp;"x")),0))&gt;1,NOT(ISBLANK(D370)))</formula>
    </cfRule>
  </conditionalFormatting>
  <conditionalFormatting sqref="D371">
    <cfRule type="duplicateValues" dxfId="302" priority="81"/>
    <cfRule type="expression" dxfId="301" priority="530">
      <formula>AND(SUMPRODUCT(IFERROR(1*(($D$1028&amp;"x")=(D371&amp;"x")),0))&gt;1,NOT(ISBLANK(D371)))</formula>
    </cfRule>
  </conditionalFormatting>
  <conditionalFormatting sqref="D372">
    <cfRule type="duplicateValues" dxfId="300" priority="80"/>
    <cfRule type="expression" dxfId="299" priority="529">
      <formula>AND(SUMPRODUCT(IFERROR(1*(($D$1029&amp;"x")=(D372&amp;"x")),0))&gt;1,NOT(ISBLANK(D372)))</formula>
    </cfRule>
  </conditionalFormatting>
  <conditionalFormatting sqref="D373">
    <cfRule type="duplicateValues" dxfId="298" priority="79"/>
    <cfRule type="expression" dxfId="297" priority="528">
      <formula>AND(SUMPRODUCT(IFERROR(1*(($D$1030&amp;"x")=(D373&amp;"x")),0))&gt;1,NOT(ISBLANK(D373)))</formula>
    </cfRule>
  </conditionalFormatting>
  <conditionalFormatting sqref="D374">
    <cfRule type="duplicateValues" dxfId="296" priority="78"/>
    <cfRule type="expression" dxfId="295" priority="527">
      <formula>AND(SUMPRODUCT(IFERROR(1*(($D$1031&amp;"x")=(D374&amp;"x")),0))&gt;1,NOT(ISBLANK(D374)))</formula>
    </cfRule>
  </conditionalFormatting>
  <conditionalFormatting sqref="D375">
    <cfRule type="duplicateValues" dxfId="294" priority="77"/>
    <cfRule type="expression" dxfId="293" priority="526">
      <formula>AND(SUMPRODUCT(IFERROR(1*(($D$1032&amp;"x")=(D375&amp;"x")),0))&gt;1,NOT(ISBLANK(D375)))</formula>
    </cfRule>
  </conditionalFormatting>
  <conditionalFormatting sqref="D376">
    <cfRule type="duplicateValues" dxfId="292" priority="76"/>
    <cfRule type="expression" dxfId="291" priority="525">
      <formula>AND(SUMPRODUCT(IFERROR(1*(($D$1033&amp;"x")=(D376&amp;"x")),0))&gt;1,NOT(ISBLANK(D376)))</formula>
    </cfRule>
  </conditionalFormatting>
  <conditionalFormatting sqref="D377">
    <cfRule type="expression" dxfId="290" priority="524">
      <formula>AND(SUMPRODUCT(IFERROR(1*(($D$1034&amp;"x")=(D377&amp;"x")),0))&gt;1,NOT(ISBLANK(D377)))</formula>
    </cfRule>
    <cfRule type="duplicateValues" dxfId="289" priority="75"/>
  </conditionalFormatting>
  <conditionalFormatting sqref="D378">
    <cfRule type="expression" dxfId="288" priority="523">
      <formula>AND(SUMPRODUCT(IFERROR(1*(($D$1035&amp;"x")=(D378&amp;"x")),0))&gt;1,NOT(ISBLANK(D378)))</formula>
    </cfRule>
    <cfRule type="duplicateValues" dxfId="287" priority="74"/>
  </conditionalFormatting>
  <conditionalFormatting sqref="D379">
    <cfRule type="expression" dxfId="286" priority="522">
      <formula>AND(SUMPRODUCT(IFERROR(1*(($D$1036&amp;"x")=(D379&amp;"x")),0))&gt;1,NOT(ISBLANK(D379)))</formula>
    </cfRule>
    <cfRule type="duplicateValues" dxfId="285" priority="73"/>
  </conditionalFormatting>
  <conditionalFormatting sqref="D380">
    <cfRule type="expression" dxfId="284" priority="521">
      <formula>AND(SUMPRODUCT(IFERROR(1*(($D$1037&amp;"x")=(D380&amp;"x")),0))&gt;1,NOT(ISBLANK(D380)))</formula>
    </cfRule>
    <cfRule type="duplicateValues" dxfId="283" priority="72"/>
  </conditionalFormatting>
  <conditionalFormatting sqref="D381">
    <cfRule type="expression" dxfId="282" priority="520">
      <formula>AND(SUMPRODUCT(IFERROR(1*(($D$1038&amp;"x")=(D381&amp;"x")),0))&gt;1,NOT(ISBLANK(D381)))</formula>
    </cfRule>
    <cfRule type="duplicateValues" dxfId="281" priority="71"/>
  </conditionalFormatting>
  <conditionalFormatting sqref="D382">
    <cfRule type="expression" dxfId="280" priority="519">
      <formula>AND(SUMPRODUCT(IFERROR(1*(($D$1039&amp;"x")=(D382&amp;"x")),0))&gt;1,NOT(ISBLANK(D382)))</formula>
    </cfRule>
    <cfRule type="duplicateValues" dxfId="279" priority="70"/>
  </conditionalFormatting>
  <conditionalFormatting sqref="D383">
    <cfRule type="expression" dxfId="278" priority="518">
      <formula>AND(SUMPRODUCT(IFERROR(1*(($D$1040&amp;"x")=(D383&amp;"x")),0))&gt;1,NOT(ISBLANK(D383)))</formula>
    </cfRule>
    <cfRule type="duplicateValues" dxfId="277" priority="69"/>
  </conditionalFormatting>
  <conditionalFormatting sqref="D384">
    <cfRule type="expression" dxfId="276" priority="517">
      <formula>AND(SUMPRODUCT(IFERROR(1*(($D$1041&amp;"x")=(D384&amp;"x")),0))&gt;1,NOT(ISBLANK(D384)))</formula>
    </cfRule>
    <cfRule type="duplicateValues" dxfId="275" priority="68"/>
  </conditionalFormatting>
  <conditionalFormatting sqref="D385">
    <cfRule type="expression" dxfId="274" priority="516">
      <formula>AND(SUMPRODUCT(IFERROR(1*(($D$1042&amp;"x")=(D385&amp;"x")),0))&gt;1,NOT(ISBLANK(D385)))</formula>
    </cfRule>
    <cfRule type="duplicateValues" dxfId="273" priority="67"/>
  </conditionalFormatting>
  <conditionalFormatting sqref="D386">
    <cfRule type="expression" dxfId="272" priority="515">
      <formula>AND(SUMPRODUCT(IFERROR(1*(($D$1043&amp;"x")=(D386&amp;"x")),0))&gt;1,NOT(ISBLANK(D386)))</formula>
    </cfRule>
    <cfRule type="duplicateValues" dxfId="271" priority="66"/>
  </conditionalFormatting>
  <conditionalFormatting sqref="D387">
    <cfRule type="expression" dxfId="270" priority="514">
      <formula>AND(SUMPRODUCT(IFERROR(1*(($D$1044&amp;"x")=(D387&amp;"x")),0))&gt;1,NOT(ISBLANK(D387)))</formula>
    </cfRule>
    <cfRule type="duplicateValues" dxfId="269" priority="65"/>
  </conditionalFormatting>
  <conditionalFormatting sqref="D388">
    <cfRule type="expression" dxfId="268" priority="513">
      <formula>AND(SUMPRODUCT(IFERROR(1*(($D$1045&amp;"x")=(D388&amp;"x")),0))&gt;1,NOT(ISBLANK(D388)))</formula>
    </cfRule>
    <cfRule type="duplicateValues" dxfId="267" priority="64"/>
  </conditionalFormatting>
  <conditionalFormatting sqref="D389">
    <cfRule type="expression" dxfId="266" priority="512">
      <formula>AND(SUMPRODUCT(IFERROR(1*(($D$1046&amp;"x")=(D389&amp;"x")),0))&gt;1,NOT(ISBLANK(D389)))</formula>
    </cfRule>
    <cfRule type="duplicateValues" dxfId="265" priority="63"/>
  </conditionalFormatting>
  <conditionalFormatting sqref="D390">
    <cfRule type="expression" dxfId="264" priority="511">
      <formula>AND(SUMPRODUCT(IFERROR(1*(($D$1047&amp;"x")=(D390&amp;"x")),0))&gt;1,NOT(ISBLANK(D390)))</formula>
    </cfRule>
    <cfRule type="duplicateValues" dxfId="263" priority="62"/>
  </conditionalFormatting>
  <conditionalFormatting sqref="D391">
    <cfRule type="expression" dxfId="262" priority="510">
      <formula>AND(SUMPRODUCT(IFERROR(1*(($D$1048&amp;"x")=(D391&amp;"x")),0))&gt;1,NOT(ISBLANK(D391)))</formula>
    </cfRule>
    <cfRule type="duplicateValues" dxfId="261" priority="61"/>
  </conditionalFormatting>
  <conditionalFormatting sqref="D392">
    <cfRule type="expression" dxfId="260" priority="509">
      <formula>AND(SUMPRODUCT(IFERROR(1*(($D$1049&amp;"x")=(D392&amp;"x")),0))&gt;1,NOT(ISBLANK(D392)))</formula>
    </cfRule>
    <cfRule type="duplicateValues" dxfId="259" priority="60"/>
  </conditionalFormatting>
  <conditionalFormatting sqref="D393">
    <cfRule type="expression" dxfId="258" priority="508">
      <formula>AND(SUMPRODUCT(IFERROR(1*(($D$1050&amp;"x")=(D393&amp;"x")),0))&gt;1,NOT(ISBLANK(D393)))</formula>
    </cfRule>
    <cfRule type="duplicateValues" dxfId="257" priority="59"/>
  </conditionalFormatting>
  <conditionalFormatting sqref="D394">
    <cfRule type="expression" dxfId="256" priority="507">
      <formula>AND(SUMPRODUCT(IFERROR(1*(($D$1051&amp;"x")=(D394&amp;"x")),0))&gt;1,NOT(ISBLANK(D394)))</formula>
    </cfRule>
    <cfRule type="duplicateValues" dxfId="255" priority="58"/>
  </conditionalFormatting>
  <conditionalFormatting sqref="D395">
    <cfRule type="expression" dxfId="254" priority="506">
      <formula>AND(SUMPRODUCT(IFERROR(1*(($D$1052&amp;"x")=(D395&amp;"x")),0))&gt;1,NOT(ISBLANK(D395)))</formula>
    </cfRule>
    <cfRule type="duplicateValues" dxfId="253" priority="57"/>
  </conditionalFormatting>
  <conditionalFormatting sqref="D396">
    <cfRule type="expression" dxfId="252" priority="505">
      <formula>AND(SUMPRODUCT(IFERROR(1*(($D$1053&amp;"x")=(D396&amp;"x")),0))&gt;1,NOT(ISBLANK(D396)))</formula>
    </cfRule>
    <cfRule type="duplicateValues" dxfId="251" priority="56"/>
  </conditionalFormatting>
  <conditionalFormatting sqref="D397">
    <cfRule type="expression" dxfId="250" priority="504">
      <formula>AND(SUMPRODUCT(IFERROR(1*(($D$1054&amp;"x")=(D397&amp;"x")),0))&gt;1,NOT(ISBLANK(D397)))</formula>
    </cfRule>
    <cfRule type="duplicateValues" dxfId="249" priority="55"/>
  </conditionalFormatting>
  <conditionalFormatting sqref="D398">
    <cfRule type="expression" dxfId="248" priority="503">
      <formula>AND(SUMPRODUCT(IFERROR(1*(($D$1055&amp;"x")=(D398&amp;"x")),0))&gt;1,NOT(ISBLANK(D398)))</formula>
    </cfRule>
    <cfRule type="duplicateValues" dxfId="247" priority="54"/>
  </conditionalFormatting>
  <conditionalFormatting sqref="D399">
    <cfRule type="expression" dxfId="246" priority="502">
      <formula>AND(SUMPRODUCT(IFERROR(1*(($D$1056&amp;"x")=(D399&amp;"x")),0))&gt;1,NOT(ISBLANK(D399)))</formula>
    </cfRule>
    <cfRule type="duplicateValues" dxfId="245" priority="53"/>
  </conditionalFormatting>
  <conditionalFormatting sqref="D400">
    <cfRule type="expression" dxfId="244" priority="501">
      <formula>AND(SUMPRODUCT(IFERROR(1*(($D$1057&amp;"x")=(D400&amp;"x")),0))&gt;1,NOT(ISBLANK(D400)))</formula>
    </cfRule>
    <cfRule type="duplicateValues" dxfId="243" priority="52"/>
  </conditionalFormatting>
  <conditionalFormatting sqref="D401">
    <cfRule type="expression" dxfId="242" priority="500">
      <formula>AND(SUMPRODUCT(IFERROR(1*(($D$1058&amp;"x")=(D401&amp;"x")),0))&gt;1,NOT(ISBLANK(D401)))</formula>
    </cfRule>
    <cfRule type="duplicateValues" dxfId="241" priority="51"/>
  </conditionalFormatting>
  <conditionalFormatting sqref="D402">
    <cfRule type="expression" dxfId="240" priority="499">
      <formula>AND(SUMPRODUCT(IFERROR(1*(($D$1059&amp;"x")=(D402&amp;"x")),0))&gt;1,NOT(ISBLANK(D402)))</formula>
    </cfRule>
    <cfRule type="duplicateValues" dxfId="239" priority="50"/>
  </conditionalFormatting>
  <conditionalFormatting sqref="D403">
    <cfRule type="expression" dxfId="238" priority="498">
      <formula>AND(SUMPRODUCT(IFERROR(1*(($D$1060&amp;"x")=(D403&amp;"x")),0))&gt;1,NOT(ISBLANK(D403)))</formula>
    </cfRule>
    <cfRule type="duplicateValues" dxfId="237" priority="49"/>
  </conditionalFormatting>
  <conditionalFormatting sqref="D404">
    <cfRule type="expression" dxfId="236" priority="497">
      <formula>AND(SUMPRODUCT(IFERROR(1*(($D$1061&amp;"x")=(D404&amp;"x")),0))&gt;1,NOT(ISBLANK(D404)))</formula>
    </cfRule>
    <cfRule type="duplicateValues" dxfId="235" priority="48"/>
  </conditionalFormatting>
  <conditionalFormatting sqref="D405">
    <cfRule type="expression" dxfId="234" priority="496">
      <formula>AND(SUMPRODUCT(IFERROR(1*(($D$1062&amp;"x")=(D405&amp;"x")),0))&gt;1,NOT(ISBLANK(D405)))</formula>
    </cfRule>
    <cfRule type="duplicateValues" dxfId="233" priority="47"/>
  </conditionalFormatting>
  <conditionalFormatting sqref="D406">
    <cfRule type="expression" dxfId="232" priority="495">
      <formula>AND(SUMPRODUCT(IFERROR(1*(($D$1063&amp;"x")=(D406&amp;"x")),0))&gt;1,NOT(ISBLANK(D406)))</formula>
    </cfRule>
    <cfRule type="duplicateValues" dxfId="231" priority="46"/>
  </conditionalFormatting>
  <conditionalFormatting sqref="D407">
    <cfRule type="expression" dxfId="230" priority="494">
      <formula>AND(SUMPRODUCT(IFERROR(1*(($D$1064&amp;"x")=(D407&amp;"x")),0))&gt;1,NOT(ISBLANK(D407)))</formula>
    </cfRule>
    <cfRule type="duplicateValues" dxfId="229" priority="45"/>
  </conditionalFormatting>
  <conditionalFormatting sqref="D408">
    <cfRule type="expression" dxfId="228" priority="493">
      <formula>AND(SUMPRODUCT(IFERROR(1*(($D$1065&amp;"x")=(D408&amp;"x")),0))&gt;1,NOT(ISBLANK(D408)))</formula>
    </cfRule>
    <cfRule type="duplicateValues" dxfId="227" priority="44"/>
  </conditionalFormatting>
  <conditionalFormatting sqref="D409">
    <cfRule type="expression" dxfId="226" priority="492">
      <formula>AND(SUMPRODUCT(IFERROR(1*(($D$1066&amp;"x")=(D409&amp;"x")),0))&gt;1,NOT(ISBLANK(D409)))</formula>
    </cfRule>
    <cfRule type="duplicateValues" dxfId="225" priority="43"/>
  </conditionalFormatting>
  <conditionalFormatting sqref="D410">
    <cfRule type="expression" dxfId="224" priority="491">
      <formula>AND(SUMPRODUCT(IFERROR(1*(($D$1067&amp;"x")=(D410&amp;"x")),0))&gt;1,NOT(ISBLANK(D410)))</formula>
    </cfRule>
    <cfRule type="duplicateValues" dxfId="223" priority="42"/>
  </conditionalFormatting>
  <conditionalFormatting sqref="D411">
    <cfRule type="expression" dxfId="222" priority="490">
      <formula>AND(SUMPRODUCT(IFERROR(1*(($D$1068&amp;"x")=(D411&amp;"x")),0))&gt;1,NOT(ISBLANK(D411)))</formula>
    </cfRule>
    <cfRule type="duplicateValues" dxfId="221" priority="41"/>
  </conditionalFormatting>
  <conditionalFormatting sqref="D412">
    <cfRule type="expression" dxfId="220" priority="489">
      <formula>AND(SUMPRODUCT(IFERROR(1*(($D$1069&amp;"x")=(D412&amp;"x")),0))&gt;1,NOT(ISBLANK(D412)))</formula>
    </cfRule>
    <cfRule type="duplicateValues" dxfId="219" priority="40"/>
  </conditionalFormatting>
  <conditionalFormatting sqref="D413">
    <cfRule type="expression" dxfId="218" priority="488">
      <formula>AND(SUMPRODUCT(IFERROR(1*(($D$1070&amp;"x")=(D413&amp;"x")),0))&gt;1,NOT(ISBLANK(D413)))</formula>
    </cfRule>
    <cfRule type="duplicateValues" dxfId="217" priority="39"/>
  </conditionalFormatting>
  <conditionalFormatting sqref="D414">
    <cfRule type="expression" dxfId="216" priority="487">
      <formula>AND(SUMPRODUCT(IFERROR(1*(($D$1071&amp;"x")=(D414&amp;"x")),0))&gt;1,NOT(ISBLANK(D414)))</formula>
    </cfRule>
    <cfRule type="duplicateValues" dxfId="215" priority="38"/>
  </conditionalFormatting>
  <conditionalFormatting sqref="D415">
    <cfRule type="expression" dxfId="214" priority="486">
      <formula>AND(SUMPRODUCT(IFERROR(1*(($D$1072&amp;"x")=(D415&amp;"x")),0))&gt;1,NOT(ISBLANK(D415)))</formula>
    </cfRule>
    <cfRule type="duplicateValues" dxfId="213" priority="37"/>
  </conditionalFormatting>
  <conditionalFormatting sqref="D416">
    <cfRule type="expression" dxfId="212" priority="485">
      <formula>AND(SUMPRODUCT(IFERROR(1*(($D$1073&amp;"x")=(D416&amp;"x")),0))&gt;1,NOT(ISBLANK(D416)))</formula>
    </cfRule>
    <cfRule type="duplicateValues" dxfId="211" priority="36"/>
  </conditionalFormatting>
  <conditionalFormatting sqref="D417">
    <cfRule type="expression" dxfId="210" priority="484">
      <formula>AND(SUMPRODUCT(IFERROR(1*(($D$1074&amp;"x")=(D417&amp;"x")),0))&gt;1,NOT(ISBLANK(D417)))</formula>
    </cfRule>
    <cfRule type="duplicateValues" dxfId="209" priority="35"/>
  </conditionalFormatting>
  <conditionalFormatting sqref="D418">
    <cfRule type="expression" dxfId="208" priority="483">
      <formula>AND(SUMPRODUCT(IFERROR(1*(($D$1075&amp;"x")=(D418&amp;"x")),0))&gt;1,NOT(ISBLANK(D418)))</formula>
    </cfRule>
    <cfRule type="duplicateValues" dxfId="207" priority="34"/>
  </conditionalFormatting>
  <conditionalFormatting sqref="D419">
    <cfRule type="expression" dxfId="206" priority="482">
      <formula>AND(SUMPRODUCT(IFERROR(1*(($D$1076&amp;"x")=(D419&amp;"x")),0))&gt;1,NOT(ISBLANK(D419)))</formula>
    </cfRule>
    <cfRule type="duplicateValues" dxfId="205" priority="33"/>
  </conditionalFormatting>
  <conditionalFormatting sqref="D420">
    <cfRule type="expression" dxfId="204" priority="481">
      <formula>AND(SUMPRODUCT(IFERROR(1*(($D$1077&amp;"x")=(D420&amp;"x")),0))&gt;1,NOT(ISBLANK(D420)))</formula>
    </cfRule>
    <cfRule type="duplicateValues" dxfId="203" priority="32"/>
  </conditionalFormatting>
  <conditionalFormatting sqref="D421">
    <cfRule type="expression" dxfId="202" priority="480">
      <formula>AND(SUMPRODUCT(IFERROR(1*(($D$1078&amp;"x")=(D421&amp;"x")),0))&gt;1,NOT(ISBLANK(D421)))</formula>
    </cfRule>
    <cfRule type="duplicateValues" dxfId="201" priority="31"/>
  </conditionalFormatting>
  <conditionalFormatting sqref="D422">
    <cfRule type="expression" dxfId="200" priority="479">
      <formula>AND(SUMPRODUCT(IFERROR(1*(($D$1079&amp;"x")=(D422&amp;"x")),0))&gt;1,NOT(ISBLANK(D422)))</formula>
    </cfRule>
    <cfRule type="duplicateValues" dxfId="199" priority="30"/>
  </conditionalFormatting>
  <conditionalFormatting sqref="D423">
    <cfRule type="expression" dxfId="198" priority="478">
      <formula>AND(SUMPRODUCT(IFERROR(1*(($D$1080&amp;"x")=(D423&amp;"x")),0))&gt;1,NOT(ISBLANK(D423)))</formula>
    </cfRule>
    <cfRule type="duplicateValues" dxfId="197" priority="29"/>
  </conditionalFormatting>
  <conditionalFormatting sqref="D424">
    <cfRule type="duplicateValues" dxfId="196" priority="28"/>
    <cfRule type="expression" dxfId="195" priority="477">
      <formula>AND(SUMPRODUCT(IFERROR(1*(($D$1081&amp;"x")=(D424&amp;"x")),0))&gt;1,NOT(ISBLANK(D424)))</formula>
    </cfRule>
  </conditionalFormatting>
  <conditionalFormatting sqref="D425">
    <cfRule type="duplicateValues" dxfId="194" priority="27"/>
    <cfRule type="expression" dxfId="193" priority="476">
      <formula>AND(SUMPRODUCT(IFERROR(1*(($D$1082&amp;"x")=(D425&amp;"x")),0))&gt;1,NOT(ISBLANK(D425)))</formula>
    </cfRule>
  </conditionalFormatting>
  <conditionalFormatting sqref="D426">
    <cfRule type="duplicateValues" dxfId="192" priority="26"/>
    <cfRule type="expression" dxfId="191" priority="475">
      <formula>AND(SUMPRODUCT(IFERROR(1*(($D$1083&amp;"x")=(D426&amp;"x")),0))&gt;1,NOT(ISBLANK(D426)))</formula>
    </cfRule>
  </conditionalFormatting>
  <conditionalFormatting sqref="D427">
    <cfRule type="duplicateValues" dxfId="190" priority="25"/>
    <cfRule type="expression" dxfId="189" priority="474">
      <formula>AND(SUMPRODUCT(IFERROR(1*(($D$1084&amp;"x")=(D427&amp;"x")),0))&gt;1,NOT(ISBLANK(D427)))</formula>
    </cfRule>
  </conditionalFormatting>
  <conditionalFormatting sqref="D428">
    <cfRule type="expression" dxfId="188" priority="473">
      <formula>AND(SUMPRODUCT(IFERROR(1*(($D$1085&amp;"x")=(D428&amp;"x")),0))&gt;1,NOT(ISBLANK(D428)))</formula>
    </cfRule>
    <cfRule type="duplicateValues" dxfId="187" priority="24"/>
  </conditionalFormatting>
  <conditionalFormatting sqref="D429">
    <cfRule type="duplicateValues" dxfId="186" priority="23"/>
    <cfRule type="expression" dxfId="185" priority="472">
      <formula>AND(SUMPRODUCT(IFERROR(1*(($D$1086&amp;"x")=(D429&amp;"x")),0))&gt;1,NOT(ISBLANK(D429)))</formula>
    </cfRule>
  </conditionalFormatting>
  <conditionalFormatting sqref="D430">
    <cfRule type="duplicateValues" dxfId="184" priority="22"/>
    <cfRule type="expression" dxfId="183" priority="471">
      <formula>AND(SUMPRODUCT(IFERROR(1*(($D$1087&amp;"x")=(D430&amp;"x")),0))&gt;1,NOT(ISBLANK(D430)))</formula>
    </cfRule>
  </conditionalFormatting>
  <conditionalFormatting sqref="D431">
    <cfRule type="duplicateValues" dxfId="182" priority="21"/>
    <cfRule type="expression" dxfId="181" priority="470">
      <formula>AND(SUMPRODUCT(IFERROR(1*(($D$1088&amp;"x")=(D431&amp;"x")),0))&gt;1,NOT(ISBLANK(D431)))</formula>
    </cfRule>
  </conditionalFormatting>
  <conditionalFormatting sqref="D432">
    <cfRule type="expression" dxfId="180" priority="469">
      <formula>AND(SUMPRODUCT(IFERROR(1*(($D$1089&amp;"x")=(D432&amp;"x")),0))&gt;1,NOT(ISBLANK(D432)))</formula>
    </cfRule>
    <cfRule type="duplicateValues" dxfId="179" priority="20"/>
  </conditionalFormatting>
  <conditionalFormatting sqref="D433">
    <cfRule type="expression" dxfId="178" priority="468">
      <formula>AND(SUMPRODUCT(IFERROR(1*(($D$1090&amp;"x")=(D433&amp;"x")),0))&gt;1,NOT(ISBLANK(D433)))</formula>
    </cfRule>
    <cfRule type="duplicateValues" dxfId="177" priority="19"/>
  </conditionalFormatting>
  <conditionalFormatting sqref="D434">
    <cfRule type="expression" dxfId="176" priority="467">
      <formula>AND(SUMPRODUCT(IFERROR(1*(($D$1091&amp;"x")=(D434&amp;"x")),0))&gt;1,NOT(ISBLANK(D434)))</formula>
    </cfRule>
    <cfRule type="duplicateValues" dxfId="175" priority="18"/>
  </conditionalFormatting>
  <conditionalFormatting sqref="D435">
    <cfRule type="expression" dxfId="174" priority="466">
      <formula>AND(SUMPRODUCT(IFERROR(1*(($D$1092&amp;"x")=(D435&amp;"x")),0))&gt;1,NOT(ISBLANK(D435)))</formula>
    </cfRule>
    <cfRule type="duplicateValues" dxfId="173" priority="17"/>
  </conditionalFormatting>
  <conditionalFormatting sqref="D436">
    <cfRule type="expression" dxfId="172" priority="465">
      <formula>AND(SUMPRODUCT(IFERROR(1*(($D$1093&amp;"x")=(D436&amp;"x")),0))&gt;1,NOT(ISBLANK(D436)))</formula>
    </cfRule>
    <cfRule type="duplicateValues" dxfId="171" priority="16"/>
  </conditionalFormatting>
  <conditionalFormatting sqref="D437">
    <cfRule type="expression" dxfId="170" priority="464">
      <formula>AND(SUMPRODUCT(IFERROR(1*(($D$1094&amp;"x")=(D437&amp;"x")),0))&gt;1,NOT(ISBLANK(D437)))</formula>
    </cfRule>
    <cfRule type="duplicateValues" dxfId="169" priority="15"/>
  </conditionalFormatting>
  <conditionalFormatting sqref="D438">
    <cfRule type="expression" dxfId="168" priority="463">
      <formula>AND(SUMPRODUCT(IFERROR(1*(($D$1095&amp;"x")=(D438&amp;"x")),0))&gt;1,NOT(ISBLANK(D438)))</formula>
    </cfRule>
    <cfRule type="duplicateValues" dxfId="167" priority="14"/>
  </conditionalFormatting>
  <conditionalFormatting sqref="D439">
    <cfRule type="expression" dxfId="166" priority="462">
      <formula>AND(SUMPRODUCT(IFERROR(1*(($D$1096&amp;"x")=(D439&amp;"x")),0))&gt;1,NOT(ISBLANK(D439)))</formula>
    </cfRule>
    <cfRule type="duplicateValues" dxfId="165" priority="13"/>
  </conditionalFormatting>
  <conditionalFormatting sqref="D440">
    <cfRule type="expression" dxfId="164" priority="461">
      <formula>AND(SUMPRODUCT(IFERROR(1*(($D$1097&amp;"x")=(D440&amp;"x")),0))&gt;1,NOT(ISBLANK(D440)))</formula>
    </cfRule>
    <cfRule type="duplicateValues" dxfId="163" priority="12"/>
  </conditionalFormatting>
  <conditionalFormatting sqref="D441">
    <cfRule type="expression" dxfId="162" priority="460">
      <formula>AND(SUMPRODUCT(IFERROR(1*(($D$1098&amp;"x")=(D441&amp;"x")),0))&gt;1,NOT(ISBLANK(D441)))</formula>
    </cfRule>
    <cfRule type="duplicateValues" dxfId="161" priority="11"/>
  </conditionalFormatting>
  <conditionalFormatting sqref="D442">
    <cfRule type="expression" dxfId="160" priority="459">
      <formula>AND(SUMPRODUCT(IFERROR(1*(($D$1099&amp;"x")=(D442&amp;"x")),0))&gt;1,NOT(ISBLANK(D442)))</formula>
    </cfRule>
    <cfRule type="duplicateValues" dxfId="159" priority="10"/>
  </conditionalFormatting>
  <conditionalFormatting sqref="D443">
    <cfRule type="expression" dxfId="158" priority="458">
      <formula>AND(SUMPRODUCT(IFERROR(1*(($D$1100&amp;"x")=(D443&amp;"x")),0))&gt;1,NOT(ISBLANK(D443)))</formula>
    </cfRule>
    <cfRule type="duplicateValues" dxfId="157" priority="9"/>
  </conditionalFormatting>
  <conditionalFormatting sqref="D444">
    <cfRule type="expression" dxfId="156" priority="457">
      <formula>AND(SUMPRODUCT(IFERROR(1*(($D$1101&amp;"x")=(D444&amp;"x")),0))&gt;1,NOT(ISBLANK(D444)))</formula>
    </cfRule>
    <cfRule type="duplicateValues" dxfId="155" priority="8"/>
  </conditionalFormatting>
  <conditionalFormatting sqref="D445">
    <cfRule type="expression" dxfId="154" priority="456">
      <formula>AND(SUMPRODUCT(IFERROR(1*(($D$1102&amp;"x")=(D445&amp;"x")),0))&gt;1,NOT(ISBLANK(D445)))</formula>
    </cfRule>
    <cfRule type="duplicateValues" dxfId="153" priority="7"/>
  </conditionalFormatting>
  <conditionalFormatting sqref="D446">
    <cfRule type="expression" dxfId="152" priority="455">
      <formula>AND(SUMPRODUCT(IFERROR(1*(($D$1103&amp;"x")=(D446&amp;"x")),0))&gt;1,NOT(ISBLANK(D446)))</formula>
    </cfRule>
    <cfRule type="duplicateValues" dxfId="151" priority="6"/>
  </conditionalFormatting>
  <conditionalFormatting sqref="D447">
    <cfRule type="expression" dxfId="150" priority="454">
      <formula>AND(SUMPRODUCT(IFERROR(1*(($D$1104&amp;"x")=(D447&amp;"x")),0))&gt;1,NOT(ISBLANK(D447)))</formula>
    </cfRule>
    <cfRule type="duplicateValues" dxfId="149" priority="5"/>
  </conditionalFormatting>
  <conditionalFormatting sqref="D448">
    <cfRule type="expression" dxfId="148" priority="453">
      <formula>AND(SUMPRODUCT(IFERROR(1*(($D$1105&amp;"x")=(D448&amp;"x")),0))&gt;1,NOT(ISBLANK(D448)))</formula>
    </cfRule>
    <cfRule type="duplicateValues" dxfId="147" priority="4"/>
  </conditionalFormatting>
  <conditionalFormatting sqref="D449">
    <cfRule type="expression" dxfId="146" priority="452">
      <formula>AND(SUMPRODUCT(IFERROR(1*(($D$1106&amp;"x")=(D449&amp;"x")),0))&gt;1,NOT(ISBLANK(D449)))</formula>
    </cfRule>
    <cfRule type="duplicateValues" dxfId="145" priority="3"/>
  </conditionalFormatting>
  <conditionalFormatting sqref="D450">
    <cfRule type="expression" dxfId="144" priority="451">
      <formula>AND(SUMPRODUCT(IFERROR(1*(($D$1107&amp;"x")=(D450&amp;"x")),0))&gt;1,NOT(ISBLANK(D450)))</formula>
    </cfRule>
    <cfRule type="duplicateValues" dxfId="143" priority="2"/>
  </conditionalFormatting>
  <conditionalFormatting sqref="D451">
    <cfRule type="duplicateValues" dxfId="142" priority="1"/>
    <cfRule type="expression" dxfId="14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F22" sqref="F22"/>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72" t="s">
        <v>1131</v>
      </c>
      <c r="B2" s="3272"/>
      <c r="C2" s="3272"/>
      <c r="D2" s="746" t="s">
        <v>1107</v>
      </c>
      <c r="E2" s="1521" t="s">
        <v>1108</v>
      </c>
      <c r="F2" s="2435"/>
      <c r="G2" s="2428"/>
      <c r="H2" s="2429"/>
      <c r="I2" s="2142" t="s">
        <v>1132</v>
      </c>
      <c r="J2" s="2435"/>
      <c r="K2" s="2435"/>
      <c r="L2" s="2435"/>
      <c r="M2" s="2435"/>
      <c r="N2" s="2436"/>
      <c r="O2" s="2435"/>
      <c r="P2" s="2435"/>
    </row>
    <row r="3" spans="1:16" ht="15.75" thickBot="1">
      <c r="A3" s="3273" t="s">
        <v>1105</v>
      </c>
      <c r="B3" s="3273"/>
      <c r="C3" s="3273"/>
      <c r="D3" s="41">
        <f>'数据-基础表'!AY6</f>
        <v>37485.769999999997</v>
      </c>
      <c r="E3" s="41">
        <f>'数据-基础表'!AZ5</f>
        <v>74277.419999999867</v>
      </c>
      <c r="F3" s="2435"/>
      <c r="G3" s="42"/>
      <c r="H3" s="43" t="s">
        <v>1106</v>
      </c>
      <c r="I3" s="800">
        <f>ROUND('数据-基础表'!B3/'数据-基础表'!A3,2)</f>
        <v>1.98</v>
      </c>
      <c r="J3" s="2435"/>
      <c r="K3" s="2435"/>
      <c r="L3" s="2435"/>
      <c r="M3" s="2435"/>
      <c r="N3" s="2436"/>
      <c r="O3" s="2435"/>
      <c r="P3" s="2435"/>
    </row>
    <row r="4" spans="1:16" ht="15">
      <c r="A4" s="3274"/>
      <c r="B4" s="3275"/>
      <c r="C4" s="3276"/>
      <c r="D4" s="1522" t="s">
        <v>1107</v>
      </c>
      <c r="E4" s="1523" t="s">
        <v>1108</v>
      </c>
      <c r="F4" s="2435"/>
      <c r="G4" s="2430" t="s">
        <v>1133</v>
      </c>
      <c r="H4" s="43" t="s">
        <v>1113</v>
      </c>
      <c r="I4" s="800">
        <f>ROUND(SUMIF('数据-基础表'!I9:AS9,"地上",'数据-基础表'!I5:AS5)/'数据-基础表'!A3,2)</f>
        <v>1.27</v>
      </c>
      <c r="J4" s="2435"/>
      <c r="K4" s="2435"/>
      <c r="L4" s="2435"/>
      <c r="M4" s="2435"/>
      <c r="N4" s="2436"/>
      <c r="O4" s="2435"/>
      <c r="P4" s="2435"/>
    </row>
    <row r="5" spans="1:16">
      <c r="A5" s="42" t="s">
        <v>1109</v>
      </c>
      <c r="B5" s="3277" t="s">
        <v>1110</v>
      </c>
      <c r="C5" s="3277"/>
      <c r="D5" s="43">
        <f>ROUND($D$3*E5/$E$3,2)</f>
        <v>20631.689999999999</v>
      </c>
      <c r="E5" s="44">
        <f>SUMIF('数据-基础表'!$11:$11,"住宅",'数据-基础表'!$5:$5)</f>
        <v>40881.349999999984</v>
      </c>
      <c r="F5" s="2435"/>
      <c r="G5" s="42"/>
      <c r="H5" s="43" t="s">
        <v>1106</v>
      </c>
      <c r="I5" s="800">
        <f>ROUND(E31/D31,2)</f>
        <v>1.98</v>
      </c>
      <c r="J5" s="2435"/>
      <c r="K5" s="2435"/>
      <c r="L5" s="2435"/>
      <c r="M5" s="2435"/>
      <c r="N5" s="2435"/>
      <c r="O5" s="2435"/>
      <c r="P5" s="2435"/>
    </row>
    <row r="6" spans="1:16" ht="15" thickBot="1">
      <c r="A6" s="1525"/>
      <c r="B6" s="3277" t="s">
        <v>1111</v>
      </c>
      <c r="C6" s="3277"/>
      <c r="D6" s="43">
        <f>ROUND($D$3*E6/$E$3,2)</f>
        <v>16854.080000000002</v>
      </c>
      <c r="E6" s="44">
        <f>E3-E5</f>
        <v>33396.069999999883</v>
      </c>
      <c r="F6" s="2435"/>
      <c r="G6" s="1527" t="s">
        <v>1112</v>
      </c>
      <c r="H6" s="45" t="s">
        <v>1113</v>
      </c>
      <c r="I6" s="2431">
        <f>ROUND(F31/D31,2)</f>
        <v>1.0900000000000001</v>
      </c>
      <c r="J6" s="2435"/>
      <c r="K6" s="2435"/>
      <c r="L6" s="2435"/>
      <c r="M6" s="2435"/>
      <c r="N6" s="2435"/>
      <c r="O6" s="2435"/>
      <c r="P6" s="2435"/>
    </row>
    <row r="7" spans="1:16" ht="15.75" thickBot="1">
      <c r="A7" s="3269"/>
      <c r="B7" s="3270"/>
      <c r="C7" s="3271"/>
      <c r="D7" s="1522" t="s">
        <v>1107</v>
      </c>
      <c r="E7" s="1526" t="s">
        <v>1114</v>
      </c>
      <c r="F7" s="2435"/>
      <c r="G7" s="2432" t="s">
        <v>1115</v>
      </c>
      <c r="H7" s="95"/>
      <c r="I7" s="2433">
        <v>1.05</v>
      </c>
      <c r="J7" s="2435"/>
      <c r="K7" s="2435"/>
      <c r="L7" s="2435"/>
      <c r="M7" s="2435"/>
      <c r="N7" s="2435"/>
      <c r="O7" s="2435"/>
      <c r="P7" s="2435"/>
    </row>
    <row r="8" spans="1:16">
      <c r="A8" s="42" t="s">
        <v>1116</v>
      </c>
      <c r="B8" s="45" t="s">
        <v>1117</v>
      </c>
      <c r="C8" s="43" t="s">
        <v>1118</v>
      </c>
      <c r="D8" s="43">
        <f t="shared" ref="D8:D15" si="0">ROUND($D$3*E8/$E$3,2)</f>
        <v>20631.689999999999</v>
      </c>
      <c r="E8" s="46">
        <f>SUMIF('数据-基础表'!BB10:BK10,"地上",'数据-基础表'!BB5:BK5)</f>
        <v>40881.349999999984</v>
      </c>
      <c r="F8" s="2435"/>
      <c r="G8" s="2435"/>
      <c r="H8" s="2435"/>
      <c r="I8" s="2435"/>
      <c r="J8" s="2435"/>
      <c r="K8" s="2435"/>
      <c r="L8" s="2435"/>
      <c r="M8" s="2435"/>
      <c r="N8" s="2435"/>
      <c r="O8" s="2435"/>
      <c r="P8" s="2435"/>
    </row>
    <row r="9" spans="1:16">
      <c r="A9" s="1527"/>
      <c r="B9" s="1528"/>
      <c r="C9" s="43" t="s">
        <v>1119</v>
      </c>
      <c r="D9" s="43">
        <f t="shared" si="0"/>
        <v>0</v>
      </c>
      <c r="E9" s="47">
        <v>0</v>
      </c>
      <c r="F9" s="2435"/>
      <c r="G9" s="2435"/>
      <c r="H9" s="2435"/>
      <c r="I9" s="2435"/>
      <c r="J9" s="2435"/>
      <c r="K9" s="2435"/>
      <c r="L9" s="2435"/>
      <c r="M9" s="2435"/>
      <c r="N9" s="2435"/>
      <c r="O9" s="2435"/>
      <c r="P9" s="2435"/>
    </row>
    <row r="10" spans="1:16">
      <c r="A10" s="1527"/>
      <c r="B10" s="1528"/>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7"/>
      <c r="B11" s="1528"/>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7"/>
      <c r="B12" s="1528"/>
      <c r="C12" s="43" t="s">
        <v>1121</v>
      </c>
      <c r="D12" s="43">
        <f t="shared" si="0"/>
        <v>8350.4699999999993</v>
      </c>
      <c r="E12" s="46">
        <f>SUMPRODUCT(('数据-基础表'!BB10:BK10="地下")*('数据-基础表'!BB11:BK11="仓储")*('数据-基础表'!BB5:BK5))</f>
        <v>16546.309999999998</v>
      </c>
      <c r="F12" s="2435"/>
      <c r="G12" s="2435"/>
      <c r="H12" s="2435"/>
      <c r="I12" s="2435"/>
      <c r="J12" s="2435"/>
      <c r="K12" s="2435"/>
      <c r="L12" s="2435"/>
      <c r="M12" s="2435"/>
      <c r="N12" s="2435"/>
      <c r="O12" s="2435"/>
      <c r="P12" s="2435"/>
    </row>
    <row r="13" spans="1:16">
      <c r="A13" s="1527"/>
      <c r="B13" s="1528"/>
      <c r="C13" s="43" t="s">
        <v>1122</v>
      </c>
      <c r="D13" s="43">
        <f t="shared" si="0"/>
        <v>8503.61</v>
      </c>
      <c r="E13" s="46">
        <f>SUMPRODUCT(('数据-基础表'!BB10:BK10="地下")*('数据-基础表'!BB11:BK11="车库")*('数据-基础表'!BB5:BK5))</f>
        <v>16849.759999999893</v>
      </c>
      <c r="F13" s="2435"/>
      <c r="G13" s="2435"/>
      <c r="H13" s="2435"/>
      <c r="I13" s="2435"/>
      <c r="J13" s="2435"/>
      <c r="K13" s="2435"/>
      <c r="L13" s="2435"/>
      <c r="M13" s="2435"/>
      <c r="N13" s="2435"/>
      <c r="O13" s="2435"/>
      <c r="P13" s="2435"/>
    </row>
    <row r="14" spans="1:16">
      <c r="A14" s="1527"/>
      <c r="B14" s="1528"/>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7"/>
      <c r="B15" s="1528"/>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5"/>
      <c r="B16" s="1528"/>
      <c r="C16" s="45" t="s">
        <v>1123</v>
      </c>
      <c r="D16" s="45">
        <f>SUM(D8:D15)</f>
        <v>37485.769999999997</v>
      </c>
      <c r="E16" s="48">
        <f>SUM(E8:E15)</f>
        <v>74277.419999999867</v>
      </c>
      <c r="F16" s="2435"/>
      <c r="G16" s="2435"/>
      <c r="H16" s="1529" t="s">
        <v>1135</v>
      </c>
      <c r="I16" s="1530"/>
      <c r="J16" s="1069"/>
      <c r="K16" s="3266" t="s">
        <v>1135</v>
      </c>
      <c r="L16" s="3267"/>
      <c r="M16" s="3267"/>
      <c r="N16" s="3267"/>
      <c r="O16" s="3267"/>
      <c r="P16" s="3268"/>
    </row>
    <row r="17" spans="1:19" ht="15">
      <c r="A17" s="1531" t="s">
        <v>1136</v>
      </c>
      <c r="B17" s="1532" t="s">
        <v>1137</v>
      </c>
      <c r="C17" s="1533" t="s">
        <v>1138</v>
      </c>
      <c r="D17" s="1534" t="s">
        <v>1126</v>
      </c>
      <c r="E17" s="1535" t="s">
        <v>1127</v>
      </c>
      <c r="F17" s="1536"/>
      <c r="G17" s="1537"/>
      <c r="H17" s="1538" t="s">
        <v>1139</v>
      </c>
      <c r="I17" s="1539" t="s">
        <v>1124</v>
      </c>
      <c r="J17" s="1069"/>
      <c r="K17" s="3263" t="s">
        <v>1140</v>
      </c>
      <c r="L17" s="3264"/>
      <c r="M17" s="3265"/>
      <c r="N17" s="3263" t="s">
        <v>1141</v>
      </c>
      <c r="O17" s="3264"/>
      <c r="P17" s="3265"/>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2" t="s">
        <v>3395</v>
      </c>
      <c r="D19" s="43">
        <f>ROUND($D$3*E19/$E$3,2)</f>
        <v>20631.689999999999</v>
      </c>
      <c r="E19" s="51">
        <f t="shared" ref="E19:E26" si="1">SUM(F19:G19)</f>
        <v>40881.349999999984</v>
      </c>
      <c r="F19" s="2554">
        <f>'数据-基础表'!I13-'数据-基础表'!J13</f>
        <v>40881.349999999984</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20631.689999999999</v>
      </c>
      <c r="S19" s="51">
        <f t="shared" si="5"/>
        <v>40881.349999999984</v>
      </c>
    </row>
    <row r="20" spans="1:19">
      <c r="A20" s="1547"/>
      <c r="B20" s="45" t="s">
        <v>1153</v>
      </c>
      <c r="C20" s="3112" t="s">
        <v>5697</v>
      </c>
      <c r="D20" s="43">
        <f t="shared" ref="D20:D26" si="6">ROUND($D$3*E20/$E$3,2)</f>
        <v>8350.4699999999993</v>
      </c>
      <c r="E20" s="51">
        <f t="shared" si="1"/>
        <v>16546.309999999998</v>
      </c>
      <c r="F20" s="2554"/>
      <c r="G20" s="1241">
        <f>'数据-基础表'!K14-'数据-基础表'!L14</f>
        <v>16546.309999999998</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8350.4699999999993</v>
      </c>
      <c r="S20" s="51">
        <f t="shared" si="5"/>
        <v>16546.309999999998</v>
      </c>
    </row>
    <row r="21" spans="1:19">
      <c r="A21" s="1547"/>
      <c r="B21" s="45" t="s">
        <v>1153</v>
      </c>
      <c r="C21" s="3112" t="s">
        <v>5698</v>
      </c>
      <c r="D21" s="43">
        <f t="shared" si="6"/>
        <v>8503.61</v>
      </c>
      <c r="E21" s="51">
        <f t="shared" si="1"/>
        <v>16849.759999999893</v>
      </c>
      <c r="F21" s="2554"/>
      <c r="G21" s="1241">
        <f>'数据-基础表'!M15-'数据-基础表'!N15</f>
        <v>16849.759999999893</v>
      </c>
      <c r="H21" s="635">
        <f t="shared" si="7"/>
        <v>0</v>
      </c>
      <c r="I21" s="46">
        <f t="shared" si="2"/>
        <v>0</v>
      </c>
      <c r="J21" s="1069"/>
      <c r="K21" s="635">
        <f t="shared" si="3"/>
        <v>0</v>
      </c>
      <c r="L21" s="43">
        <f t="shared" si="4"/>
        <v>0</v>
      </c>
      <c r="M21" s="46">
        <f t="shared" si="8"/>
        <v>0</v>
      </c>
      <c r="N21" s="1548"/>
      <c r="O21" s="1549"/>
      <c r="P21" s="46">
        <f t="shared" si="9"/>
        <v>0</v>
      </c>
      <c r="R21" s="43">
        <f t="shared" si="5"/>
        <v>8503.61</v>
      </c>
      <c r="S21" s="51">
        <f t="shared" si="5"/>
        <v>16849.759999999893</v>
      </c>
    </row>
    <row r="22" spans="1:19">
      <c r="A22" s="1547"/>
      <c r="B22" s="45" t="s">
        <v>1153</v>
      </c>
      <c r="C22" s="3113"/>
      <c r="D22" s="43">
        <f t="shared" si="6"/>
        <v>0</v>
      </c>
      <c r="E22" s="51">
        <f t="shared" si="1"/>
        <v>0</v>
      </c>
      <c r="F22" s="2555"/>
      <c r="G22" s="2556"/>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3"/>
      <c r="D23" s="43">
        <f>ROUND($D$3*E23/$E$3,2)</f>
        <v>0</v>
      </c>
      <c r="E23" s="51">
        <f>SUM(F23:G23)</f>
        <v>0</v>
      </c>
      <c r="F23" s="2555"/>
      <c r="G23" s="2556"/>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3"/>
      <c r="D24" s="43">
        <f>ROUND($D$3*E24/$E$3,2)</f>
        <v>0</v>
      </c>
      <c r="E24" s="51">
        <f>SUM(F24:G24)</f>
        <v>0</v>
      </c>
      <c r="F24" s="2555"/>
      <c r="G24" s="2556"/>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3"/>
      <c r="D25" s="43">
        <f t="shared" si="6"/>
        <v>0</v>
      </c>
      <c r="E25" s="51">
        <f t="shared" si="1"/>
        <v>0</v>
      </c>
      <c r="F25" s="2555"/>
      <c r="G25" s="2556"/>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5"/>
      <c r="G26" s="2556"/>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37485.769999999997</v>
      </c>
      <c r="E27" s="1071">
        <f>IF(SUM(E19:E26)='数据-基础表'!BA5,SUM(E19:E26),IF(F27="地上面积有误","面积有误","地下面积有误"))</f>
        <v>74277.419999999867</v>
      </c>
      <c r="F27" s="1070">
        <f>IF(SUM(F19:F26)=E8,SUM(F19:F26),"地上面积有误")</f>
        <v>40881.349999999984</v>
      </c>
      <c r="G27" s="1072">
        <f>SUM(G19:G26)</f>
        <v>33396.069999999891</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37485.769999999997</v>
      </c>
      <c r="S27" s="43">
        <f>IF(SUM(S19:S26)=$E$3,SUM(S19:S26),SUM(S19:S26)&amp;"误差"&amp;ROUND(SUM(S19:S26)-E3,2))</f>
        <v>74277.419999999867</v>
      </c>
    </row>
    <row r="28" spans="1:19">
      <c r="A28" s="1547"/>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7"/>
      <c r="B29" s="45" t="s">
        <v>1155</v>
      </c>
      <c r="C29" s="1553"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7"/>
      <c r="B30" s="45"/>
      <c r="C30" s="1554" t="s">
        <v>1154</v>
      </c>
      <c r="D30" s="1070">
        <f>SUM(D28:D29)</f>
        <v>0</v>
      </c>
      <c r="E30" s="1070">
        <f>SUM(E28:E29)</f>
        <v>0</v>
      </c>
      <c r="F30" s="1070">
        <f>SUM(F28:F29)</f>
        <v>0</v>
      </c>
      <c r="G30" s="1072">
        <f>SUM(G28:G29)</f>
        <v>0</v>
      </c>
      <c r="H30" s="2435"/>
      <c r="I30" s="2435"/>
      <c r="J30" s="2435"/>
      <c r="K30" s="2435"/>
      <c r="L30" s="2435"/>
      <c r="M30" s="2435"/>
      <c r="N30" s="2435"/>
      <c r="O30" s="2435"/>
      <c r="P30" s="2435"/>
    </row>
    <row r="31" spans="1:19" ht="15.75" thickBot="1">
      <c r="A31" s="1555"/>
      <c r="B31" s="96"/>
      <c r="C31" s="783" t="s">
        <v>1158</v>
      </c>
      <c r="D31" s="641">
        <f>D27+D30</f>
        <v>37485.769999999997</v>
      </c>
      <c r="E31" s="641">
        <f>E27+E30</f>
        <v>74277.419999999867</v>
      </c>
      <c r="F31" s="642">
        <f>F27+F30</f>
        <v>40881.349999999984</v>
      </c>
      <c r="G31" s="643">
        <f>G27+G30</f>
        <v>33396.069999999891</v>
      </c>
      <c r="H31" s="2435"/>
      <c r="I31" s="2435"/>
      <c r="J31" s="2435"/>
      <c r="K31" s="2435"/>
      <c r="L31" s="2435"/>
      <c r="M31" s="2435"/>
      <c r="N31" s="2435"/>
      <c r="O31" s="2435"/>
      <c r="P31" s="2435"/>
    </row>
    <row r="32" spans="1:19">
      <c r="A32" s="1524"/>
      <c r="B32" s="1524" t="s">
        <v>1159</v>
      </c>
      <c r="C32" s="1524"/>
      <c r="D32" s="1524"/>
      <c r="E32" s="988">
        <f>SUMIF(C19:C26,"*住宅*",E19:E26)</f>
        <v>40881.349999999984</v>
      </c>
      <c r="F32" s="1524"/>
      <c r="G32" s="1524"/>
      <c r="H32" s="2435"/>
      <c r="I32" s="2435"/>
      <c r="J32" s="2435"/>
      <c r="K32" s="2435"/>
      <c r="L32" s="2435"/>
      <c r="M32" s="2435"/>
      <c r="N32" s="2435"/>
      <c r="O32" s="2435"/>
      <c r="P32" s="2435"/>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4"/>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9" customFormat="1" ht="15.75" thickBot="1">
      <c r="A2" s="1560" t="s">
        <v>1161</v>
      </c>
      <c r="B2" s="982">
        <f>项目基本情况!D3</f>
        <v>45803</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5"/>
      <c r="AO2" s="2435"/>
      <c r="AP2" s="2435"/>
      <c r="AQ2" s="2435"/>
      <c r="AR2" s="2435"/>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5"/>
      <c r="AO3" s="2435"/>
      <c r="AP3" s="2435"/>
      <c r="AQ3" s="2435"/>
      <c r="AR3" s="2435"/>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4"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5"/>
      <c r="AO4" s="2435"/>
      <c r="AP4" s="2435"/>
      <c r="AQ4" s="2435"/>
      <c r="AR4" s="2435"/>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2" t="s">
        <v>1172</v>
      </c>
      <c r="F5" s="1573" t="s">
        <v>1173</v>
      </c>
      <c r="G5" s="502" t="s">
        <v>1174</v>
      </c>
      <c r="H5" s="502" t="s">
        <v>1175</v>
      </c>
      <c r="I5" s="502" t="s">
        <v>1176</v>
      </c>
      <c r="J5" s="1245" t="s">
        <v>1177</v>
      </c>
      <c r="K5" s="1574" t="s">
        <v>1178</v>
      </c>
      <c r="L5" s="1575" t="s">
        <v>1179</v>
      </c>
      <c r="M5" s="1576" t="s">
        <v>1180</v>
      </c>
      <c r="N5" s="1577" t="s">
        <v>5705</v>
      </c>
      <c r="O5" s="1575" t="s">
        <v>1181</v>
      </c>
      <c r="P5" s="1578" t="s">
        <v>1182</v>
      </c>
      <c r="Q5" s="58" t="s">
        <v>1183</v>
      </c>
      <c r="R5" s="1579" t="s">
        <v>1184</v>
      </c>
      <c r="S5" s="1580" t="s">
        <v>1185</v>
      </c>
      <c r="T5" s="1581" t="s">
        <v>1186</v>
      </c>
      <c r="U5" s="983" t="s">
        <v>1187</v>
      </c>
      <c r="V5" s="502" t="s">
        <v>1188</v>
      </c>
      <c r="W5" s="502" t="s">
        <v>1189</v>
      </c>
      <c r="X5" s="60"/>
      <c r="Y5" s="59" t="s">
        <v>1190</v>
      </c>
      <c r="Z5" s="1099" t="s">
        <v>1187</v>
      </c>
      <c r="AA5" s="502" t="s">
        <v>1188</v>
      </c>
      <c r="AB5" s="502" t="s">
        <v>1189</v>
      </c>
      <c r="AC5" s="60"/>
      <c r="AD5" s="60" t="s">
        <v>1190</v>
      </c>
      <c r="AE5" s="983" t="s">
        <v>1191</v>
      </c>
      <c r="AF5" s="502" t="s">
        <v>1192</v>
      </c>
      <c r="AG5" s="59" t="s">
        <v>1193</v>
      </c>
      <c r="AH5" s="983" t="s">
        <v>1194</v>
      </c>
      <c r="AI5" s="1099" t="s">
        <v>1195</v>
      </c>
      <c r="AJ5" s="1099" t="s">
        <v>1196</v>
      </c>
      <c r="AK5" s="502" t="s">
        <v>1197</v>
      </c>
      <c r="AL5" s="502" t="s">
        <v>1198</v>
      </c>
      <c r="AM5" s="59" t="s">
        <v>1199</v>
      </c>
      <c r="AN5" s="1582" t="s">
        <v>1200</v>
      </c>
      <c r="AO5" s="1452" t="s">
        <v>1201</v>
      </c>
      <c r="AP5" s="966" t="s">
        <v>1202</v>
      </c>
      <c r="AQ5" s="1583" t="s">
        <v>1203</v>
      </c>
      <c r="AR5" s="1583"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9" customFormat="1" ht="14.25">
      <c r="A6" s="1584" t="str">
        <f>'数据-汇总表'!C19</f>
        <v>住宅</v>
      </c>
      <c r="B6" s="1585" t="str">
        <f>IF(A6=0,"","经营性")</f>
        <v>经营性</v>
      </c>
      <c r="C6" s="1586" t="s">
        <v>3395</v>
      </c>
      <c r="D6" s="803">
        <f>SUMIF(项目基本情况!C$12:I$12,C6,项目基本情况!C$14:I$14)</f>
        <v>70</v>
      </c>
      <c r="E6" s="802">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8">
        <f>SUMIF('数据-汇总表'!C$19:C$33,A6,'数据-汇总表'!E$19:E$33)</f>
        <v>40881.349999999984</v>
      </c>
      <c r="L6" s="690">
        <v>6500</v>
      </c>
      <c r="M6" s="64">
        <f t="shared" ref="M6:M14" si="0">ROUND(K6*L6/10000,0)</f>
        <v>26573</v>
      </c>
      <c r="N6" s="3530">
        <v>0.85</v>
      </c>
      <c r="O6" s="64">
        <f>IF($N$5="成新度","——",ROUND(M6*N6,0))</f>
        <v>22587</v>
      </c>
      <c r="P6" s="65">
        <f>IF($N$5="成新度","——",M6-O6)</f>
        <v>3986</v>
      </c>
      <c r="Q6" s="691">
        <v>0.15</v>
      </c>
      <c r="R6" s="66">
        <f ca="1">SUMIF('数据-汇总表'!C$19:C$33,A6,'数据-汇总表'!R$19:R$27)</f>
        <v>20631.689999999999</v>
      </c>
      <c r="S6" s="49">
        <f>IF('数据-汇总表'!$I$17="按面积比例",SUMIF('数据-汇总表'!C$19:C$33,A6,'数据-汇总表'!K$19:K$33),SUMIF('数据-汇总表'!C$19:C$33,A6,'数据-汇总表'!N$19:N$33))</f>
        <v>0</v>
      </c>
      <c r="T6" s="1090">
        <f>ROUND($L$14*S6/10000,0)</f>
        <v>0</v>
      </c>
      <c r="U6" s="3123"/>
      <c r="V6" s="67"/>
      <c r="W6" s="67"/>
      <c r="X6" s="977"/>
      <c r="Y6" s="68"/>
      <c r="Z6" s="69"/>
      <c r="AA6" s="63"/>
      <c r="AB6" s="63"/>
      <c r="AC6" s="977"/>
      <c r="AD6" s="70"/>
      <c r="AE6" s="978">
        <f ca="1">IF(AN6="",0,SUMIF(INDIRECT("'"&amp;AN6&amp;"'"&amp;"!E:E"),$AE$5,INDIRECT("'"&amp;AN6&amp;"'"&amp;"!F:F")))</f>
        <v>0</v>
      </c>
      <c r="AF6" s="74"/>
      <c r="AG6" s="130">
        <f>IF(AF6="",0,AE6-AF6)</f>
        <v>0</v>
      </c>
      <c r="AH6" s="71"/>
      <c r="AI6" s="73">
        <v>365</v>
      </c>
      <c r="AJ6" s="74"/>
      <c r="AK6" s="694">
        <v>2E-3</v>
      </c>
      <c r="AL6" s="695">
        <v>1E-3</v>
      </c>
      <c r="AM6" s="106">
        <v>0.01</v>
      </c>
      <c r="AN6" s="1587"/>
      <c r="AO6" s="50" t="e">
        <f ca="1">SUMIF(INDIRECT("'"&amp;AN6&amp;"'"&amp;"!A:A"),"总价",INDIRECT("'"&amp;AN6&amp;"'"&amp;"!B:B"))</f>
        <v>#REF!</v>
      </c>
      <c r="AP6" s="1588">
        <f>IF(C6="住宅",K6*L6,0)</f>
        <v>265728774.99999991</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地下仓储</v>
      </c>
      <c r="B7" s="1585" t="str">
        <f t="shared" ref="B7:B13" si="1">IF(A7=0,"","经营性")</f>
        <v>经营性</v>
      </c>
      <c r="C7" s="1586" t="s">
        <v>3324</v>
      </c>
      <c r="D7" s="803">
        <f>SUMIF(项目基本情况!C$12:I$12,C7,项目基本情况!C$14:I$14)</f>
        <v>50</v>
      </c>
      <c r="E7" s="802">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8">
        <f>SUMIF('数据-汇总表'!C$19:C$33,A7,'数据-汇总表'!E$19:E$33)</f>
        <v>16546.309999999998</v>
      </c>
      <c r="L7" s="690">
        <v>6500</v>
      </c>
      <c r="M7" s="64">
        <f t="shared" si="0"/>
        <v>10755</v>
      </c>
      <c r="N7" s="688">
        <f>N6</f>
        <v>0.85</v>
      </c>
      <c r="O7" s="64">
        <f t="shared" ref="O7:O14" si="3">IF($N$5="成新度","——",ROUND(M7*N7,0))</f>
        <v>9142</v>
      </c>
      <c r="P7" s="65">
        <f t="shared" ref="P7:P14" si="4">IF($N$5="成新度","——",M7-O7)</f>
        <v>1613</v>
      </c>
      <c r="Q7" s="691">
        <v>0.1</v>
      </c>
      <c r="R7" s="66">
        <f ca="1">SUMIF('数据-汇总表'!C$19:C$33,A7,'数据-汇总表'!R$19:R$27)</f>
        <v>8350.4699999999993</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v>365</v>
      </c>
      <c r="AJ7" s="74"/>
      <c r="AK7" s="694">
        <v>2E-3</v>
      </c>
      <c r="AL7" s="695">
        <v>1E-3</v>
      </c>
      <c r="AM7" s="106">
        <v>0.01</v>
      </c>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3323</v>
      </c>
      <c r="D8" s="803">
        <f>SUMIF(项目基本情况!C$12:I$12,C8,项目基本情况!C$14:I$14)</f>
        <v>50</v>
      </c>
      <c r="E8" s="802">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8">
        <f>SUMIF('数据-汇总表'!C$19:C$33,A8,'数据-汇总表'!E$19:E$33)</f>
        <v>16849.759999999893</v>
      </c>
      <c r="L8" s="690">
        <v>4500</v>
      </c>
      <c r="M8" s="64">
        <f>ROUND(K8*L8/10000,0)</f>
        <v>7582</v>
      </c>
      <c r="N8" s="688">
        <f>N7</f>
        <v>0.85</v>
      </c>
      <c r="O8" s="64">
        <f t="shared" si="3"/>
        <v>6445</v>
      </c>
      <c r="P8" s="65">
        <f t="shared" si="4"/>
        <v>1137</v>
      </c>
      <c r="Q8" s="691">
        <v>0.05</v>
      </c>
      <c r="R8" s="66">
        <f ca="1">SUMIF('数据-汇总表'!C$19:C$33,A8,'数据-汇总表'!R$19:R$27)</f>
        <v>8503.61</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30">
        <f t="shared" si="7"/>
        <v>0</v>
      </c>
      <c r="AH8" s="693">
        <f>'未售清单-车位'!A451</f>
        <v>449</v>
      </c>
      <c r="AI8" s="73">
        <v>365</v>
      </c>
      <c r="AJ8" s="74"/>
      <c r="AK8" s="694">
        <v>2E-3</v>
      </c>
      <c r="AL8" s="695">
        <v>1E-3</v>
      </c>
      <c r="AM8" s="106">
        <v>0.01</v>
      </c>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hidden="1">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hidden="1">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hidden="1">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hidden="1">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hidden="1">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5"/>
      <c r="V14" s="973"/>
      <c r="W14" s="973"/>
      <c r="X14" s="974"/>
      <c r="Y14" s="975"/>
      <c r="Z14" s="54"/>
      <c r="AA14" s="976"/>
      <c r="AB14" s="976"/>
      <c r="AC14" s="977"/>
      <c r="AD14" s="974"/>
      <c r="AE14" s="978"/>
      <c r="AF14" s="50"/>
      <c r="AG14" s="130"/>
      <c r="AH14" s="978"/>
      <c r="AI14" s="1264"/>
      <c r="AJ14" s="50"/>
      <c r="AK14" s="979"/>
      <c r="AL14" s="980"/>
      <c r="AM14" s="981"/>
      <c r="AN14" s="2445"/>
      <c r="AO14" s="2435"/>
      <c r="AP14" s="2435"/>
      <c r="AQ14" s="2435"/>
      <c r="AR14" s="2435"/>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30"/>
      <c r="AH15" s="978"/>
      <c r="AI15" s="1264"/>
      <c r="AJ15" s="50"/>
      <c r="AK15" s="979"/>
      <c r="AL15" s="980"/>
      <c r="AM15" s="981"/>
      <c r="AN15" s="2445"/>
      <c r="AO15" s="2435"/>
      <c r="AP15" s="2435"/>
      <c r="AQ15" s="2435"/>
      <c r="AR15" s="2435"/>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0.99299999999999999</v>
      </c>
      <c r="H16" s="84">
        <f>ROUND(SUMPRODUCT(H6:H13,K6:K13)/SUMPRODUCT((H6:H13&gt;0)*(K6:K13)),3)</f>
        <v>4.4999999999999998E-2</v>
      </c>
      <c r="I16" s="85"/>
      <c r="J16" s="85"/>
      <c r="K16" s="86">
        <f>SUM(K6:K15)</f>
        <v>74277.419999999867</v>
      </c>
      <c r="L16" s="87">
        <f>ROUND(M16*10000/SUM(K6:K14),0)</f>
        <v>6046</v>
      </c>
      <c r="M16" s="87">
        <f>SUM(M6:M14)</f>
        <v>44910</v>
      </c>
      <c r="N16" s="88">
        <f>ROUND(SUMPRODUCT(M6:M14,N6:N14)/M16,3)</f>
        <v>0.85</v>
      </c>
      <c r="O16" s="87">
        <f>SUM(O6:O14)</f>
        <v>38174</v>
      </c>
      <c r="P16" s="87">
        <f>SUM(P6:P14)</f>
        <v>6736</v>
      </c>
      <c r="Q16" s="89">
        <f>ROUND(SUMPRODUCT(Q6:Q13,K6:K13)/SUMPRODUCT((Q6:Q13&gt;0)*(K6:K13)),2)</f>
        <v>0.12</v>
      </c>
      <c r="R16" s="972">
        <f ca="1">SUM(R6:R13)</f>
        <v>37485.769999999997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4" t="s">
        <v>1211</v>
      </c>
      <c r="B19" s="97">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5" t="s">
        <v>1212</v>
      </c>
      <c r="B20" s="98">
        <v>3</v>
      </c>
      <c r="C20" s="2558" t="s">
        <v>2290</v>
      </c>
      <c r="D20" s="2448"/>
      <c r="E20" s="2435"/>
      <c r="F20" s="2435"/>
      <c r="G20" s="2435"/>
      <c r="H20" s="2435"/>
      <c r="I20" s="2435"/>
      <c r="J20" s="2435"/>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6" t="s">
        <v>1213</v>
      </c>
      <c r="B21" s="98">
        <f>ROUND(N16*B20,1)</f>
        <v>2.6</v>
      </c>
      <c r="C21" s="2435"/>
      <c r="D21" s="2448"/>
      <c r="E21" s="2435"/>
      <c r="F21" s="2435"/>
      <c r="G21" s="2435"/>
      <c r="H21" s="2435"/>
      <c r="I21" s="2435"/>
      <c r="J21" s="2435"/>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5" t="s">
        <v>1214</v>
      </c>
      <c r="B22" s="99">
        <f>B19+B20</f>
        <v>3</v>
      </c>
      <c r="C22" s="2435"/>
      <c r="D22" s="2448"/>
      <c r="E22" s="2435"/>
      <c r="F22" s="2435"/>
      <c r="G22" s="2435"/>
      <c r="H22" s="2435"/>
      <c r="I22" s="2435"/>
      <c r="J22" s="2435"/>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6" t="s">
        <v>1215</v>
      </c>
      <c r="B23" s="99">
        <f>B19+B21</f>
        <v>2.6</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7" t="s">
        <v>1216</v>
      </c>
      <c r="B24" s="100">
        <f>B20-B21</f>
        <v>0.39999999999999991</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7"/>
      <c r="B25" s="1540"/>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0" t="s">
        <v>1217</v>
      </c>
      <c r="B26" s="1598"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9" t="s">
        <v>1220</v>
      </c>
      <c r="B27" s="101">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0"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1" t="s">
        <v>1222</v>
      </c>
      <c r="B29" s="105">
        <f ca="1">成本法!C9+成本法!C10</f>
        <v>1322</v>
      </c>
      <c r="C29" s="2560" t="s">
        <v>2284</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2" t="s">
        <v>1223</v>
      </c>
      <c r="B30" s="636">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0"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3" t="s">
        <v>1225</v>
      </c>
      <c r="B32" s="637">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9" t="s">
        <v>1226</v>
      </c>
      <c r="B33" s="638">
        <v>0.08</v>
      </c>
      <c r="C33" s="2561" t="s">
        <v>3372</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0" t="s">
        <v>1227</v>
      </c>
      <c r="B34" s="106">
        <v>0.05</v>
      </c>
      <c r="C34" s="2561" t="s">
        <v>2285</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0" t="s">
        <v>1228</v>
      </c>
      <c r="B35" s="103">
        <v>200</v>
      </c>
      <c r="C35" s="2561" t="s">
        <v>2286</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1" t="s">
        <v>1229</v>
      </c>
      <c r="B36" s="107">
        <v>0.02</v>
      </c>
      <c r="C36" s="2561" t="s">
        <v>3390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2" t="s">
        <v>1230</v>
      </c>
      <c r="B37" s="108">
        <v>0.03</v>
      </c>
      <c r="C37" s="2561" t="s">
        <v>3373</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0" t="s">
        <v>1231</v>
      </c>
      <c r="B38" s="106">
        <v>0.03</v>
      </c>
      <c r="C38" s="2561" t="s">
        <v>3374</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3"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2300</v>
      </c>
      <c r="B40" s="1013">
        <f ca="1">IF(A40="利息：取LPR",存贷款利率!G1,存贷款利率!G1+C40)</f>
        <v>0.03</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9"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4"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4"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5" t="s">
        <v>1236</v>
      </c>
      <c r="B44" s="112">
        <v>7.0000000000000007E-2</v>
      </c>
      <c r="C44" s="2561" t="s">
        <v>3375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5" t="s">
        <v>1237</v>
      </c>
      <c r="B45" s="110">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5" t="s">
        <v>1238</v>
      </c>
      <c r="B46" s="110">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6" t="s">
        <v>1239</v>
      </c>
      <c r="B47" s="113">
        <v>0</v>
      </c>
      <c r="C47" s="2563" t="s">
        <v>2295</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7" t="s">
        <v>1240</v>
      </c>
      <c r="B48" s="114">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3" t="s">
        <v>1241</v>
      </c>
      <c r="B49" s="110">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8"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1"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8" t="s">
        <v>1244</v>
      </c>
      <c r="B52" s="117">
        <f>SUMIF(A54:A63,B53,B54:B63)</f>
        <v>3</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0" t="s">
        <v>1245</v>
      </c>
      <c r="B53" s="1609" t="s">
        <v>303</v>
      </c>
      <c r="C53" s="2436" t="s">
        <v>1246</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0" t="s">
        <v>1247</v>
      </c>
      <c r="B54" s="72">
        <v>30</v>
      </c>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0" t="s">
        <v>1248</v>
      </c>
      <c r="B55" s="72">
        <v>24</v>
      </c>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0" t="s">
        <v>1249</v>
      </c>
      <c r="B56" s="72">
        <v>18</v>
      </c>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0" t="s">
        <v>1250</v>
      </c>
      <c r="B57" s="72">
        <v>12</v>
      </c>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0" t="s">
        <v>1251</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0" t="s">
        <v>1252</v>
      </c>
      <c r="B59" s="72">
        <v>1.5</v>
      </c>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0"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0"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0"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1"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2"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2"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2"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2"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2"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2" customFormat="1">
      <c r="A69" s="1612"/>
      <c r="D69" s="1613"/>
      <c r="K69" s="685"/>
      <c r="L69" s="685"/>
    </row>
    <row r="70" spans="1:44" s="682" customFormat="1">
      <c r="A70" s="1612"/>
      <c r="D70" s="1613"/>
      <c r="K70" s="685"/>
      <c r="L70" s="685"/>
    </row>
    <row r="71" spans="1:44" s="682" customFormat="1">
      <c r="A71" s="1612"/>
      <c r="D71" s="1613"/>
      <c r="K71" s="685"/>
      <c r="L71" s="685"/>
    </row>
    <row r="72" spans="1:44" s="682" customFormat="1">
      <c r="A72" s="1612"/>
      <c r="D72" s="1613"/>
      <c r="K72" s="685"/>
      <c r="L72" s="685"/>
    </row>
    <row r="73" spans="1:44" s="682" customFormat="1">
      <c r="A73" s="1612"/>
      <c r="D73" s="1613"/>
      <c r="K73" s="685"/>
      <c r="L73" s="685"/>
    </row>
    <row r="74" spans="1:44" s="682" customFormat="1">
      <c r="A74" s="1612"/>
      <c r="D74" s="1613"/>
      <c r="K74" s="685"/>
      <c r="L74" s="685"/>
    </row>
    <row r="75" spans="1:44" s="682" customFormat="1">
      <c r="A75" s="1612"/>
      <c r="D75" s="1613"/>
      <c r="K75" s="685"/>
      <c r="L75" s="685"/>
    </row>
    <row r="76" spans="1:44" s="682" customFormat="1">
      <c r="A76" s="1612"/>
      <c r="D76" s="1613"/>
      <c r="K76" s="685"/>
      <c r="L76" s="685"/>
    </row>
    <row r="77" spans="1:44" s="682" customFormat="1">
      <c r="A77" s="1612"/>
      <c r="D77" s="1613"/>
      <c r="K77" s="685"/>
      <c r="L77" s="685"/>
    </row>
    <row r="78" spans="1:44" s="682" customFormat="1">
      <c r="A78" s="1612"/>
      <c r="D78" s="1613"/>
      <c r="K78" s="685"/>
      <c r="L78" s="685"/>
    </row>
    <row r="79" spans="1:44" s="682" customFormat="1">
      <c r="A79" s="1612"/>
      <c r="D79" s="1613"/>
      <c r="K79" s="685"/>
      <c r="L79" s="685"/>
    </row>
    <row r="80" spans="1:44" s="682" customFormat="1">
      <c r="A80" s="1612"/>
      <c r="D80" s="1613"/>
      <c r="K80" s="685"/>
      <c r="L80" s="685"/>
    </row>
    <row r="81" spans="1:12" s="682" customFormat="1">
      <c r="A81" s="1612"/>
      <c r="D81" s="1613"/>
      <c r="K81" s="685"/>
      <c r="L81" s="685"/>
    </row>
    <row r="82" spans="1:12" s="682" customFormat="1">
      <c r="A82" s="1612"/>
      <c r="D82" s="1613"/>
      <c r="K82" s="685"/>
      <c r="L82" s="685"/>
    </row>
    <row r="83" spans="1:12" s="682" customFormat="1">
      <c r="A83" s="1612"/>
      <c r="D83" s="1613"/>
      <c r="K83" s="685"/>
      <c r="L83" s="685"/>
    </row>
    <row r="84" spans="1:12" s="682" customFormat="1">
      <c r="A84" s="1612"/>
      <c r="D84" s="1613"/>
      <c r="K84" s="685"/>
      <c r="L84" s="685"/>
    </row>
    <row r="85" spans="1:12" s="682" customFormat="1">
      <c r="A85" s="1612"/>
      <c r="D85" s="1613"/>
      <c r="K85" s="685"/>
      <c r="L85" s="685"/>
    </row>
    <row r="86" spans="1:12" s="682" customFormat="1">
      <c r="A86" s="1612"/>
      <c r="D86" s="1613"/>
      <c r="K86" s="685"/>
      <c r="L86" s="685"/>
    </row>
    <row r="87" spans="1:12" s="682" customFormat="1">
      <c r="A87" s="1612"/>
      <c r="D87" s="1613"/>
      <c r="K87" s="685"/>
      <c r="L87" s="685"/>
    </row>
    <row r="88" spans="1:12" s="682" customFormat="1">
      <c r="A88" s="1612"/>
      <c r="D88" s="1613"/>
      <c r="K88" s="685"/>
      <c r="L88" s="685"/>
    </row>
    <row r="89" spans="1:12" s="682" customFormat="1">
      <c r="A89" s="1612"/>
      <c r="D89" s="1613"/>
      <c r="K89" s="685"/>
      <c r="L89" s="685"/>
    </row>
    <row r="90" spans="1:12" s="682" customFormat="1">
      <c r="A90" s="1612"/>
      <c r="D90" s="1613"/>
      <c r="K90" s="685"/>
      <c r="L90" s="685"/>
    </row>
    <row r="91" spans="1:12" s="682" customFormat="1">
      <c r="A91" s="1612"/>
      <c r="D91" s="1613"/>
      <c r="K91" s="685"/>
      <c r="L91" s="685"/>
    </row>
    <row r="92" spans="1:12" s="682" customFormat="1">
      <c r="A92" s="1612"/>
      <c r="D92" s="1613"/>
      <c r="K92" s="685"/>
      <c r="L92" s="685"/>
    </row>
    <row r="93" spans="1:12" s="682" customFormat="1">
      <c r="A93" s="1612"/>
      <c r="D93" s="1613"/>
      <c r="K93" s="685"/>
      <c r="L93" s="685"/>
    </row>
    <row r="94" spans="1:12" s="682" customFormat="1">
      <c r="A94" s="1612"/>
      <c r="D94" s="1613"/>
      <c r="K94" s="685"/>
      <c r="L94" s="685"/>
    </row>
    <row r="95" spans="1:12" s="682" customFormat="1">
      <c r="A95" s="1612"/>
      <c r="D95" s="1613"/>
      <c r="K95" s="685"/>
      <c r="L95" s="685"/>
    </row>
    <row r="96" spans="1:12" s="682" customFormat="1">
      <c r="A96" s="1612"/>
      <c r="D96" s="1613"/>
      <c r="K96" s="685"/>
      <c r="L96" s="685"/>
    </row>
    <row r="97" spans="1:12" s="682" customFormat="1">
      <c r="A97" s="1612"/>
      <c r="D97" s="1613"/>
      <c r="K97" s="685"/>
      <c r="L97" s="685"/>
    </row>
    <row r="98" spans="1:12" s="682" customFormat="1">
      <c r="A98" s="1612"/>
      <c r="D98" s="1613"/>
      <c r="K98" s="685"/>
      <c r="L98" s="685"/>
    </row>
    <row r="99" spans="1:12" s="682" customFormat="1">
      <c r="A99" s="1612"/>
      <c r="D99" s="1613"/>
      <c r="K99" s="685"/>
      <c r="L99" s="685"/>
    </row>
    <row r="100" spans="1:12" s="682" customFormat="1">
      <c r="A100" s="1612"/>
      <c r="D100" s="1613"/>
      <c r="K100" s="685"/>
      <c r="L100" s="685"/>
    </row>
    <row r="101" spans="1:12" s="682" customFormat="1">
      <c r="A101" s="1612"/>
      <c r="D101" s="1613"/>
      <c r="K101" s="685"/>
      <c r="L101" s="685"/>
    </row>
    <row r="102" spans="1:12" s="682" customFormat="1">
      <c r="A102" s="1612"/>
      <c r="D102" s="1613"/>
      <c r="K102" s="685"/>
      <c r="L102" s="685"/>
    </row>
    <row r="103" spans="1:12" s="682" customFormat="1">
      <c r="A103" s="1612"/>
      <c r="D103" s="1613"/>
      <c r="K103" s="685"/>
      <c r="L103" s="685"/>
    </row>
    <row r="104" spans="1:12" s="682" customFormat="1">
      <c r="A104" s="1612"/>
      <c r="D104" s="1613"/>
      <c r="K104" s="685"/>
      <c r="L104" s="685"/>
    </row>
    <row r="105" spans="1:12" s="682" customFormat="1">
      <c r="A105" s="1612"/>
      <c r="D105" s="1613"/>
      <c r="K105" s="685"/>
      <c r="L105" s="685"/>
    </row>
    <row r="106" spans="1:12" s="682" customFormat="1">
      <c r="A106" s="1612"/>
      <c r="D106" s="1613"/>
      <c r="K106" s="685"/>
      <c r="L106" s="685"/>
    </row>
    <row r="107" spans="1:12" s="682" customFormat="1">
      <c r="A107" s="1612"/>
      <c r="D107" s="1613"/>
      <c r="K107" s="685"/>
      <c r="L107" s="685"/>
    </row>
    <row r="108" spans="1:12" s="682" customFormat="1">
      <c r="A108" s="1612"/>
      <c r="D108" s="1613"/>
      <c r="K108" s="685"/>
      <c r="L108" s="685"/>
    </row>
    <row r="109" spans="1:12" s="682" customFormat="1">
      <c r="A109" s="1612"/>
      <c r="D109" s="1613"/>
      <c r="K109" s="685"/>
      <c r="L109" s="685"/>
    </row>
    <row r="110" spans="1:12" s="682" customFormat="1">
      <c r="A110" s="1612"/>
      <c r="D110" s="1613"/>
      <c r="K110" s="685"/>
      <c r="L110" s="685"/>
    </row>
    <row r="111" spans="1:12" s="682" customFormat="1">
      <c r="A111" s="1612"/>
      <c r="D111" s="1613"/>
      <c r="K111" s="685"/>
      <c r="L111" s="685"/>
    </row>
    <row r="112" spans="1:12" s="682" customFormat="1">
      <c r="A112" s="1612"/>
      <c r="D112" s="1613"/>
      <c r="K112" s="685"/>
      <c r="L112" s="685"/>
    </row>
    <row r="113" spans="1:12" s="682" customFormat="1">
      <c r="A113" s="1612"/>
      <c r="D113" s="1613"/>
      <c r="K113" s="685"/>
      <c r="L113" s="685"/>
    </row>
    <row r="114" spans="1:12" s="682" customFormat="1">
      <c r="A114" s="1612"/>
      <c r="D114" s="1613"/>
      <c r="K114" s="685"/>
      <c r="L114" s="685"/>
    </row>
    <row r="115" spans="1:12" s="682" customFormat="1">
      <c r="A115" s="1612"/>
      <c r="D115" s="1613"/>
      <c r="K115" s="685"/>
      <c r="L115" s="685"/>
    </row>
    <row r="116" spans="1:12" s="682" customFormat="1">
      <c r="A116" s="1612"/>
      <c r="D116" s="1613"/>
      <c r="K116" s="685"/>
      <c r="L116" s="685"/>
    </row>
    <row r="117" spans="1:12" s="682" customFormat="1">
      <c r="A117" s="1612"/>
      <c r="D117" s="1613"/>
      <c r="K117" s="685"/>
      <c r="L117" s="685"/>
    </row>
    <row r="118" spans="1:12" s="682" customFormat="1">
      <c r="A118" s="1612"/>
      <c r="D118" s="1613"/>
      <c r="K118" s="685"/>
      <c r="L118" s="685"/>
    </row>
    <row r="119" spans="1:12" s="682" customFormat="1">
      <c r="A119" s="1612"/>
      <c r="D119" s="1613"/>
      <c r="K119" s="685"/>
      <c r="L119" s="685"/>
    </row>
    <row r="120" spans="1:12" s="682" customFormat="1">
      <c r="A120" s="1612"/>
      <c r="D120" s="1613"/>
      <c r="K120" s="685"/>
      <c r="L120" s="685"/>
    </row>
    <row r="121" spans="1:12" s="682" customFormat="1">
      <c r="A121" s="1612"/>
      <c r="D121" s="1613"/>
      <c r="K121" s="685"/>
      <c r="L121" s="685"/>
    </row>
    <row r="122" spans="1:12" s="682" customFormat="1">
      <c r="A122" s="1612"/>
      <c r="D122" s="1613"/>
      <c r="K122" s="685"/>
      <c r="L122" s="685"/>
    </row>
    <row r="123" spans="1:12" s="682" customFormat="1">
      <c r="A123" s="1612"/>
      <c r="D123" s="1613"/>
      <c r="K123" s="685"/>
      <c r="L123" s="685"/>
    </row>
    <row r="124" spans="1:12" s="682" customFormat="1">
      <c r="A124" s="1612"/>
      <c r="D124" s="1613"/>
      <c r="K124" s="685"/>
      <c r="L124" s="685"/>
    </row>
    <row r="125" spans="1:12" s="682" customFormat="1">
      <c r="A125" s="1612"/>
      <c r="D125" s="1613"/>
      <c r="K125" s="685"/>
      <c r="L125" s="685"/>
    </row>
    <row r="126" spans="1:12" s="682" customFormat="1">
      <c r="A126" s="1612"/>
      <c r="D126" s="1613"/>
      <c r="K126" s="685"/>
      <c r="L126" s="685"/>
    </row>
    <row r="127" spans="1:12" s="682" customFormat="1">
      <c r="A127" s="1612"/>
      <c r="D127" s="1613"/>
      <c r="K127" s="685"/>
      <c r="L127" s="685"/>
    </row>
    <row r="128" spans="1:12" s="682" customFormat="1">
      <c r="A128" s="1612"/>
      <c r="D128" s="1613"/>
      <c r="K128" s="685"/>
      <c r="L128" s="685"/>
    </row>
    <row r="129" spans="1:12" s="682" customFormat="1">
      <c r="A129" s="1612"/>
      <c r="D129" s="1613"/>
      <c r="K129" s="685"/>
      <c r="L129" s="685"/>
    </row>
    <row r="130" spans="1:12" s="682" customFormat="1">
      <c r="A130" s="1612"/>
      <c r="D130" s="1613"/>
      <c r="K130" s="685"/>
      <c r="L130" s="685"/>
    </row>
    <row r="131" spans="1:12" s="682" customFormat="1">
      <c r="A131" s="1612"/>
      <c r="D131" s="1613"/>
      <c r="K131" s="685"/>
      <c r="L131" s="685"/>
    </row>
    <row r="132" spans="1:12" s="682" customFormat="1">
      <c r="A132" s="1612"/>
      <c r="D132" s="1613"/>
      <c r="K132" s="685"/>
      <c r="L132" s="685"/>
    </row>
    <row r="133" spans="1:12" s="682" customFormat="1">
      <c r="A133" s="1612"/>
      <c r="D133" s="1613"/>
      <c r="K133" s="685"/>
      <c r="L133" s="685"/>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1" t="str">
        <f>项目基本情况!B1</f>
        <v>北京市出让国有建设用地使用权及在建建筑物房地产抵押价值预评估</v>
      </c>
      <c r="C37" s="3191"/>
      <c r="D37" s="3191"/>
      <c r="E37" s="3191"/>
      <c r="F37" s="3191"/>
      <c r="G37" s="3191"/>
      <c r="H37" s="3191"/>
      <c r="I37" s="3191"/>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0" customWidth="1"/>
    <col min="2" max="3" width="24.5" style="506" customWidth="1"/>
    <col min="4" max="4" width="2.625" style="506" customWidth="1"/>
    <col min="5" max="5" width="5.875" style="506" customWidth="1"/>
    <col min="6" max="7" width="27" style="506"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9" customWidth="1"/>
    <col min="19" max="29" width="9" style="749"/>
    <col min="30" max="16384" width="9" style="1520"/>
  </cols>
  <sheetData>
    <row r="1" spans="1:29" s="2255" customFormat="1" ht="18.75" thickBot="1">
      <c r="A1" s="3278" t="s">
        <v>2276</v>
      </c>
      <c r="B1" s="3279"/>
      <c r="C1" s="3279"/>
      <c r="D1" s="3279"/>
      <c r="E1" s="3279"/>
      <c r="F1" s="3279"/>
      <c r="G1" s="327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2273</v>
      </c>
      <c r="D2" s="1593"/>
      <c r="E2" s="2256"/>
      <c r="F2" s="2259"/>
      <c r="G2" s="2258" t="s">
        <v>2274</v>
      </c>
      <c r="H2" s="749"/>
      <c r="I2" s="749"/>
      <c r="J2" s="749"/>
      <c r="K2" s="749"/>
      <c r="L2" s="749"/>
      <c r="M2" s="749"/>
      <c r="N2" s="749"/>
      <c r="O2" s="749"/>
      <c r="P2" s="749"/>
      <c r="Q2" s="749"/>
    </row>
    <row r="3" spans="1:29" ht="24">
      <c r="A3" s="2243" t="s">
        <v>2275</v>
      </c>
      <c r="B3" s="2260" t="s">
        <v>2251</v>
      </c>
      <c r="C3" s="2261"/>
      <c r="D3" s="2262"/>
      <c r="E3" s="2244" t="s">
        <v>2275</v>
      </c>
      <c r="F3" s="2263" t="s">
        <v>2252</v>
      </c>
      <c r="G3" s="2264"/>
      <c r="H3" s="749"/>
      <c r="I3" s="749"/>
      <c r="J3" s="749"/>
      <c r="K3" s="749"/>
      <c r="L3" s="749"/>
      <c r="M3" s="749"/>
      <c r="N3" s="749"/>
      <c r="O3" s="749"/>
      <c r="P3" s="749"/>
      <c r="Q3" s="749"/>
    </row>
    <row r="4" spans="1:29">
      <c r="A4" s="2244"/>
      <c r="B4" s="315" t="s">
        <v>2253</v>
      </c>
      <c r="C4" s="2265"/>
      <c r="D4" s="2262"/>
      <c r="E4" s="2266"/>
      <c r="F4" s="1279" t="s">
        <v>2254</v>
      </c>
      <c r="G4" s="2267"/>
      <c r="H4" s="749"/>
      <c r="I4" s="749"/>
      <c r="J4" s="749"/>
      <c r="K4" s="749"/>
      <c r="L4" s="749"/>
      <c r="M4" s="749"/>
      <c r="N4" s="749"/>
      <c r="O4" s="749"/>
      <c r="P4" s="749"/>
      <c r="Q4" s="749"/>
    </row>
    <row r="5" spans="1:29">
      <c r="A5" s="2244"/>
      <c r="B5" s="315" t="s">
        <v>2255</v>
      </c>
      <c r="C5" s="2265"/>
      <c r="D5" s="2262"/>
      <c r="E5" s="2266"/>
      <c r="F5" s="315" t="s">
        <v>2256</v>
      </c>
      <c r="G5" s="2267"/>
      <c r="H5" s="749"/>
      <c r="I5" s="749"/>
      <c r="J5" s="749"/>
      <c r="K5" s="749"/>
      <c r="L5" s="749"/>
      <c r="M5" s="749"/>
      <c r="N5" s="749"/>
      <c r="O5" s="749"/>
      <c r="P5" s="749"/>
      <c r="Q5" s="749"/>
    </row>
    <row r="6" spans="1:29">
      <c r="A6" s="2244"/>
      <c r="B6" s="315" t="s">
        <v>2257</v>
      </c>
      <c r="C6" s="2267"/>
      <c r="D6" s="2262"/>
      <c r="E6" s="2266"/>
      <c r="F6" s="315" t="s">
        <v>2258</v>
      </c>
      <c r="G6" s="2267"/>
      <c r="H6" s="749"/>
      <c r="I6" s="749"/>
      <c r="J6" s="749"/>
      <c r="K6" s="749"/>
      <c r="L6" s="749"/>
      <c r="M6" s="749"/>
      <c r="N6" s="749"/>
      <c r="O6" s="749"/>
      <c r="P6" s="749"/>
      <c r="Q6" s="749"/>
    </row>
    <row r="7" spans="1:29" ht="15" thickBot="1">
      <c r="A7" s="2244"/>
      <c r="B7" s="315" t="s">
        <v>2256</v>
      </c>
      <c r="C7" s="2267"/>
      <c r="D7" s="2241"/>
      <c r="E7" s="2268"/>
      <c r="F7" s="2269" t="s">
        <v>2259</v>
      </c>
      <c r="G7" s="2270"/>
      <c r="H7" s="749"/>
      <c r="I7" s="749"/>
      <c r="J7" s="749"/>
      <c r="K7" s="749"/>
      <c r="L7" s="749"/>
      <c r="M7" s="749"/>
      <c r="N7" s="749"/>
      <c r="O7" s="749"/>
      <c r="P7" s="749"/>
      <c r="Q7" s="749"/>
    </row>
    <row r="8" spans="1:29">
      <c r="A8" s="2244"/>
      <c r="B8" s="315" t="s">
        <v>2258</v>
      </c>
      <c r="C8" s="2267"/>
      <c r="D8" s="2241"/>
      <c r="E8" s="2241"/>
      <c r="F8" s="121"/>
      <c r="G8" s="121"/>
      <c r="H8" s="749"/>
      <c r="I8" s="749"/>
      <c r="J8" s="749"/>
      <c r="K8" s="749"/>
      <c r="L8" s="749"/>
      <c r="M8" s="749"/>
      <c r="N8" s="749"/>
      <c r="O8" s="749"/>
      <c r="P8" s="749"/>
      <c r="Q8" s="749"/>
    </row>
    <row r="9" spans="1:29">
      <c r="A9" s="2244"/>
      <c r="B9" s="315" t="s">
        <v>2260</v>
      </c>
      <c r="C9" s="2265"/>
      <c r="D9" s="2262"/>
      <c r="E9" s="2241"/>
      <c r="F9" s="121"/>
      <c r="G9" s="121"/>
      <c r="H9" s="749"/>
      <c r="I9" s="749"/>
      <c r="J9" s="749"/>
      <c r="K9" s="749"/>
      <c r="L9" s="749"/>
      <c r="M9" s="749"/>
      <c r="N9" s="749"/>
      <c r="O9" s="749"/>
      <c r="P9" s="749"/>
      <c r="Q9" s="749"/>
    </row>
    <row r="10" spans="1:29" ht="15" thickBot="1">
      <c r="A10" s="2245"/>
      <c r="B10" s="2271" t="s">
        <v>2261</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2277</v>
      </c>
      <c r="B13" s="2276"/>
      <c r="C13" s="2276"/>
      <c r="D13" s="2275"/>
      <c r="E13" s="2276"/>
      <c r="F13" s="2276"/>
      <c r="G13" s="2276"/>
    </row>
    <row r="14" spans="1:29" ht="15" thickBot="1">
      <c r="A14" s="2281"/>
      <c r="B14" s="2281"/>
      <c r="C14" s="2282" t="s">
        <v>2262</v>
      </c>
      <c r="D14" s="2262"/>
      <c r="E14" s="2283"/>
      <c r="F14" s="2283"/>
      <c r="G14" s="2258" t="s">
        <v>2263</v>
      </c>
    </row>
    <row r="15" spans="1:29" ht="24">
      <c r="A15" s="2246" t="s">
        <v>2264</v>
      </c>
      <c r="B15" s="2284" t="s">
        <v>2251</v>
      </c>
      <c r="C15" s="2285">
        <f>C3</f>
        <v>0</v>
      </c>
      <c r="D15" s="2262"/>
      <c r="E15" s="2247" t="s">
        <v>2265</v>
      </c>
      <c r="F15" s="2284" t="s">
        <v>2266</v>
      </c>
      <c r="G15" s="2286">
        <f>G3</f>
        <v>0</v>
      </c>
    </row>
    <row r="16" spans="1:29">
      <c r="A16" s="2248"/>
      <c r="B16" s="2287" t="s">
        <v>2253</v>
      </c>
      <c r="C16" s="2288">
        <f>C4</f>
        <v>0</v>
      </c>
      <c r="D16" s="2262"/>
      <c r="E16" s="2249"/>
      <c r="F16" s="2289" t="s">
        <v>2254</v>
      </c>
      <c r="G16" s="2290">
        <f>G4</f>
        <v>0</v>
      </c>
    </row>
    <row r="17" spans="1:17">
      <c r="A17" s="2248"/>
      <c r="B17" s="2287" t="s">
        <v>2255</v>
      </c>
      <c r="C17" s="2288">
        <f>C5</f>
        <v>0</v>
      </c>
      <c r="D17" s="2241"/>
      <c r="E17" s="2249"/>
      <c r="F17" s="2289" t="s">
        <v>2267</v>
      </c>
      <c r="G17" s="2291"/>
    </row>
    <row r="18" spans="1:17">
      <c r="A18" s="2248"/>
      <c r="B18" s="2289" t="s">
        <v>2257</v>
      </c>
      <c r="C18" s="2290">
        <f>C6</f>
        <v>0</v>
      </c>
      <c r="D18" s="2241"/>
      <c r="E18" s="2249"/>
      <c r="F18" s="2289" t="s">
        <v>2259</v>
      </c>
      <c r="G18" s="2290">
        <f>G7</f>
        <v>0</v>
      </c>
    </row>
    <row r="19" spans="1:17">
      <c r="A19" s="2248"/>
      <c r="B19" s="2289" t="s">
        <v>2268</v>
      </c>
      <c r="C19" s="2291"/>
      <c r="D19" s="2262"/>
      <c r="E19" s="2249"/>
      <c r="F19" s="315" t="s">
        <v>2256</v>
      </c>
      <c r="G19" s="2290">
        <f>G5</f>
        <v>0</v>
      </c>
    </row>
    <row r="20" spans="1:17">
      <c r="A20" s="2248"/>
      <c r="B20" s="2289" t="s">
        <v>2269</v>
      </c>
      <c r="C20" s="2288">
        <f>C9</f>
        <v>0</v>
      </c>
      <c r="D20" s="2241"/>
      <c r="E20" s="2249"/>
      <c r="F20" s="315" t="s">
        <v>2258</v>
      </c>
      <c r="G20" s="2290">
        <f>G6</f>
        <v>0</v>
      </c>
    </row>
    <row r="21" spans="1:17">
      <c r="A21" s="2248"/>
      <c r="B21" s="315" t="s">
        <v>2256</v>
      </c>
      <c r="C21" s="2290">
        <f>C7</f>
        <v>0</v>
      </c>
      <c r="D21" s="2262"/>
      <c r="E21" s="2249"/>
      <c r="F21" s="2289" t="s">
        <v>2270</v>
      </c>
      <c r="G21" s="2292"/>
    </row>
    <row r="22" spans="1:17" ht="13.5" customHeight="1">
      <c r="A22" s="2248"/>
      <c r="B22" s="315" t="s">
        <v>2258</v>
      </c>
      <c r="C22" s="2290">
        <f>C8</f>
        <v>0</v>
      </c>
      <c r="D22" s="2262"/>
      <c r="E22" s="2249"/>
      <c r="F22" s="2289" t="s">
        <v>2261</v>
      </c>
      <c r="G22" s="2291"/>
    </row>
    <row r="23" spans="1:17" s="749" customFormat="1" ht="15" thickBot="1">
      <c r="A23" s="2248"/>
      <c r="B23" s="2289" t="s">
        <v>2270</v>
      </c>
      <c r="C23" s="2292"/>
      <c r="D23" s="1612"/>
      <c r="E23" s="2250"/>
      <c r="F23" s="2293" t="s">
        <v>2271</v>
      </c>
      <c r="G23" s="2294"/>
      <c r="H23" s="2273"/>
      <c r="I23" s="2273"/>
      <c r="J23" s="2273"/>
      <c r="K23" s="2273"/>
      <c r="L23" s="2273"/>
      <c r="M23" s="2273"/>
      <c r="N23" s="2273"/>
      <c r="O23" s="2273"/>
      <c r="P23" s="2273"/>
      <c r="Q23" s="2273"/>
    </row>
    <row r="24" spans="1:17" s="749" customFormat="1" ht="15" thickBot="1">
      <c r="A24" s="2251"/>
      <c r="B24" s="2293" t="s">
        <v>2272</v>
      </c>
      <c r="C24" s="2295">
        <f>C10</f>
        <v>0</v>
      </c>
      <c r="D24" s="1612"/>
      <c r="E24" s="2241"/>
      <c r="F24" s="2241"/>
      <c r="G24" s="2241"/>
      <c r="H24" s="2273"/>
      <c r="I24" s="2273"/>
      <c r="J24" s="2273"/>
      <c r="K24" s="2273"/>
      <c r="L24" s="2273"/>
      <c r="M24" s="2273"/>
      <c r="N24" s="2273"/>
      <c r="O24" s="2273"/>
      <c r="P24" s="2273"/>
      <c r="Q24" s="2273"/>
    </row>
    <row r="25" spans="1:17" s="749" customFormat="1">
      <c r="B25" s="2273"/>
      <c r="C25" s="2273"/>
      <c r="D25" s="2273"/>
      <c r="H25" s="2273"/>
      <c r="I25" s="2273"/>
      <c r="J25" s="2273"/>
      <c r="K25" s="2273"/>
      <c r="L25" s="2273"/>
      <c r="M25" s="2273"/>
      <c r="N25" s="2273"/>
      <c r="O25" s="2273"/>
      <c r="P25" s="2273"/>
      <c r="Q25" s="2273"/>
    </row>
    <row r="26" spans="1:17" s="749" customFormat="1">
      <c r="B26" s="2273"/>
      <c r="C26" s="2273"/>
      <c r="D26" s="2273"/>
      <c r="H26" s="2273"/>
      <c r="I26" s="2273"/>
      <c r="J26" s="2273"/>
      <c r="K26" s="2273"/>
      <c r="L26" s="2273"/>
      <c r="M26" s="2273"/>
      <c r="N26" s="2273"/>
      <c r="O26" s="2273"/>
      <c r="P26" s="2273"/>
      <c r="Q26" s="2273"/>
    </row>
    <row r="27" spans="1:17" s="749" customFormat="1">
      <c r="B27" s="2273"/>
      <c r="C27" s="2273"/>
      <c r="D27" s="2273"/>
      <c r="H27" s="2273"/>
      <c r="I27" s="2273"/>
      <c r="J27" s="2273"/>
      <c r="K27" s="2273"/>
      <c r="L27" s="2273"/>
      <c r="M27" s="2273"/>
      <c r="N27" s="2273"/>
      <c r="O27" s="2273"/>
      <c r="P27" s="2273"/>
      <c r="Q27" s="2273"/>
    </row>
    <row r="28" spans="1:17" s="749" customFormat="1">
      <c r="B28" s="2273"/>
      <c r="C28" s="2273"/>
      <c r="D28" s="2273"/>
      <c r="H28" s="2273"/>
      <c r="I28" s="2273"/>
      <c r="J28" s="2273"/>
      <c r="K28" s="2273"/>
      <c r="L28" s="2273"/>
      <c r="M28" s="2273"/>
      <c r="N28" s="2273"/>
      <c r="O28" s="2273"/>
      <c r="P28" s="2273"/>
      <c r="Q28" s="2273"/>
    </row>
    <row r="29" spans="1:17" s="749" customFormat="1">
      <c r="B29" s="2273"/>
      <c r="C29" s="2273"/>
      <c r="D29" s="2273"/>
      <c r="H29" s="2273"/>
      <c r="I29" s="2273"/>
      <c r="J29" s="2273"/>
      <c r="K29" s="2273"/>
      <c r="L29" s="2273"/>
      <c r="M29" s="2273"/>
      <c r="N29" s="2273"/>
      <c r="O29" s="2273"/>
      <c r="P29" s="2273"/>
      <c r="Q29" s="2273"/>
    </row>
    <row r="30" spans="1:17" s="749" customFormat="1">
      <c r="B30" s="2273"/>
      <c r="C30" s="2273"/>
      <c r="D30" s="2273"/>
      <c r="H30" s="2273"/>
      <c r="I30" s="2273"/>
      <c r="J30" s="2273"/>
      <c r="K30" s="2273"/>
      <c r="L30" s="2273"/>
      <c r="M30" s="2273"/>
      <c r="N30" s="2273"/>
      <c r="O30" s="2273"/>
      <c r="P30" s="2273"/>
      <c r="Q30" s="2273"/>
    </row>
    <row r="31" spans="1:17" s="749" customFormat="1">
      <c r="B31" s="2273"/>
      <c r="C31" s="2273"/>
      <c r="D31" s="2273"/>
      <c r="H31" s="2273"/>
      <c r="I31" s="2273"/>
      <c r="J31" s="2273"/>
      <c r="K31" s="2273"/>
      <c r="L31" s="2273"/>
      <c r="M31" s="2273"/>
      <c r="N31" s="2273"/>
      <c r="O31" s="2273"/>
      <c r="P31" s="2273"/>
      <c r="Q31" s="2273"/>
    </row>
    <row r="32" spans="1:17" s="749" customFormat="1">
      <c r="B32" s="2273"/>
      <c r="C32" s="2273"/>
      <c r="D32" s="2273"/>
      <c r="H32" s="2273"/>
      <c r="I32" s="2273"/>
      <c r="J32" s="2273"/>
      <c r="K32" s="2273"/>
      <c r="L32" s="2273"/>
      <c r="M32" s="2273"/>
      <c r="N32" s="2273"/>
      <c r="O32" s="2273"/>
      <c r="P32" s="2273"/>
      <c r="Q32" s="2273"/>
    </row>
    <row r="33" spans="2:17" s="749" customFormat="1">
      <c r="B33" s="2273"/>
      <c r="C33" s="2273"/>
      <c r="D33" s="2273"/>
      <c r="H33" s="2273"/>
      <c r="I33" s="2273"/>
      <c r="J33" s="2273"/>
      <c r="K33" s="2273"/>
      <c r="L33" s="2273"/>
      <c r="M33" s="2273"/>
      <c r="N33" s="2273"/>
      <c r="O33" s="2273"/>
      <c r="P33" s="2273"/>
      <c r="Q33" s="2273"/>
    </row>
    <row r="34" spans="2:17" s="749" customFormat="1">
      <c r="B34" s="2273"/>
      <c r="C34" s="2273"/>
      <c r="D34" s="2273"/>
      <c r="H34" s="2273"/>
      <c r="I34" s="2273"/>
      <c r="J34" s="2273"/>
      <c r="K34" s="2273"/>
      <c r="L34" s="2273"/>
      <c r="M34" s="2273"/>
      <c r="N34" s="2273"/>
      <c r="O34" s="2273"/>
      <c r="P34" s="2273"/>
      <c r="Q34" s="2273"/>
    </row>
    <row r="35" spans="2:17" s="749" customFormat="1">
      <c r="B35" s="2273"/>
      <c r="C35" s="2273"/>
      <c r="D35" s="2273"/>
      <c r="H35" s="2273"/>
      <c r="I35" s="2273"/>
      <c r="J35" s="2273"/>
      <c r="K35" s="2273"/>
      <c r="L35" s="2273"/>
      <c r="M35" s="2273"/>
      <c r="N35" s="2273"/>
      <c r="O35" s="2273"/>
      <c r="P35" s="2273"/>
      <c r="Q35" s="2273"/>
    </row>
    <row r="36" spans="2:17" s="749" customFormat="1">
      <c r="B36" s="2273"/>
      <c r="C36" s="2273"/>
      <c r="D36" s="2273"/>
      <c r="H36" s="2273"/>
      <c r="I36" s="2273"/>
      <c r="J36" s="2273"/>
      <c r="K36" s="2273"/>
      <c r="L36" s="2273"/>
      <c r="M36" s="2273"/>
      <c r="N36" s="2273"/>
      <c r="O36" s="2273"/>
      <c r="P36" s="2273"/>
      <c r="Q36" s="2273"/>
    </row>
    <row r="37" spans="2:17" s="749" customFormat="1">
      <c r="B37" s="2273"/>
      <c r="C37" s="2273"/>
      <c r="D37" s="2273"/>
      <c r="H37" s="2273"/>
      <c r="I37" s="2273"/>
      <c r="J37" s="2273"/>
      <c r="K37" s="2273"/>
      <c r="L37" s="2273"/>
      <c r="M37" s="2273"/>
      <c r="N37" s="2273"/>
      <c r="O37" s="2273"/>
      <c r="P37" s="2273"/>
      <c r="Q37" s="2273"/>
    </row>
    <row r="38" spans="2:17" s="749" customFormat="1">
      <c r="B38" s="2273"/>
      <c r="C38" s="2273"/>
      <c r="D38" s="2273"/>
      <c r="E38" s="2273"/>
      <c r="F38" s="2273"/>
      <c r="G38" s="2273"/>
      <c r="H38" s="2273"/>
      <c r="I38" s="2273"/>
      <c r="J38" s="2273"/>
      <c r="K38" s="2273"/>
      <c r="L38" s="2273"/>
      <c r="M38" s="2273"/>
      <c r="N38" s="2273"/>
      <c r="O38" s="2273"/>
      <c r="P38" s="2273"/>
      <c r="Q38" s="2273"/>
    </row>
    <row r="39" spans="2:17" s="749" customFormat="1">
      <c r="B39" s="2273"/>
      <c r="C39" s="2273"/>
      <c r="D39" s="2273"/>
      <c r="E39" s="2273"/>
      <c r="F39" s="2273"/>
      <c r="G39" s="2273"/>
      <c r="H39" s="2273"/>
      <c r="I39" s="2273"/>
      <c r="J39" s="2273"/>
      <c r="K39" s="2273"/>
      <c r="L39" s="2273"/>
      <c r="M39" s="2273"/>
      <c r="N39" s="2273"/>
      <c r="O39" s="2273"/>
      <c r="P39" s="2273"/>
      <c r="Q39" s="2273"/>
    </row>
    <row r="40" spans="2:17" s="749" customFormat="1">
      <c r="B40" s="2273"/>
      <c r="C40" s="2273"/>
      <c r="D40" s="2273"/>
      <c r="E40" s="2273"/>
      <c r="F40" s="2273"/>
      <c r="G40" s="2273"/>
      <c r="H40" s="2273"/>
      <c r="I40" s="2273"/>
      <c r="J40" s="2273"/>
      <c r="K40" s="2273"/>
      <c r="L40" s="2273"/>
      <c r="M40" s="2273"/>
      <c r="N40" s="2273"/>
      <c r="O40" s="2273"/>
      <c r="P40" s="2273"/>
      <c r="Q40" s="2273"/>
    </row>
    <row r="41" spans="2:17" s="749" customFormat="1">
      <c r="B41" s="2273"/>
      <c r="C41" s="2273"/>
      <c r="D41" s="2273"/>
      <c r="E41" s="2273"/>
      <c r="F41" s="2273"/>
      <c r="G41" s="2273"/>
      <c r="H41" s="2273"/>
      <c r="I41" s="2273"/>
      <c r="J41" s="2273"/>
      <c r="K41" s="2273"/>
      <c r="L41" s="2273"/>
      <c r="M41" s="2273"/>
      <c r="N41" s="2273"/>
      <c r="O41" s="2273"/>
      <c r="P41" s="2273"/>
      <c r="Q41" s="2273"/>
    </row>
    <row r="42" spans="2:17" s="749" customFormat="1">
      <c r="B42" s="2273"/>
      <c r="C42" s="2273"/>
      <c r="D42" s="2273"/>
      <c r="E42" s="2273"/>
      <c r="F42" s="2273"/>
      <c r="G42" s="2273"/>
      <c r="H42" s="2273"/>
      <c r="I42" s="2273"/>
      <c r="J42" s="2273"/>
      <c r="K42" s="2273"/>
      <c r="L42" s="2273"/>
      <c r="M42" s="2273"/>
      <c r="N42" s="2273"/>
      <c r="O42" s="2273"/>
      <c r="P42" s="2273"/>
      <c r="Q42" s="2273"/>
    </row>
    <row r="43" spans="2:17" s="749" customFormat="1">
      <c r="B43" s="2273"/>
      <c r="C43" s="2273"/>
      <c r="D43" s="2273"/>
      <c r="E43" s="2273"/>
      <c r="F43" s="2273"/>
      <c r="G43" s="2273"/>
      <c r="H43" s="2273"/>
      <c r="I43" s="2273"/>
      <c r="J43" s="2273"/>
      <c r="K43" s="2273"/>
      <c r="L43" s="2273"/>
      <c r="M43" s="2273"/>
      <c r="N43" s="2273"/>
      <c r="O43" s="2273"/>
      <c r="P43" s="2273"/>
      <c r="Q43" s="2273"/>
    </row>
    <row r="44" spans="2:17" s="749" customFormat="1">
      <c r="B44" s="2273"/>
      <c r="C44" s="2273"/>
      <c r="D44" s="2273"/>
      <c r="E44" s="2273"/>
      <c r="F44" s="2273"/>
      <c r="G44" s="2273"/>
      <c r="H44" s="2273"/>
      <c r="I44" s="2273"/>
      <c r="J44" s="2273"/>
      <c r="K44" s="2273"/>
      <c r="L44" s="2273"/>
      <c r="M44" s="2273"/>
      <c r="N44" s="2273"/>
      <c r="O44" s="2273"/>
      <c r="P44" s="2273"/>
      <c r="Q44" s="2273"/>
    </row>
    <row r="45" spans="2:17" s="749" customFormat="1">
      <c r="B45" s="2273"/>
      <c r="C45" s="2273"/>
      <c r="D45" s="2273"/>
      <c r="E45" s="2273"/>
      <c r="F45" s="2273"/>
      <c r="G45" s="2273"/>
      <c r="H45" s="2273"/>
      <c r="I45" s="2273"/>
      <c r="J45" s="2273"/>
      <c r="K45" s="2273"/>
      <c r="L45" s="2273"/>
      <c r="M45" s="2273"/>
      <c r="N45" s="2273"/>
      <c r="O45" s="2273"/>
      <c r="P45" s="2273"/>
      <c r="Q45" s="2273"/>
    </row>
    <row r="46" spans="2:17" s="749" customFormat="1">
      <c r="B46" s="2273"/>
      <c r="C46" s="2273"/>
      <c r="D46" s="2273"/>
      <c r="E46" s="2273"/>
      <c r="F46" s="2273"/>
      <c r="G46" s="2273"/>
      <c r="H46" s="2273"/>
      <c r="I46" s="2273"/>
      <c r="J46" s="2273"/>
      <c r="K46" s="2273"/>
      <c r="L46" s="2273"/>
      <c r="M46" s="2273"/>
      <c r="N46" s="2273"/>
      <c r="O46" s="2273"/>
      <c r="P46" s="2273"/>
      <c r="Q46" s="2273"/>
    </row>
    <row r="47" spans="2:17" s="749" customFormat="1">
      <c r="B47" s="2273"/>
      <c r="C47" s="2273"/>
      <c r="D47" s="2273"/>
      <c r="E47" s="2273"/>
      <c r="F47" s="2273"/>
      <c r="G47" s="2273"/>
      <c r="H47" s="2273"/>
      <c r="I47" s="2273"/>
      <c r="J47" s="2273"/>
      <c r="K47" s="2273"/>
      <c r="L47" s="2273"/>
      <c r="M47" s="2273"/>
      <c r="N47" s="2273"/>
      <c r="O47" s="2273"/>
      <c r="P47" s="2273"/>
      <c r="Q47" s="2273"/>
    </row>
    <row r="48" spans="2:17" s="749" customFormat="1">
      <c r="B48" s="2273"/>
      <c r="C48" s="2273"/>
      <c r="D48" s="2273"/>
      <c r="E48" s="2273"/>
      <c r="F48" s="2273"/>
      <c r="G48" s="2273"/>
      <c r="H48" s="2273"/>
      <c r="I48" s="2273"/>
      <c r="J48" s="2273"/>
      <c r="K48" s="2273"/>
      <c r="L48" s="2273"/>
      <c r="M48" s="2273"/>
      <c r="N48" s="2273"/>
      <c r="O48" s="2273"/>
      <c r="P48" s="2273"/>
      <c r="Q48" s="2273"/>
    </row>
    <row r="49" spans="2:17" s="749" customFormat="1">
      <c r="B49" s="2273"/>
      <c r="C49" s="2273"/>
      <c r="D49" s="2273"/>
      <c r="E49" s="2273"/>
      <c r="F49" s="2273"/>
      <c r="G49" s="2273"/>
      <c r="H49" s="2273"/>
      <c r="I49" s="2273"/>
      <c r="J49" s="2273"/>
      <c r="K49" s="2273"/>
      <c r="L49" s="2273"/>
      <c r="M49" s="2273"/>
      <c r="N49" s="2273"/>
      <c r="O49" s="2273"/>
      <c r="P49" s="2273"/>
      <c r="Q49" s="2273"/>
    </row>
    <row r="50" spans="2:17" s="749" customFormat="1">
      <c r="B50" s="2273"/>
      <c r="C50" s="2273"/>
      <c r="D50" s="2273"/>
      <c r="E50" s="2273"/>
      <c r="F50" s="2273"/>
      <c r="G50" s="2273"/>
      <c r="H50" s="2273"/>
      <c r="I50" s="2273"/>
      <c r="J50" s="2273"/>
      <c r="K50" s="2273"/>
      <c r="L50" s="2273"/>
      <c r="M50" s="2273"/>
      <c r="N50" s="2273"/>
      <c r="O50" s="2273"/>
      <c r="P50" s="2273"/>
      <c r="Q50" s="2273"/>
    </row>
    <row r="51" spans="2:17" s="749" customFormat="1">
      <c r="B51" s="2273"/>
      <c r="C51" s="2273"/>
      <c r="D51" s="2273"/>
      <c r="E51" s="2273"/>
      <c r="F51" s="2273"/>
      <c r="G51" s="2273"/>
      <c r="H51" s="2273"/>
      <c r="I51" s="2273"/>
      <c r="J51" s="2273"/>
      <c r="K51" s="2273"/>
      <c r="L51" s="2273"/>
      <c r="M51" s="2273"/>
      <c r="N51" s="2273"/>
      <c r="O51" s="2273"/>
      <c r="P51" s="2273"/>
      <c r="Q51" s="2273"/>
    </row>
    <row r="52" spans="2:17" s="749" customFormat="1">
      <c r="B52" s="2273"/>
      <c r="C52" s="2273"/>
      <c r="D52" s="2273"/>
      <c r="E52" s="2273"/>
      <c r="F52" s="2273"/>
      <c r="G52" s="2273"/>
      <c r="H52" s="2273"/>
      <c r="I52" s="2273"/>
      <c r="J52" s="2273"/>
      <c r="K52" s="2273"/>
      <c r="L52" s="2273"/>
      <c r="M52" s="2273"/>
      <c r="N52" s="2273"/>
      <c r="O52" s="2273"/>
      <c r="P52" s="2273"/>
      <c r="Q52" s="2273"/>
    </row>
    <row r="53" spans="2:17" s="749" customFormat="1">
      <c r="B53" s="2273"/>
      <c r="C53" s="2273"/>
      <c r="D53" s="2273"/>
      <c r="E53" s="2273"/>
      <c r="F53" s="2273"/>
      <c r="G53" s="2273"/>
      <c r="H53" s="2273"/>
      <c r="I53" s="2273"/>
      <c r="J53" s="2273"/>
      <c r="K53" s="2273"/>
      <c r="L53" s="2273"/>
      <c r="M53" s="2273"/>
      <c r="N53" s="2273"/>
      <c r="O53" s="2273"/>
      <c r="P53" s="2273"/>
      <c r="Q53" s="2273"/>
    </row>
    <row r="54" spans="2:17" s="749" customFormat="1">
      <c r="B54" s="2273"/>
      <c r="C54" s="2273"/>
      <c r="D54" s="2273"/>
      <c r="E54" s="2273"/>
      <c r="F54" s="2273"/>
      <c r="G54" s="2273"/>
      <c r="H54" s="2273"/>
      <c r="I54" s="2273"/>
      <c r="J54" s="2273"/>
      <c r="K54" s="2273"/>
      <c r="L54" s="2273"/>
      <c r="M54" s="2273"/>
      <c r="N54" s="2273"/>
      <c r="O54" s="2273"/>
      <c r="P54" s="2273"/>
      <c r="Q54" s="2273"/>
    </row>
    <row r="55" spans="2:17" s="749" customFormat="1">
      <c r="B55" s="2273"/>
      <c r="C55" s="2273"/>
      <c r="D55" s="2273"/>
      <c r="E55" s="2273"/>
      <c r="F55" s="2273"/>
      <c r="G55" s="2273"/>
      <c r="H55" s="2273"/>
      <c r="I55" s="2273"/>
      <c r="J55" s="2273"/>
      <c r="K55" s="2273"/>
      <c r="L55" s="2273"/>
      <c r="M55" s="2273"/>
      <c r="N55" s="2273"/>
      <c r="O55" s="2273"/>
      <c r="P55" s="2273"/>
      <c r="Q55" s="2273"/>
    </row>
    <row r="56" spans="2:17" s="749" customFormat="1">
      <c r="B56" s="2273"/>
      <c r="C56" s="2273"/>
      <c r="D56" s="2273"/>
      <c r="E56" s="2273"/>
      <c r="F56" s="2273"/>
      <c r="G56" s="2273"/>
      <c r="H56" s="2273"/>
      <c r="I56" s="2273"/>
      <c r="J56" s="2273"/>
      <c r="K56" s="2273"/>
      <c r="L56" s="2273"/>
      <c r="M56" s="2273"/>
      <c r="N56" s="2273"/>
      <c r="O56" s="2273"/>
      <c r="P56" s="2273"/>
      <c r="Q56" s="2273"/>
    </row>
    <row r="57" spans="2:17" s="749" customFormat="1">
      <c r="B57" s="2273"/>
      <c r="C57" s="2273"/>
      <c r="D57" s="2273"/>
      <c r="E57" s="2273"/>
      <c r="F57" s="2273"/>
      <c r="G57" s="2273"/>
      <c r="H57" s="2273"/>
      <c r="I57" s="2273"/>
      <c r="J57" s="2273"/>
      <c r="K57" s="2273"/>
      <c r="L57" s="2273"/>
      <c r="M57" s="2273"/>
      <c r="N57" s="2273"/>
      <c r="O57" s="2273"/>
      <c r="P57" s="2273"/>
      <c r="Q57" s="2273"/>
    </row>
    <row r="58" spans="2:17" s="749" customFormat="1">
      <c r="B58" s="2273"/>
      <c r="C58" s="2273"/>
      <c r="D58" s="2273"/>
      <c r="E58" s="2273"/>
      <c r="F58" s="2273"/>
      <c r="G58" s="2273"/>
      <c r="H58" s="2273"/>
      <c r="I58" s="2273"/>
      <c r="J58" s="2273"/>
      <c r="K58" s="2273"/>
      <c r="L58" s="2273"/>
      <c r="M58" s="2273"/>
      <c r="N58" s="2273"/>
      <c r="O58" s="2273"/>
      <c r="P58" s="2273"/>
      <c r="Q58" s="2273"/>
    </row>
    <row r="59" spans="2:17" s="749" customFormat="1">
      <c r="B59" s="2273"/>
      <c r="C59" s="2273"/>
      <c r="D59" s="2273"/>
      <c r="E59" s="2273"/>
      <c r="F59" s="2273"/>
      <c r="G59" s="2273"/>
      <c r="H59" s="2273"/>
      <c r="I59" s="2273"/>
      <c r="J59" s="2273"/>
      <c r="K59" s="2273"/>
      <c r="L59" s="2273"/>
      <c r="M59" s="2273"/>
      <c r="N59" s="2273"/>
      <c r="O59" s="2273"/>
      <c r="P59" s="2273"/>
      <c r="Q59" s="2273"/>
    </row>
    <row r="60" spans="2:17" s="749" customFormat="1">
      <c r="B60" s="2273"/>
      <c r="C60" s="2273"/>
      <c r="D60" s="2273"/>
      <c r="E60" s="2273"/>
      <c r="F60" s="2273"/>
      <c r="G60" s="2273"/>
      <c r="H60" s="2273"/>
      <c r="I60" s="2273"/>
      <c r="J60" s="2273"/>
      <c r="K60" s="2273"/>
      <c r="L60" s="2273"/>
      <c r="M60" s="2273"/>
      <c r="N60" s="2273"/>
      <c r="O60" s="2273"/>
      <c r="P60" s="2273"/>
      <c r="Q60" s="2273"/>
    </row>
    <row r="61" spans="2:17" s="749" customFormat="1">
      <c r="B61" s="2273"/>
      <c r="C61" s="2273"/>
      <c r="D61" s="2273"/>
      <c r="E61" s="2273"/>
      <c r="F61" s="2273"/>
      <c r="G61" s="2273"/>
      <c r="H61" s="2273"/>
      <c r="I61" s="2273"/>
      <c r="J61" s="2273"/>
      <c r="K61" s="2273"/>
      <c r="L61" s="2273"/>
      <c r="M61" s="2273"/>
      <c r="N61" s="2273"/>
      <c r="O61" s="2273"/>
      <c r="P61" s="2273"/>
      <c r="Q61" s="2273"/>
    </row>
    <row r="62" spans="2:17" s="749" customFormat="1">
      <c r="B62" s="2273"/>
      <c r="C62" s="2273"/>
      <c r="D62" s="2273"/>
      <c r="E62" s="2273"/>
      <c r="F62" s="2273"/>
      <c r="G62" s="2273"/>
      <c r="H62" s="2273"/>
      <c r="I62" s="2273"/>
      <c r="J62" s="2273"/>
      <c r="K62" s="2273"/>
      <c r="L62" s="2273"/>
      <c r="M62" s="2273"/>
      <c r="N62" s="2273"/>
      <c r="O62" s="2273"/>
      <c r="P62" s="2273"/>
      <c r="Q62" s="2273"/>
    </row>
    <row r="63" spans="2:17" s="749" customFormat="1">
      <c r="B63" s="2273"/>
      <c r="C63" s="2273"/>
      <c r="D63" s="2273"/>
      <c r="E63" s="2273"/>
      <c r="F63" s="2273"/>
      <c r="G63" s="2273"/>
      <c r="H63" s="2273"/>
      <c r="I63" s="2273"/>
      <c r="J63" s="2273"/>
      <c r="K63" s="2273"/>
      <c r="L63" s="2273"/>
      <c r="M63" s="2273"/>
      <c r="N63" s="2273"/>
      <c r="O63" s="2273"/>
      <c r="P63" s="2273"/>
      <c r="Q63" s="2273"/>
    </row>
    <row r="64" spans="2:17" s="749" customFormat="1">
      <c r="B64" s="2273"/>
      <c r="C64" s="2273"/>
      <c r="D64" s="2273"/>
      <c r="E64" s="2273"/>
      <c r="F64" s="2273"/>
      <c r="G64" s="2273"/>
      <c r="H64" s="2273"/>
      <c r="I64" s="2273"/>
      <c r="J64" s="2273"/>
      <c r="K64" s="2273"/>
      <c r="L64" s="2273"/>
      <c r="M64" s="2273"/>
      <c r="N64" s="2273"/>
      <c r="O64" s="2273"/>
      <c r="P64" s="2273"/>
      <c r="Q64" s="2273"/>
    </row>
    <row r="65" spans="2:17" s="749" customFormat="1">
      <c r="B65" s="2273"/>
      <c r="C65" s="2273"/>
      <c r="D65" s="2273"/>
      <c r="E65" s="2273"/>
      <c r="F65" s="2273"/>
      <c r="G65" s="2273"/>
      <c r="H65" s="2273"/>
      <c r="I65" s="2273"/>
      <c r="J65" s="2273"/>
      <c r="K65" s="2273"/>
      <c r="L65" s="2273"/>
      <c r="M65" s="2273"/>
      <c r="N65" s="2273"/>
      <c r="O65" s="2273"/>
      <c r="P65" s="2273"/>
      <c r="Q65" s="2273"/>
    </row>
    <row r="66" spans="2:17" s="749" customFormat="1">
      <c r="B66" s="2273"/>
      <c r="C66" s="2273"/>
      <c r="D66" s="2273"/>
      <c r="E66" s="2273"/>
      <c r="F66" s="2273"/>
      <c r="G66" s="2273"/>
      <c r="H66" s="2273"/>
      <c r="I66" s="2273"/>
      <c r="J66" s="2273"/>
      <c r="K66" s="2273"/>
      <c r="L66" s="2273"/>
      <c r="M66" s="2273"/>
      <c r="N66" s="2273"/>
      <c r="O66" s="2273"/>
      <c r="P66" s="2273"/>
      <c r="Q66" s="2273"/>
    </row>
    <row r="67" spans="2:17" s="749" customFormat="1">
      <c r="B67" s="2273"/>
      <c r="C67" s="2273"/>
      <c r="D67" s="2273"/>
      <c r="E67" s="2273"/>
      <c r="F67" s="2273"/>
      <c r="G67" s="2273"/>
      <c r="H67" s="2273"/>
      <c r="I67" s="2273"/>
      <c r="J67" s="2273"/>
      <c r="K67" s="2273"/>
      <c r="L67" s="2273"/>
      <c r="M67" s="2273"/>
      <c r="N67" s="2273"/>
      <c r="O67" s="2273"/>
      <c r="P67" s="2273"/>
      <c r="Q67" s="2273"/>
    </row>
    <row r="68" spans="2:17" s="749" customFormat="1">
      <c r="B68" s="2273"/>
      <c r="C68" s="2273"/>
      <c r="D68" s="2273"/>
      <c r="E68" s="2273"/>
      <c r="F68" s="2273"/>
      <c r="G68" s="2273"/>
      <c r="H68" s="2273"/>
      <c r="I68" s="2273"/>
      <c r="J68" s="2273"/>
      <c r="K68" s="2273"/>
      <c r="L68" s="2273"/>
      <c r="M68" s="2273"/>
      <c r="N68" s="2273"/>
      <c r="O68" s="2273"/>
      <c r="P68" s="2273"/>
      <c r="Q68" s="2273"/>
    </row>
    <row r="69" spans="2:17" s="749" customFormat="1">
      <c r="B69" s="2273"/>
      <c r="C69" s="2273"/>
      <c r="D69" s="2273"/>
      <c r="E69" s="2273"/>
      <c r="F69" s="2273"/>
      <c r="G69" s="2273"/>
      <c r="H69" s="2273"/>
      <c r="I69" s="2273"/>
      <c r="J69" s="2273"/>
      <c r="K69" s="2273"/>
      <c r="L69" s="2273"/>
      <c r="M69" s="2273"/>
      <c r="N69" s="2273"/>
      <c r="O69" s="2273"/>
      <c r="P69" s="2273"/>
      <c r="Q69" s="2273"/>
    </row>
    <row r="70" spans="2:17" s="749" customFormat="1">
      <c r="B70" s="2273"/>
      <c r="C70" s="2273"/>
      <c r="D70" s="2273"/>
      <c r="E70" s="2273"/>
      <c r="F70" s="2273"/>
      <c r="G70" s="2273"/>
      <c r="H70" s="2273"/>
      <c r="I70" s="2273"/>
      <c r="J70" s="2273"/>
      <c r="K70" s="2273"/>
      <c r="L70" s="2273"/>
      <c r="M70" s="2273"/>
      <c r="N70" s="2273"/>
      <c r="O70" s="2273"/>
      <c r="P70" s="2273"/>
      <c r="Q70" s="2273"/>
    </row>
    <row r="71" spans="2:17" s="749" customFormat="1">
      <c r="B71" s="2273"/>
      <c r="C71" s="2273"/>
      <c r="D71" s="2273"/>
      <c r="E71" s="2273"/>
      <c r="F71" s="2273"/>
      <c r="G71" s="2273"/>
      <c r="H71" s="2273"/>
      <c r="I71" s="2273"/>
      <c r="J71" s="2273"/>
      <c r="K71" s="2273"/>
      <c r="L71" s="2273"/>
      <c r="M71" s="2273"/>
      <c r="N71" s="2273"/>
      <c r="O71" s="2273"/>
      <c r="P71" s="2273"/>
      <c r="Q71" s="2273"/>
    </row>
    <row r="72" spans="2:17" s="749" customFormat="1">
      <c r="B72" s="2273"/>
      <c r="C72" s="2273"/>
      <c r="D72" s="2273"/>
      <c r="E72" s="2273"/>
      <c r="F72" s="2273"/>
      <c r="G72" s="2273"/>
      <c r="H72" s="2273"/>
      <c r="I72" s="2273"/>
      <c r="J72" s="2273"/>
      <c r="K72" s="2273"/>
      <c r="L72" s="2273"/>
      <c r="M72" s="2273"/>
      <c r="N72" s="2273"/>
      <c r="O72" s="2273"/>
      <c r="P72" s="2273"/>
      <c r="Q72" s="2273"/>
    </row>
    <row r="73" spans="2:17" s="749" customFormat="1">
      <c r="B73" s="2273"/>
      <c r="C73" s="2273"/>
      <c r="D73" s="2273"/>
      <c r="E73" s="2273"/>
      <c r="F73" s="2273"/>
      <c r="G73" s="2273"/>
      <c r="H73" s="2273"/>
      <c r="I73" s="2273"/>
      <c r="J73" s="2273"/>
      <c r="K73" s="2273"/>
      <c r="L73" s="2273"/>
      <c r="M73" s="2273"/>
      <c r="N73" s="2273"/>
      <c r="O73" s="2273"/>
      <c r="P73" s="2273"/>
      <c r="Q73" s="2273"/>
    </row>
    <row r="74" spans="2:17" s="749" customFormat="1">
      <c r="B74" s="2273"/>
      <c r="C74" s="2273"/>
      <c r="D74" s="2273"/>
      <c r="E74" s="2273"/>
      <c r="F74" s="2273"/>
      <c r="G74" s="2273"/>
      <c r="H74" s="2273"/>
      <c r="I74" s="2273"/>
      <c r="J74" s="2273"/>
      <c r="K74" s="2273"/>
      <c r="L74" s="2273"/>
      <c r="M74" s="2273"/>
      <c r="N74" s="2273"/>
      <c r="O74" s="2273"/>
      <c r="P74" s="2273"/>
      <c r="Q74" s="2273"/>
    </row>
    <row r="75" spans="2:17" s="749" customFormat="1">
      <c r="B75" s="2273"/>
      <c r="C75" s="2273"/>
      <c r="D75" s="2273"/>
      <c r="E75" s="2273"/>
      <c r="F75" s="2273"/>
      <c r="G75" s="2273"/>
      <c r="H75" s="2273"/>
      <c r="I75" s="2273"/>
      <c r="J75" s="2273"/>
      <c r="K75" s="2273"/>
      <c r="L75" s="2273"/>
      <c r="M75" s="2273"/>
      <c r="N75" s="2273"/>
      <c r="O75" s="2273"/>
      <c r="P75" s="2273"/>
      <c r="Q75" s="2273"/>
    </row>
    <row r="76" spans="2:17" s="749" customFormat="1">
      <c r="B76" s="2273"/>
      <c r="C76" s="2273"/>
      <c r="D76" s="2273"/>
      <c r="E76" s="2273"/>
      <c r="F76" s="2273"/>
      <c r="G76" s="2273"/>
      <c r="H76" s="2273"/>
      <c r="I76" s="2273"/>
      <c r="J76" s="2273"/>
      <c r="K76" s="2273"/>
      <c r="L76" s="2273"/>
      <c r="M76" s="2273"/>
      <c r="N76" s="2273"/>
      <c r="O76" s="2273"/>
      <c r="P76" s="2273"/>
      <c r="Q76" s="2273"/>
    </row>
    <row r="77" spans="2:17" s="749" customFormat="1">
      <c r="B77" s="2273"/>
      <c r="C77" s="2273"/>
      <c r="D77" s="2273"/>
      <c r="E77" s="2273"/>
      <c r="F77" s="2273"/>
      <c r="G77" s="2273"/>
      <c r="H77" s="2273"/>
      <c r="I77" s="2273"/>
      <c r="J77" s="2273"/>
      <c r="K77" s="2273"/>
      <c r="L77" s="2273"/>
      <c r="M77" s="2273"/>
      <c r="N77" s="2273"/>
      <c r="O77" s="2273"/>
      <c r="P77" s="2273"/>
      <c r="Q77" s="2273"/>
    </row>
    <row r="78" spans="2:17" s="749" customFormat="1">
      <c r="B78" s="2273"/>
      <c r="C78" s="2273"/>
      <c r="D78" s="2273"/>
      <c r="E78" s="2273"/>
      <c r="F78" s="2273"/>
      <c r="G78" s="2273"/>
      <c r="H78" s="2273"/>
      <c r="I78" s="2273"/>
      <c r="J78" s="2273"/>
      <c r="K78" s="2273"/>
      <c r="L78" s="2273"/>
      <c r="M78" s="2273"/>
      <c r="N78" s="2273"/>
      <c r="O78" s="2273"/>
      <c r="P78" s="2273"/>
      <c r="Q78" s="2273"/>
    </row>
    <row r="79" spans="2:17" s="749" customFormat="1">
      <c r="B79" s="2273"/>
      <c r="C79" s="2273"/>
      <c r="D79" s="2273"/>
      <c r="E79" s="2273"/>
      <c r="F79" s="2273"/>
      <c r="G79" s="2273"/>
      <c r="H79" s="2273"/>
      <c r="I79" s="2273"/>
      <c r="J79" s="2273"/>
      <c r="K79" s="2273"/>
      <c r="L79" s="2273"/>
      <c r="M79" s="2273"/>
      <c r="N79" s="2273"/>
      <c r="O79" s="2273"/>
      <c r="P79" s="2273"/>
      <c r="Q79" s="2273"/>
    </row>
    <row r="80" spans="2:17" s="749" customFormat="1">
      <c r="B80" s="2273"/>
      <c r="C80" s="2273"/>
      <c r="D80" s="2273"/>
      <c r="E80" s="2273"/>
      <c r="F80" s="2273"/>
      <c r="G80" s="2273"/>
      <c r="H80" s="2273"/>
      <c r="I80" s="2273"/>
      <c r="J80" s="2273"/>
      <c r="K80" s="2273"/>
      <c r="L80" s="2273"/>
      <c r="M80" s="2273"/>
      <c r="N80" s="2273"/>
      <c r="O80" s="2273"/>
      <c r="P80" s="2273"/>
      <c r="Q80" s="2273"/>
    </row>
    <row r="81" spans="2:17" s="749" customFormat="1">
      <c r="B81" s="2273"/>
      <c r="C81" s="2273"/>
      <c r="D81" s="2273"/>
      <c r="E81" s="2273"/>
      <c r="F81" s="2273"/>
      <c r="G81" s="2273"/>
      <c r="H81" s="2273"/>
      <c r="I81" s="2273"/>
      <c r="J81" s="2273"/>
      <c r="K81" s="2273"/>
      <c r="L81" s="2273"/>
      <c r="M81" s="2273"/>
      <c r="N81" s="2273"/>
      <c r="O81" s="2273"/>
      <c r="P81" s="2273"/>
      <c r="Q81" s="2273"/>
    </row>
    <row r="82" spans="2:17" s="749" customFormat="1">
      <c r="B82" s="2273"/>
      <c r="C82" s="2273"/>
      <c r="D82" s="2273"/>
      <c r="E82" s="2273"/>
      <c r="F82" s="2273"/>
      <c r="G82" s="2273"/>
      <c r="H82" s="2273"/>
      <c r="I82" s="2273"/>
      <c r="J82" s="2273"/>
      <c r="K82" s="2273"/>
      <c r="L82" s="2273"/>
      <c r="M82" s="2273"/>
      <c r="N82" s="2273"/>
      <c r="O82" s="2273"/>
      <c r="P82" s="2273"/>
      <c r="Q82" s="2273"/>
    </row>
    <row r="83" spans="2:17" s="749" customFormat="1">
      <c r="B83" s="2273"/>
      <c r="C83" s="2273"/>
      <c r="D83" s="2273"/>
      <c r="E83" s="2273"/>
      <c r="F83" s="2273"/>
      <c r="G83" s="2273"/>
      <c r="H83" s="2273"/>
      <c r="I83" s="2273"/>
      <c r="J83" s="2273"/>
      <c r="K83" s="2273"/>
      <c r="L83" s="2273"/>
      <c r="M83" s="2273"/>
      <c r="N83" s="2273"/>
      <c r="O83" s="2273"/>
      <c r="P83" s="2273"/>
      <c r="Q83" s="2273"/>
    </row>
    <row r="84" spans="2:17" s="749" customFormat="1">
      <c r="B84" s="2273"/>
      <c r="C84" s="2273"/>
      <c r="D84" s="2273"/>
      <c r="E84" s="2273"/>
      <c r="F84" s="2273"/>
      <c r="G84" s="2273"/>
      <c r="H84" s="2273"/>
      <c r="I84" s="2273"/>
      <c r="J84" s="2273"/>
      <c r="K84" s="2273"/>
      <c r="L84" s="2273"/>
      <c r="M84" s="2273"/>
      <c r="N84" s="2273"/>
      <c r="O84" s="2273"/>
      <c r="P84" s="2273"/>
      <c r="Q84" s="2273"/>
    </row>
    <row r="85" spans="2:17" s="749" customFormat="1">
      <c r="B85" s="2273"/>
      <c r="C85" s="2273"/>
      <c r="D85" s="2273"/>
      <c r="E85" s="2273"/>
      <c r="F85" s="2273"/>
      <c r="G85" s="2273"/>
      <c r="H85" s="2273"/>
      <c r="I85" s="2273"/>
      <c r="J85" s="2273"/>
      <c r="K85" s="2273"/>
      <c r="L85" s="2273"/>
      <c r="M85" s="2273"/>
      <c r="N85" s="2273"/>
      <c r="O85" s="2273"/>
      <c r="P85" s="2273"/>
      <c r="Q85" s="2273"/>
    </row>
    <row r="86" spans="2:17" s="749" customFormat="1">
      <c r="B86" s="2273"/>
      <c r="C86" s="2273"/>
      <c r="D86" s="2273"/>
      <c r="E86" s="2273"/>
      <c r="F86" s="2273"/>
      <c r="G86" s="2273"/>
      <c r="H86" s="2273"/>
      <c r="I86" s="2273"/>
      <c r="J86" s="2273"/>
      <c r="K86" s="2273"/>
      <c r="L86" s="2273"/>
      <c r="M86" s="2273"/>
      <c r="N86" s="2273"/>
      <c r="O86" s="2273"/>
      <c r="P86" s="2273"/>
      <c r="Q86" s="2273"/>
    </row>
    <row r="87" spans="2:17" s="749" customFormat="1">
      <c r="B87" s="2273"/>
      <c r="C87" s="2273"/>
      <c r="D87" s="2273"/>
      <c r="E87" s="2273"/>
      <c r="F87" s="2273"/>
      <c r="G87" s="2273"/>
      <c r="H87" s="2273"/>
      <c r="I87" s="2273"/>
      <c r="J87" s="2273"/>
      <c r="K87" s="2273"/>
      <c r="L87" s="2273"/>
      <c r="M87" s="2273"/>
      <c r="N87" s="2273"/>
      <c r="O87" s="2273"/>
      <c r="P87" s="2273"/>
      <c r="Q87" s="2273"/>
    </row>
    <row r="88" spans="2:17" s="749" customFormat="1">
      <c r="B88" s="2273"/>
      <c r="C88" s="2273"/>
      <c r="D88" s="2273"/>
      <c r="E88" s="2273"/>
      <c r="F88" s="2273"/>
      <c r="G88" s="2273"/>
      <c r="H88" s="2273"/>
      <c r="I88" s="2273"/>
      <c r="J88" s="2273"/>
      <c r="K88" s="2273"/>
      <c r="L88" s="2273"/>
      <c r="M88" s="2273"/>
      <c r="N88" s="2273"/>
      <c r="O88" s="2273"/>
      <c r="P88" s="2273"/>
      <c r="Q88" s="2273"/>
    </row>
    <row r="89" spans="2:17" s="749" customFormat="1">
      <c r="B89" s="2273"/>
      <c r="C89" s="2273"/>
      <c r="D89" s="2273"/>
      <c r="E89" s="2273"/>
      <c r="F89" s="2273"/>
      <c r="G89" s="2273"/>
      <c r="H89" s="2273"/>
      <c r="I89" s="2273"/>
      <c r="J89" s="2273"/>
      <c r="K89" s="2273"/>
      <c r="L89" s="2273"/>
      <c r="M89" s="2273"/>
      <c r="N89" s="2273"/>
      <c r="O89" s="2273"/>
      <c r="P89" s="2273"/>
      <c r="Q89" s="2273"/>
    </row>
    <row r="90" spans="2:17" s="749" customFormat="1">
      <c r="B90" s="2273"/>
      <c r="C90" s="2273"/>
      <c r="D90" s="2273"/>
      <c r="E90" s="2273"/>
      <c r="F90" s="2273"/>
      <c r="G90" s="2273"/>
      <c r="H90" s="2273"/>
      <c r="I90" s="2273"/>
      <c r="J90" s="2273"/>
      <c r="K90" s="2273"/>
      <c r="L90" s="2273"/>
      <c r="M90" s="2273"/>
      <c r="N90" s="2273"/>
      <c r="O90" s="2273"/>
      <c r="P90" s="2273"/>
      <c r="Q90" s="2273"/>
    </row>
    <row r="91" spans="2:17" s="749" customFormat="1">
      <c r="B91" s="2273"/>
      <c r="C91" s="2273"/>
      <c r="D91" s="2273"/>
      <c r="E91" s="2273"/>
      <c r="F91" s="2273"/>
      <c r="G91" s="2273"/>
      <c r="H91" s="2273"/>
      <c r="I91" s="2273"/>
      <c r="J91" s="2273"/>
      <c r="K91" s="2273"/>
      <c r="L91" s="2273"/>
      <c r="M91" s="2273"/>
      <c r="N91" s="2273"/>
      <c r="O91" s="2273"/>
      <c r="P91" s="2273"/>
      <c r="Q91" s="2273"/>
    </row>
    <row r="92" spans="2:17" s="749" customFormat="1">
      <c r="B92" s="2273"/>
      <c r="C92" s="2273"/>
      <c r="D92" s="2273"/>
      <c r="E92" s="2273"/>
      <c r="F92" s="2273"/>
      <c r="G92" s="2273"/>
      <c r="H92" s="2273"/>
      <c r="I92" s="2273"/>
      <c r="J92" s="2273"/>
      <c r="K92" s="2273"/>
      <c r="L92" s="2273"/>
      <c r="M92" s="2273"/>
      <c r="N92" s="2273"/>
      <c r="O92" s="2273"/>
      <c r="P92" s="2273"/>
      <c r="Q92" s="2273"/>
    </row>
    <row r="93" spans="2:17" s="749" customFormat="1">
      <c r="B93" s="2273"/>
      <c r="C93" s="2273"/>
      <c r="D93" s="2273"/>
      <c r="E93" s="2273"/>
      <c r="F93" s="2273"/>
      <c r="G93" s="2273"/>
      <c r="H93" s="2273"/>
      <c r="I93" s="2273"/>
      <c r="J93" s="2273"/>
      <c r="K93" s="2273"/>
      <c r="L93" s="2273"/>
      <c r="M93" s="2273"/>
      <c r="N93" s="2273"/>
      <c r="O93" s="2273"/>
      <c r="P93" s="2273"/>
      <c r="Q93" s="2273"/>
    </row>
    <row r="94" spans="2:17" s="749" customFormat="1">
      <c r="B94" s="2273"/>
      <c r="C94" s="2273"/>
      <c r="D94" s="2273"/>
      <c r="E94" s="2273"/>
      <c r="F94" s="2273"/>
      <c r="G94" s="2273"/>
      <c r="H94" s="2273"/>
      <c r="I94" s="2273"/>
      <c r="J94" s="2273"/>
      <c r="K94" s="2273"/>
      <c r="L94" s="2273"/>
      <c r="M94" s="2273"/>
      <c r="N94" s="2273"/>
      <c r="O94" s="2273"/>
      <c r="P94" s="2273"/>
      <c r="Q94" s="2273"/>
    </row>
    <row r="95" spans="2:17" s="749" customFormat="1">
      <c r="B95" s="2273"/>
      <c r="C95" s="2273"/>
      <c r="D95" s="2273"/>
      <c r="E95" s="2273"/>
      <c r="F95" s="2273"/>
      <c r="G95" s="2273"/>
      <c r="H95" s="2273"/>
      <c r="I95" s="2273"/>
      <c r="J95" s="2273"/>
      <c r="K95" s="2273"/>
      <c r="L95" s="2273"/>
      <c r="M95" s="2273"/>
      <c r="N95" s="2273"/>
      <c r="O95" s="2273"/>
      <c r="P95" s="2273"/>
      <c r="Q95" s="2273"/>
    </row>
    <row r="96" spans="2:17" s="749" customFormat="1">
      <c r="B96" s="2273"/>
      <c r="C96" s="2273"/>
      <c r="D96" s="2273"/>
      <c r="E96" s="2273"/>
      <c r="F96" s="2273"/>
      <c r="G96" s="2273"/>
      <c r="H96" s="2273"/>
      <c r="I96" s="2273"/>
      <c r="J96" s="2273"/>
      <c r="K96" s="2273"/>
      <c r="L96" s="2273"/>
      <c r="M96" s="2273"/>
      <c r="N96" s="2273"/>
      <c r="O96" s="2273"/>
      <c r="P96" s="2273"/>
      <c r="Q96" s="2273"/>
    </row>
    <row r="97" spans="2:17" s="749" customFormat="1">
      <c r="B97" s="2273"/>
      <c r="C97" s="2273"/>
      <c r="D97" s="2273"/>
      <c r="E97" s="2273"/>
      <c r="F97" s="2273"/>
      <c r="G97" s="2273"/>
      <c r="H97" s="2273"/>
      <c r="I97" s="2273"/>
      <c r="J97" s="2273"/>
      <c r="K97" s="2273"/>
      <c r="L97" s="2273"/>
      <c r="M97" s="2273"/>
      <c r="N97" s="2273"/>
      <c r="O97" s="2273"/>
      <c r="P97" s="2273"/>
      <c r="Q97" s="2273"/>
    </row>
    <row r="98" spans="2:17" s="749" customFormat="1">
      <c r="B98" s="2273"/>
      <c r="C98" s="2273"/>
      <c r="D98" s="2273"/>
      <c r="E98" s="2273"/>
      <c r="F98" s="2273"/>
      <c r="G98" s="2273"/>
      <c r="H98" s="2273"/>
      <c r="I98" s="2273"/>
      <c r="J98" s="2273"/>
      <c r="K98" s="2273"/>
      <c r="L98" s="2273"/>
      <c r="M98" s="2273"/>
      <c r="N98" s="2273"/>
      <c r="O98" s="2273"/>
      <c r="P98" s="2273"/>
      <c r="Q98" s="2273"/>
    </row>
    <row r="99" spans="2:17" s="749" customFormat="1">
      <c r="B99" s="2273"/>
      <c r="C99" s="2273"/>
      <c r="D99" s="2273"/>
      <c r="E99" s="2273"/>
      <c r="F99" s="2273"/>
      <c r="G99" s="2273"/>
      <c r="H99" s="2273"/>
      <c r="I99" s="2273"/>
      <c r="J99" s="2273"/>
      <c r="K99" s="2273"/>
      <c r="L99" s="2273"/>
      <c r="M99" s="2273"/>
      <c r="N99" s="2273"/>
      <c r="O99" s="2273"/>
      <c r="P99" s="2273"/>
      <c r="Q99" s="2273"/>
    </row>
    <row r="100" spans="2:17" s="749" customFormat="1">
      <c r="B100" s="2273"/>
      <c r="C100" s="2273"/>
      <c r="D100" s="2273"/>
      <c r="E100" s="2273"/>
      <c r="F100" s="2273"/>
      <c r="G100" s="2273"/>
      <c r="H100" s="2273"/>
      <c r="I100" s="2273"/>
      <c r="J100" s="2273"/>
      <c r="K100" s="2273"/>
      <c r="L100" s="2273"/>
      <c r="M100" s="2273"/>
      <c r="N100" s="2273"/>
      <c r="O100" s="2273"/>
      <c r="P100" s="2273"/>
      <c r="Q100" s="2273"/>
    </row>
    <row r="101" spans="2:17" s="749" customFormat="1">
      <c r="B101" s="2273"/>
      <c r="C101" s="2273"/>
      <c r="D101" s="2273"/>
      <c r="E101" s="2273"/>
      <c r="F101" s="2273"/>
      <c r="G101" s="2273"/>
      <c r="H101" s="2273"/>
      <c r="I101" s="2273"/>
      <c r="J101" s="2273"/>
      <c r="K101" s="2273"/>
      <c r="L101" s="2273"/>
      <c r="M101" s="2273"/>
      <c r="N101" s="2273"/>
      <c r="O101" s="2273"/>
      <c r="P101" s="2273"/>
      <c r="Q101" s="2273"/>
    </row>
    <row r="102" spans="2:17" s="749" customFormat="1">
      <c r="B102" s="2273"/>
      <c r="C102" s="2273"/>
      <c r="D102" s="2273"/>
      <c r="E102" s="2273"/>
      <c r="F102" s="2273"/>
      <c r="G102" s="2273"/>
      <c r="H102" s="2273"/>
      <c r="I102" s="2273"/>
      <c r="J102" s="2273"/>
      <c r="K102" s="2273"/>
      <c r="L102" s="2273"/>
      <c r="M102" s="2273"/>
      <c r="N102" s="2273"/>
      <c r="O102" s="2273"/>
      <c r="P102" s="2273"/>
      <c r="Q102" s="2273"/>
    </row>
    <row r="103" spans="2:17" s="749" customFormat="1">
      <c r="B103" s="2273"/>
      <c r="C103" s="2273"/>
      <c r="D103" s="2273"/>
      <c r="E103" s="2273"/>
      <c r="F103" s="2273"/>
      <c r="G103" s="2273"/>
      <c r="H103" s="2273"/>
      <c r="I103" s="2273"/>
      <c r="J103" s="2273"/>
      <c r="K103" s="2273"/>
      <c r="L103" s="2273"/>
      <c r="M103" s="2273"/>
      <c r="N103" s="2273"/>
      <c r="O103" s="2273"/>
      <c r="P103" s="2273"/>
      <c r="Q103" s="2273"/>
    </row>
    <row r="104" spans="2:17" s="749" customFormat="1">
      <c r="B104" s="2273"/>
      <c r="C104" s="2273"/>
      <c r="D104" s="2273"/>
      <c r="E104" s="2273"/>
      <c r="F104" s="2273"/>
      <c r="G104" s="2273"/>
      <c r="H104" s="2273"/>
      <c r="I104" s="2273"/>
      <c r="J104" s="2273"/>
      <c r="K104" s="2273"/>
      <c r="L104" s="2273"/>
      <c r="M104" s="2273"/>
      <c r="N104" s="2273"/>
      <c r="O104" s="2273"/>
      <c r="P104" s="2273"/>
      <c r="Q104" s="2273"/>
    </row>
    <row r="105" spans="2:17" s="749" customFormat="1">
      <c r="B105" s="2273"/>
      <c r="C105" s="2273"/>
      <c r="D105" s="2273"/>
      <c r="E105" s="2273"/>
      <c r="F105" s="2273"/>
      <c r="G105" s="2273"/>
      <c r="H105" s="2273"/>
      <c r="I105" s="2273"/>
      <c r="J105" s="2273"/>
      <c r="K105" s="2273"/>
      <c r="L105" s="2273"/>
      <c r="M105" s="2273"/>
      <c r="N105" s="2273"/>
      <c r="O105" s="2273"/>
      <c r="P105" s="2273"/>
      <c r="Q105" s="2273"/>
    </row>
    <row r="106" spans="2:17" s="749" customFormat="1">
      <c r="B106" s="2273"/>
      <c r="C106" s="2273"/>
      <c r="D106" s="2273"/>
      <c r="E106" s="2273"/>
      <c r="F106" s="2273"/>
      <c r="G106" s="2273"/>
      <c r="H106" s="2273"/>
      <c r="I106" s="2273"/>
      <c r="J106" s="2273"/>
      <c r="K106" s="2273"/>
      <c r="L106" s="2273"/>
      <c r="M106" s="2273"/>
      <c r="N106" s="2273"/>
      <c r="O106" s="2273"/>
      <c r="P106" s="2273"/>
      <c r="Q106" s="2273"/>
    </row>
    <row r="107" spans="2:17" s="749" customFormat="1">
      <c r="B107" s="2273"/>
      <c r="C107" s="2273"/>
      <c r="D107" s="2273"/>
      <c r="E107" s="2273"/>
      <c r="F107" s="2273"/>
      <c r="G107" s="2273"/>
      <c r="H107" s="2273"/>
      <c r="I107" s="2273"/>
      <c r="J107" s="2273"/>
      <c r="K107" s="2273"/>
      <c r="L107" s="2273"/>
      <c r="M107" s="2273"/>
      <c r="N107" s="2273"/>
      <c r="O107" s="2273"/>
      <c r="P107" s="2273"/>
      <c r="Q107" s="2273"/>
    </row>
    <row r="108" spans="2:17" s="749" customFormat="1">
      <c r="B108" s="2273"/>
      <c r="C108" s="2273"/>
      <c r="D108" s="2273"/>
      <c r="E108" s="2273"/>
      <c r="F108" s="2273"/>
      <c r="G108" s="2273"/>
      <c r="H108" s="2273"/>
      <c r="I108" s="2273"/>
      <c r="J108" s="2273"/>
      <c r="K108" s="2273"/>
      <c r="L108" s="2273"/>
      <c r="M108" s="2273"/>
      <c r="N108" s="2273"/>
      <c r="O108" s="2273"/>
      <c r="P108" s="2273"/>
      <c r="Q108" s="2273"/>
    </row>
    <row r="109" spans="2:17" s="749" customFormat="1">
      <c r="B109" s="2273"/>
      <c r="C109" s="2273"/>
      <c r="D109" s="2273"/>
      <c r="E109" s="2273"/>
      <c r="F109" s="2273"/>
      <c r="G109" s="2273"/>
      <c r="H109" s="2273"/>
      <c r="I109" s="2273"/>
      <c r="J109" s="2273"/>
      <c r="K109" s="2273"/>
      <c r="L109" s="2273"/>
      <c r="M109" s="2273"/>
      <c r="N109" s="2273"/>
      <c r="O109" s="2273"/>
      <c r="P109" s="2273"/>
      <c r="Q109" s="2273"/>
    </row>
    <row r="110" spans="2:17" s="749" customFormat="1">
      <c r="B110" s="2273"/>
      <c r="C110" s="2273"/>
      <c r="D110" s="2273"/>
      <c r="E110" s="2273"/>
      <c r="F110" s="2273"/>
      <c r="G110" s="2273"/>
      <c r="H110" s="2273"/>
      <c r="I110" s="2273"/>
      <c r="J110" s="2273"/>
      <c r="K110" s="2273"/>
      <c r="L110" s="2273"/>
      <c r="M110" s="2273"/>
      <c r="N110" s="2273"/>
      <c r="O110" s="2273"/>
      <c r="P110" s="2273"/>
      <c r="Q110" s="2273"/>
    </row>
    <row r="111" spans="2:17" s="749" customFormat="1">
      <c r="B111" s="2273"/>
      <c r="C111" s="2273"/>
      <c r="D111" s="2273"/>
      <c r="E111" s="2273"/>
      <c r="F111" s="2273"/>
      <c r="G111" s="2273"/>
      <c r="H111" s="2273"/>
      <c r="I111" s="2273"/>
      <c r="J111" s="2273"/>
      <c r="K111" s="2273"/>
      <c r="L111" s="2273"/>
      <c r="M111" s="2273"/>
      <c r="N111" s="2273"/>
      <c r="O111" s="2273"/>
      <c r="P111" s="2273"/>
      <c r="Q111" s="2273"/>
    </row>
    <row r="112" spans="2:17" s="749" customFormat="1">
      <c r="B112" s="2273"/>
      <c r="C112" s="2273"/>
      <c r="D112" s="2273"/>
      <c r="E112" s="2273"/>
      <c r="F112" s="2273"/>
      <c r="G112" s="2273"/>
      <c r="H112" s="2273"/>
      <c r="I112" s="2273"/>
      <c r="J112" s="2273"/>
      <c r="K112" s="2273"/>
      <c r="L112" s="2273"/>
      <c r="M112" s="2273"/>
      <c r="N112" s="2273"/>
      <c r="O112" s="2273"/>
      <c r="P112" s="2273"/>
      <c r="Q112" s="2273"/>
    </row>
    <row r="113" spans="2:17" s="749" customFormat="1">
      <c r="B113" s="2273"/>
      <c r="C113" s="2273"/>
      <c r="D113" s="2273"/>
      <c r="E113" s="2273"/>
      <c r="F113" s="2273"/>
      <c r="G113" s="2273"/>
      <c r="H113" s="2273"/>
      <c r="I113" s="2273"/>
      <c r="J113" s="2273"/>
      <c r="K113" s="2273"/>
      <c r="L113" s="2273"/>
      <c r="M113" s="2273"/>
      <c r="N113" s="2273"/>
      <c r="O113" s="2273"/>
      <c r="P113" s="2273"/>
      <c r="Q113" s="2273"/>
    </row>
    <row r="114" spans="2:17" s="749" customFormat="1">
      <c r="B114" s="2273"/>
      <c r="C114" s="2273"/>
      <c r="D114" s="2273"/>
      <c r="E114" s="2273"/>
      <c r="F114" s="2273"/>
      <c r="G114" s="2273"/>
      <c r="H114" s="2273"/>
      <c r="I114" s="2273"/>
      <c r="J114" s="2273"/>
      <c r="K114" s="2273"/>
      <c r="L114" s="2273"/>
      <c r="M114" s="2273"/>
      <c r="N114" s="2273"/>
      <c r="O114" s="2273"/>
      <c r="P114" s="2273"/>
      <c r="Q114" s="2273"/>
    </row>
    <row r="115" spans="2:17" s="749" customFormat="1">
      <c r="B115" s="2273"/>
      <c r="C115" s="2273"/>
      <c r="D115" s="2273"/>
      <c r="E115" s="2273"/>
      <c r="F115" s="2273"/>
      <c r="G115" s="2273"/>
      <c r="H115" s="2273"/>
      <c r="I115" s="2273"/>
      <c r="J115" s="2273"/>
      <c r="K115" s="2273"/>
      <c r="L115" s="2273"/>
      <c r="M115" s="2273"/>
      <c r="N115" s="2273"/>
      <c r="O115" s="2273"/>
      <c r="P115" s="2273"/>
      <c r="Q115" s="2273"/>
    </row>
    <row r="116" spans="2:17" s="749" customFormat="1">
      <c r="B116" s="2273"/>
      <c r="C116" s="2273"/>
      <c r="D116" s="2273"/>
      <c r="E116" s="2273"/>
      <c r="F116" s="2273"/>
      <c r="G116" s="2273"/>
      <c r="H116" s="2273"/>
      <c r="I116" s="2273"/>
      <c r="J116" s="2273"/>
      <c r="K116" s="2273"/>
      <c r="L116" s="2273"/>
      <c r="M116" s="2273"/>
      <c r="N116" s="2273"/>
      <c r="O116" s="2273"/>
      <c r="P116" s="2273"/>
      <c r="Q116" s="2273"/>
    </row>
    <row r="117" spans="2:17" s="749" customFormat="1">
      <c r="B117" s="2273"/>
      <c r="C117" s="2273"/>
      <c r="D117" s="2273"/>
      <c r="E117" s="2273"/>
      <c r="F117" s="2273"/>
      <c r="G117" s="2273"/>
      <c r="H117" s="2273"/>
      <c r="I117" s="2273"/>
      <c r="J117" s="2273"/>
      <c r="K117" s="2273"/>
      <c r="L117" s="2273"/>
      <c r="M117" s="2273"/>
      <c r="N117" s="2273"/>
      <c r="O117" s="2273"/>
      <c r="P117" s="2273"/>
      <c r="Q117" s="2273"/>
    </row>
    <row r="118" spans="2:17" s="749" customFormat="1">
      <c r="B118" s="2273"/>
      <c r="C118" s="2273"/>
      <c r="D118" s="2273"/>
      <c r="E118" s="2273"/>
      <c r="F118" s="2273"/>
      <c r="G118" s="2273"/>
      <c r="H118" s="2273"/>
      <c r="I118" s="2273"/>
      <c r="J118" s="2273"/>
      <c r="K118" s="2273"/>
      <c r="L118" s="2273"/>
      <c r="M118" s="2273"/>
      <c r="N118" s="2273"/>
      <c r="O118" s="2273"/>
      <c r="P118" s="2273"/>
      <c r="Q118" s="2273"/>
    </row>
    <row r="119" spans="2:17" s="749" customFormat="1">
      <c r="B119" s="2273"/>
      <c r="C119" s="2273"/>
      <c r="D119" s="2273"/>
      <c r="E119" s="2273"/>
      <c r="F119" s="2273"/>
      <c r="G119" s="2273"/>
      <c r="H119" s="2273"/>
      <c r="I119" s="2273"/>
      <c r="J119" s="2273"/>
      <c r="K119" s="2273"/>
      <c r="L119" s="2273"/>
      <c r="M119" s="2273"/>
      <c r="N119" s="2273"/>
      <c r="O119" s="2273"/>
      <c r="P119" s="2273"/>
      <c r="Q119" s="2273"/>
    </row>
    <row r="120" spans="2:17" s="749" customFormat="1">
      <c r="B120" s="2273"/>
      <c r="C120" s="2273"/>
      <c r="D120" s="2273"/>
      <c r="E120" s="2273"/>
      <c r="F120" s="2273"/>
      <c r="G120" s="2273"/>
      <c r="H120" s="2273"/>
      <c r="I120" s="2273"/>
      <c r="J120" s="2273"/>
      <c r="K120" s="2273"/>
      <c r="L120" s="2273"/>
      <c r="M120" s="2273"/>
      <c r="N120" s="2273"/>
      <c r="O120" s="2273"/>
      <c r="P120" s="2273"/>
      <c r="Q120" s="2273"/>
    </row>
    <row r="121" spans="2:17" s="749" customFormat="1">
      <c r="B121" s="2273"/>
      <c r="C121" s="2273"/>
      <c r="D121" s="2273"/>
      <c r="E121" s="2273"/>
      <c r="F121" s="2273"/>
      <c r="G121" s="2273"/>
      <c r="H121" s="2273"/>
      <c r="I121" s="2273"/>
      <c r="J121" s="2273"/>
      <c r="K121" s="2273"/>
      <c r="L121" s="2273"/>
      <c r="M121" s="2273"/>
      <c r="N121" s="2273"/>
      <c r="O121" s="2273"/>
      <c r="P121" s="2273"/>
      <c r="Q121" s="2273"/>
    </row>
    <row r="122" spans="2:17" s="749" customFormat="1">
      <c r="B122" s="2273"/>
      <c r="C122" s="2273"/>
      <c r="D122" s="2273"/>
      <c r="E122" s="2273"/>
      <c r="F122" s="2273"/>
      <c r="G122" s="2273"/>
      <c r="H122" s="2273"/>
      <c r="I122" s="2273"/>
      <c r="J122" s="2273"/>
      <c r="K122" s="2273"/>
      <c r="L122" s="2273"/>
      <c r="M122" s="2273"/>
      <c r="N122" s="2273"/>
      <c r="O122" s="2273"/>
      <c r="P122" s="2273"/>
      <c r="Q122" s="2273"/>
    </row>
    <row r="123" spans="2:17" s="749" customFormat="1">
      <c r="B123" s="2273"/>
      <c r="C123" s="2273"/>
      <c r="D123" s="2273"/>
      <c r="E123" s="2273"/>
      <c r="F123" s="2273"/>
      <c r="G123" s="2273"/>
      <c r="H123" s="2273"/>
      <c r="I123" s="2273"/>
      <c r="J123" s="2273"/>
      <c r="K123" s="2273"/>
      <c r="L123" s="2273"/>
      <c r="M123" s="2273"/>
      <c r="N123" s="2273"/>
      <c r="O123" s="2273"/>
      <c r="P123" s="2273"/>
      <c r="Q123" s="2273"/>
    </row>
    <row r="124" spans="2:17" s="749" customFormat="1">
      <c r="B124" s="2273"/>
      <c r="C124" s="2273"/>
      <c r="D124" s="2273"/>
      <c r="E124" s="2273"/>
      <c r="F124" s="2273"/>
      <c r="G124" s="2273"/>
      <c r="H124" s="2273"/>
      <c r="I124" s="2273"/>
      <c r="J124" s="2273"/>
      <c r="K124" s="2273"/>
      <c r="L124" s="2273"/>
      <c r="M124" s="2273"/>
      <c r="N124" s="2273"/>
      <c r="O124" s="2273"/>
      <c r="P124" s="2273"/>
      <c r="Q124" s="2273"/>
    </row>
    <row r="125" spans="2:17" s="749" customFormat="1">
      <c r="B125" s="2273"/>
      <c r="C125" s="2273"/>
      <c r="D125" s="2273"/>
      <c r="E125" s="2273"/>
      <c r="F125" s="2273"/>
      <c r="G125" s="2273"/>
      <c r="H125" s="2273"/>
      <c r="I125" s="2273"/>
      <c r="J125" s="2273"/>
      <c r="K125" s="2273"/>
      <c r="L125" s="2273"/>
      <c r="M125" s="2273"/>
      <c r="N125" s="2273"/>
      <c r="O125" s="2273"/>
      <c r="P125" s="2273"/>
      <c r="Q125" s="2273"/>
    </row>
    <row r="126" spans="2:17" s="749" customFormat="1">
      <c r="B126" s="2273"/>
      <c r="C126" s="2273"/>
      <c r="D126" s="2273"/>
      <c r="E126" s="2273"/>
      <c r="F126" s="2273"/>
      <c r="G126" s="2273"/>
      <c r="H126" s="2273"/>
      <c r="I126" s="2273"/>
      <c r="J126" s="2273"/>
      <c r="K126" s="2273"/>
      <c r="L126" s="2273"/>
      <c r="M126" s="2273"/>
      <c r="N126" s="2273"/>
      <c r="O126" s="2273"/>
      <c r="P126" s="2273"/>
      <c r="Q126" s="2273"/>
    </row>
    <row r="127" spans="2:17" s="749" customFormat="1">
      <c r="B127" s="2273"/>
      <c r="C127" s="2273"/>
      <c r="D127" s="2273"/>
      <c r="E127" s="2273"/>
      <c r="F127" s="2273"/>
      <c r="G127" s="2273"/>
      <c r="H127" s="2273"/>
      <c r="I127" s="2273"/>
      <c r="J127" s="2273"/>
      <c r="K127" s="2273"/>
      <c r="L127" s="2273"/>
      <c r="M127" s="2273"/>
      <c r="N127" s="2273"/>
      <c r="O127" s="2273"/>
      <c r="P127" s="2273"/>
      <c r="Q127" s="2273"/>
    </row>
    <row r="128" spans="2:17" s="749" customFormat="1">
      <c r="B128" s="2273"/>
      <c r="C128" s="2273"/>
      <c r="D128" s="2273"/>
      <c r="E128" s="2273"/>
      <c r="F128" s="2273"/>
      <c r="G128" s="2273"/>
      <c r="H128" s="2273"/>
      <c r="I128" s="2273"/>
      <c r="J128" s="2273"/>
      <c r="K128" s="2273"/>
      <c r="L128" s="2273"/>
      <c r="M128" s="2273"/>
      <c r="N128" s="2273"/>
      <c r="O128" s="2273"/>
      <c r="P128" s="2273"/>
      <c r="Q128" s="2273"/>
    </row>
    <row r="129" spans="2:17" s="749" customFormat="1">
      <c r="B129" s="2273"/>
      <c r="C129" s="2273"/>
      <c r="D129" s="2273"/>
      <c r="E129" s="2273"/>
      <c r="F129" s="2273"/>
      <c r="G129" s="2273"/>
      <c r="H129" s="2273"/>
      <c r="I129" s="2273"/>
      <c r="J129" s="2273"/>
      <c r="K129" s="2273"/>
      <c r="L129" s="2273"/>
      <c r="M129" s="2273"/>
      <c r="N129" s="2273"/>
      <c r="O129" s="2273"/>
      <c r="P129" s="2273"/>
      <c r="Q129" s="2273"/>
    </row>
    <row r="130" spans="2:17" s="749" customFormat="1">
      <c r="B130" s="2273"/>
      <c r="C130" s="2273"/>
      <c r="D130" s="2273"/>
      <c r="E130" s="2273"/>
      <c r="F130" s="2273"/>
      <c r="G130" s="2273"/>
      <c r="H130" s="2273"/>
      <c r="I130" s="2273"/>
      <c r="J130" s="2273"/>
      <c r="K130" s="2273"/>
      <c r="L130" s="2273"/>
      <c r="M130" s="2273"/>
      <c r="N130" s="2273"/>
      <c r="O130" s="2273"/>
      <c r="P130" s="2273"/>
      <c r="Q130" s="2273"/>
    </row>
    <row r="131" spans="2:17" s="749" customFormat="1">
      <c r="B131" s="2273"/>
      <c r="C131" s="2273"/>
      <c r="D131" s="2273"/>
      <c r="E131" s="2273"/>
      <c r="F131" s="2273"/>
      <c r="G131" s="2273"/>
      <c r="H131" s="2273"/>
      <c r="I131" s="2273"/>
      <c r="J131" s="2273"/>
      <c r="K131" s="2273"/>
      <c r="L131" s="2273"/>
      <c r="M131" s="2273"/>
      <c r="N131" s="2273"/>
      <c r="O131" s="2273"/>
      <c r="P131" s="2273"/>
      <c r="Q131" s="2273"/>
    </row>
    <row r="132" spans="2:17" s="749" customFormat="1">
      <c r="B132" s="2273"/>
      <c r="C132" s="2273"/>
      <c r="D132" s="2273"/>
      <c r="E132" s="2273"/>
      <c r="F132" s="2273"/>
      <c r="G132" s="2273"/>
      <c r="H132" s="2273"/>
      <c r="I132" s="2273"/>
      <c r="J132" s="2273"/>
      <c r="K132" s="2273"/>
      <c r="L132" s="2273"/>
      <c r="M132" s="2273"/>
      <c r="N132" s="2273"/>
      <c r="O132" s="2273"/>
      <c r="P132" s="2273"/>
      <c r="Q132" s="2273"/>
    </row>
    <row r="133" spans="2:17" s="749" customFormat="1">
      <c r="B133" s="2273"/>
      <c r="C133" s="2273"/>
      <c r="D133" s="2273"/>
      <c r="E133" s="2273"/>
      <c r="F133" s="2273"/>
      <c r="G133" s="2273"/>
      <c r="H133" s="2273"/>
      <c r="I133" s="2273"/>
      <c r="J133" s="2273"/>
      <c r="K133" s="2273"/>
      <c r="L133" s="2273"/>
      <c r="M133" s="2273"/>
      <c r="N133" s="2273"/>
      <c r="O133" s="2273"/>
      <c r="P133" s="2273"/>
      <c r="Q133" s="2273"/>
    </row>
    <row r="134" spans="2:17" s="749" customFormat="1">
      <c r="B134" s="2273"/>
      <c r="C134" s="2273"/>
      <c r="D134" s="2273"/>
      <c r="E134" s="2273"/>
      <c r="F134" s="2273"/>
      <c r="G134" s="2273"/>
      <c r="H134" s="2273"/>
      <c r="I134" s="2273"/>
      <c r="J134" s="2273"/>
      <c r="K134" s="2273"/>
      <c r="L134" s="2273"/>
      <c r="M134" s="2273"/>
      <c r="N134" s="2273"/>
      <c r="O134" s="2273"/>
      <c r="P134" s="2273"/>
      <c r="Q134" s="2273"/>
    </row>
    <row r="135" spans="2:17" s="749" customFormat="1">
      <c r="B135" s="2273"/>
      <c r="C135" s="2273"/>
      <c r="D135" s="2273"/>
      <c r="E135" s="2273"/>
      <c r="F135" s="2273"/>
      <c r="G135" s="2273"/>
      <c r="H135" s="2273"/>
      <c r="I135" s="2273"/>
      <c r="J135" s="2273"/>
      <c r="K135" s="2273"/>
      <c r="L135" s="2273"/>
      <c r="M135" s="2273"/>
      <c r="N135" s="2273"/>
      <c r="O135" s="2273"/>
      <c r="P135" s="2273"/>
      <c r="Q135" s="2273"/>
    </row>
    <row r="136" spans="2:17" s="749" customFormat="1">
      <c r="B136" s="2273"/>
      <c r="C136" s="2273"/>
      <c r="D136" s="2273"/>
      <c r="E136" s="2273"/>
      <c r="F136" s="2273"/>
      <c r="G136" s="2273"/>
      <c r="H136" s="2273"/>
      <c r="I136" s="2273"/>
      <c r="J136" s="2273"/>
      <c r="K136" s="2273"/>
      <c r="L136" s="2273"/>
      <c r="M136" s="2273"/>
      <c r="N136" s="2273"/>
      <c r="O136" s="2273"/>
      <c r="P136" s="2273"/>
      <c r="Q136" s="2273"/>
    </row>
    <row r="137" spans="2:17" s="749" customFormat="1">
      <c r="B137" s="2273"/>
      <c r="C137" s="2273"/>
      <c r="D137" s="2273"/>
      <c r="E137" s="2273"/>
      <c r="F137" s="2273"/>
      <c r="G137" s="2273"/>
      <c r="H137" s="2273"/>
      <c r="I137" s="2273"/>
      <c r="J137" s="2273"/>
      <c r="K137" s="2273"/>
      <c r="L137" s="2273"/>
      <c r="M137" s="2273"/>
      <c r="N137" s="2273"/>
      <c r="O137" s="2273"/>
      <c r="P137" s="2273"/>
      <c r="Q137" s="2273"/>
    </row>
    <row r="138" spans="2:17" s="749" customFormat="1">
      <c r="B138" s="2273"/>
      <c r="C138" s="2273"/>
      <c r="D138" s="2273"/>
      <c r="E138" s="2273"/>
      <c r="F138" s="2273"/>
      <c r="G138" s="2273"/>
      <c r="H138" s="2273"/>
      <c r="I138" s="2273"/>
      <c r="J138" s="2273"/>
      <c r="K138" s="2273"/>
      <c r="L138" s="2273"/>
      <c r="M138" s="2273"/>
      <c r="N138" s="2273"/>
      <c r="O138" s="2273"/>
      <c r="P138" s="2273"/>
      <c r="Q138" s="2273"/>
    </row>
    <row r="139" spans="2:17" s="749" customFormat="1">
      <c r="B139" s="2273"/>
      <c r="C139" s="2273"/>
      <c r="D139" s="2273"/>
      <c r="E139" s="2273"/>
      <c r="F139" s="2273"/>
      <c r="G139" s="2273"/>
      <c r="H139" s="2273"/>
      <c r="I139" s="2273"/>
      <c r="J139" s="2273"/>
      <c r="K139" s="2273"/>
      <c r="L139" s="2273"/>
      <c r="M139" s="2273"/>
      <c r="N139" s="2273"/>
      <c r="O139" s="2273"/>
      <c r="P139" s="2273"/>
      <c r="Q139" s="2273"/>
    </row>
    <row r="140" spans="2:17" s="749" customFormat="1">
      <c r="B140" s="2273"/>
      <c r="C140" s="2273"/>
      <c r="D140" s="2273"/>
      <c r="E140" s="2273"/>
      <c r="F140" s="2273"/>
      <c r="G140" s="2273"/>
      <c r="H140" s="2273"/>
      <c r="I140" s="2273"/>
      <c r="J140" s="2273"/>
      <c r="K140" s="2273"/>
      <c r="L140" s="2273"/>
      <c r="M140" s="2273"/>
      <c r="N140" s="2273"/>
      <c r="O140" s="2273"/>
      <c r="P140" s="2273"/>
      <c r="Q140" s="2273"/>
    </row>
    <row r="141" spans="2:17" s="749" customFormat="1">
      <c r="B141" s="2273"/>
      <c r="C141" s="2273"/>
      <c r="D141" s="2273"/>
      <c r="E141" s="2273"/>
      <c r="F141" s="2273"/>
      <c r="G141" s="2273"/>
      <c r="H141" s="2273"/>
      <c r="I141" s="2273"/>
      <c r="J141" s="2273"/>
      <c r="K141" s="2273"/>
      <c r="L141" s="2273"/>
      <c r="M141" s="2273"/>
      <c r="N141" s="2273"/>
      <c r="O141" s="2273"/>
      <c r="P141" s="2273"/>
      <c r="Q141" s="2273"/>
    </row>
    <row r="142" spans="2:17" s="749" customFormat="1">
      <c r="B142" s="2273"/>
      <c r="C142" s="2273"/>
      <c r="D142" s="2273"/>
      <c r="E142" s="2273"/>
      <c r="F142" s="2273"/>
      <c r="G142" s="2273"/>
      <c r="H142" s="2273"/>
      <c r="I142" s="2273"/>
      <c r="J142" s="2273"/>
      <c r="K142" s="2273"/>
      <c r="L142" s="2273"/>
      <c r="M142" s="2273"/>
      <c r="N142" s="2273"/>
      <c r="O142" s="2273"/>
      <c r="P142" s="2273"/>
      <c r="Q142" s="2273"/>
    </row>
    <row r="143" spans="2:17" s="749" customFormat="1">
      <c r="B143" s="2273"/>
      <c r="C143" s="2273"/>
      <c r="D143" s="2273"/>
      <c r="E143" s="2273"/>
      <c r="F143" s="2273"/>
      <c r="G143" s="2273"/>
      <c r="H143" s="2273"/>
      <c r="I143" s="2273"/>
      <c r="J143" s="2273"/>
      <c r="K143" s="2273"/>
      <c r="L143" s="2273"/>
      <c r="M143" s="2273"/>
      <c r="N143" s="2273"/>
      <c r="O143" s="2273"/>
      <c r="P143" s="2273"/>
      <c r="Q143" s="2273"/>
    </row>
    <row r="144" spans="2:17" s="749" customFormat="1">
      <c r="B144" s="2273"/>
      <c r="C144" s="2273"/>
      <c r="D144" s="2273"/>
      <c r="E144" s="2273"/>
      <c r="F144" s="2273"/>
      <c r="G144" s="2273"/>
      <c r="H144" s="2273"/>
      <c r="I144" s="2273"/>
      <c r="J144" s="2273"/>
      <c r="K144" s="2273"/>
      <c r="L144" s="2273"/>
      <c r="M144" s="2273"/>
      <c r="N144" s="2273"/>
      <c r="O144" s="2273"/>
      <c r="P144" s="2273"/>
      <c r="Q144" s="2273"/>
    </row>
    <row r="145" spans="2:17" s="749" customFormat="1">
      <c r="B145" s="2273"/>
      <c r="C145" s="2273"/>
      <c r="D145" s="2273"/>
      <c r="E145" s="2273"/>
      <c r="F145" s="2273"/>
      <c r="G145" s="2273"/>
      <c r="H145" s="2273"/>
      <c r="I145" s="2273"/>
      <c r="J145" s="2273"/>
      <c r="K145" s="2273"/>
      <c r="L145" s="2273"/>
      <c r="M145" s="2273"/>
      <c r="N145" s="2273"/>
      <c r="O145" s="2273"/>
      <c r="P145" s="2273"/>
      <c r="Q145" s="2273"/>
    </row>
    <row r="146" spans="2:17" s="749" customFormat="1">
      <c r="B146" s="2273"/>
      <c r="C146" s="2273"/>
      <c r="D146" s="2273"/>
      <c r="E146" s="2273"/>
      <c r="F146" s="2273"/>
      <c r="G146" s="2273"/>
      <c r="H146" s="2273"/>
      <c r="I146" s="2273"/>
      <c r="J146" s="2273"/>
      <c r="K146" s="2273"/>
      <c r="L146" s="2273"/>
      <c r="M146" s="2273"/>
      <c r="N146" s="2273"/>
      <c r="O146" s="2273"/>
      <c r="P146" s="2273"/>
      <c r="Q146" s="2273"/>
    </row>
    <row r="147" spans="2:17" s="749" customFormat="1">
      <c r="B147" s="2273"/>
      <c r="C147" s="2273"/>
      <c r="D147" s="2273"/>
      <c r="E147" s="2273"/>
      <c r="F147" s="2273"/>
      <c r="G147" s="2273"/>
      <c r="H147" s="2273"/>
      <c r="I147" s="2273"/>
      <c r="J147" s="2273"/>
      <c r="K147" s="2273"/>
      <c r="L147" s="2273"/>
      <c r="M147" s="2273"/>
      <c r="N147" s="2273"/>
      <c r="O147" s="2273"/>
      <c r="P147" s="2273"/>
      <c r="Q147" s="2273"/>
    </row>
    <row r="148" spans="2:17" s="749" customFormat="1">
      <c r="B148" s="2273"/>
      <c r="C148" s="2273"/>
      <c r="D148" s="2273"/>
      <c r="E148" s="2273"/>
      <c r="F148" s="2273"/>
      <c r="G148" s="2273"/>
      <c r="H148" s="2273"/>
      <c r="I148" s="2273"/>
      <c r="J148" s="2273"/>
      <c r="K148" s="2273"/>
      <c r="L148" s="2273"/>
      <c r="M148" s="2273"/>
      <c r="N148" s="2273"/>
      <c r="O148" s="2273"/>
      <c r="P148" s="2273"/>
      <c r="Q148" s="2273"/>
    </row>
    <row r="149" spans="2:17" s="749" customFormat="1">
      <c r="B149" s="2273"/>
      <c r="C149" s="2273"/>
      <c r="D149" s="2273"/>
      <c r="E149" s="2273"/>
      <c r="F149" s="2273"/>
      <c r="G149" s="2273"/>
      <c r="H149" s="2273"/>
      <c r="I149" s="2273"/>
      <c r="J149" s="2273"/>
      <c r="K149" s="2273"/>
      <c r="L149" s="2273"/>
      <c r="M149" s="2273"/>
      <c r="N149" s="2273"/>
      <c r="O149" s="2273"/>
      <c r="P149" s="2273"/>
      <c r="Q149" s="2273"/>
    </row>
    <row r="150" spans="2:17" s="749" customFormat="1">
      <c r="B150" s="2273"/>
      <c r="C150" s="2273"/>
      <c r="D150" s="2273"/>
      <c r="E150" s="2273"/>
      <c r="F150" s="2273"/>
      <c r="G150" s="2273"/>
      <c r="H150" s="2273"/>
      <c r="I150" s="2273"/>
      <c r="J150" s="2273"/>
      <c r="K150" s="2273"/>
      <c r="L150" s="2273"/>
      <c r="M150" s="2273"/>
      <c r="N150" s="2273"/>
      <c r="O150" s="2273"/>
      <c r="P150" s="2273"/>
      <c r="Q150" s="2273"/>
    </row>
    <row r="151" spans="2:17" s="749" customFormat="1">
      <c r="B151" s="2273"/>
      <c r="C151" s="2273"/>
      <c r="D151" s="2273"/>
      <c r="E151" s="2273"/>
      <c r="F151" s="2273"/>
      <c r="G151" s="2273"/>
      <c r="H151" s="2273"/>
      <c r="I151" s="2273"/>
      <c r="J151" s="2273"/>
      <c r="K151" s="2273"/>
      <c r="L151" s="2273"/>
      <c r="M151" s="2273"/>
      <c r="N151" s="2273"/>
      <c r="O151" s="2273"/>
      <c r="P151" s="2273"/>
      <c r="Q151" s="2273"/>
    </row>
    <row r="152" spans="2:17" s="749" customFormat="1">
      <c r="B152" s="2273"/>
      <c r="C152" s="2273"/>
      <c r="D152" s="2273"/>
      <c r="E152" s="2273"/>
      <c r="F152" s="2273"/>
      <c r="G152" s="2273"/>
      <c r="H152" s="2273"/>
      <c r="I152" s="2273"/>
      <c r="J152" s="2273"/>
      <c r="K152" s="2273"/>
      <c r="L152" s="2273"/>
      <c r="M152" s="2273"/>
      <c r="N152" s="2273"/>
      <c r="O152" s="2273"/>
      <c r="P152" s="2273"/>
      <c r="Q152" s="2273"/>
    </row>
    <row r="153" spans="2:17" s="749" customFormat="1">
      <c r="B153" s="2273"/>
      <c r="C153" s="2273"/>
      <c r="D153" s="2273"/>
      <c r="E153" s="2273"/>
      <c r="F153" s="2273"/>
      <c r="G153" s="2273"/>
      <c r="H153" s="2273"/>
      <c r="I153" s="2273"/>
      <c r="J153" s="2273"/>
      <c r="K153" s="2273"/>
      <c r="L153" s="2273"/>
      <c r="M153" s="2273"/>
      <c r="N153" s="2273"/>
      <c r="O153" s="2273"/>
      <c r="P153" s="2273"/>
      <c r="Q153" s="2273"/>
    </row>
    <row r="154" spans="2:17" s="749" customFormat="1">
      <c r="B154" s="2273"/>
      <c r="C154" s="2273"/>
      <c r="D154" s="2273"/>
      <c r="E154" s="2273"/>
      <c r="F154" s="2273"/>
      <c r="G154" s="2273"/>
      <c r="H154" s="2273"/>
      <c r="I154" s="2273"/>
      <c r="J154" s="2273"/>
      <c r="K154" s="2273"/>
      <c r="L154" s="2273"/>
      <c r="M154" s="2273"/>
      <c r="N154" s="2273"/>
      <c r="O154" s="2273"/>
      <c r="P154" s="2273"/>
      <c r="Q154" s="2273"/>
    </row>
    <row r="155" spans="2:17" s="749" customFormat="1">
      <c r="B155" s="2273"/>
      <c r="C155" s="2273"/>
      <c r="D155" s="2273"/>
      <c r="E155" s="2273"/>
      <c r="F155" s="2273"/>
      <c r="G155" s="2273"/>
      <c r="H155" s="2273"/>
      <c r="I155" s="2273"/>
      <c r="J155" s="2273"/>
      <c r="K155" s="2273"/>
      <c r="L155" s="2273"/>
      <c r="M155" s="2273"/>
      <c r="N155" s="2273"/>
      <c r="O155" s="2273"/>
      <c r="P155" s="2273"/>
      <c r="Q155" s="2273"/>
    </row>
    <row r="156" spans="2:17" s="749" customFormat="1">
      <c r="B156" s="2273"/>
      <c r="C156" s="2273"/>
      <c r="D156" s="2273"/>
      <c r="E156" s="2273"/>
      <c r="F156" s="2273"/>
      <c r="G156" s="2273"/>
      <c r="H156" s="2273"/>
      <c r="I156" s="2273"/>
      <c r="J156" s="2273"/>
      <c r="K156" s="2273"/>
      <c r="L156" s="2273"/>
      <c r="M156" s="2273"/>
      <c r="N156" s="2273"/>
      <c r="O156" s="2273"/>
      <c r="P156" s="2273"/>
      <c r="Q156" s="2273"/>
    </row>
    <row r="157" spans="2:17" s="749" customFormat="1">
      <c r="B157" s="2273"/>
      <c r="C157" s="2273"/>
      <c r="D157" s="2273"/>
      <c r="E157" s="2273"/>
      <c r="F157" s="2273"/>
      <c r="G157" s="2273"/>
      <c r="H157" s="2273"/>
      <c r="I157" s="2273"/>
      <c r="J157" s="2273"/>
      <c r="K157" s="2273"/>
      <c r="L157" s="2273"/>
      <c r="M157" s="2273"/>
      <c r="N157" s="2273"/>
      <c r="O157" s="2273"/>
      <c r="P157" s="2273"/>
      <c r="Q157" s="2273"/>
    </row>
    <row r="158" spans="2:17" s="749" customFormat="1">
      <c r="B158" s="2273"/>
      <c r="C158" s="2273"/>
      <c r="D158" s="2273"/>
      <c r="E158" s="2273"/>
      <c r="F158" s="2273"/>
      <c r="G158" s="2273"/>
      <c r="H158" s="2273"/>
      <c r="I158" s="2273"/>
      <c r="J158" s="2273"/>
      <c r="K158" s="2273"/>
      <c r="L158" s="2273"/>
      <c r="M158" s="2273"/>
      <c r="N158" s="2273"/>
      <c r="O158" s="2273"/>
      <c r="P158" s="2273"/>
      <c r="Q158" s="2273"/>
    </row>
    <row r="159" spans="2:17" s="749" customFormat="1">
      <c r="B159" s="2273"/>
      <c r="C159" s="2273"/>
      <c r="D159" s="2273"/>
      <c r="E159" s="2273"/>
      <c r="F159" s="2273"/>
      <c r="G159" s="2273"/>
      <c r="H159" s="2273"/>
      <c r="I159" s="2273"/>
      <c r="J159" s="2273"/>
      <c r="K159" s="2273"/>
      <c r="L159" s="2273"/>
      <c r="M159" s="2273"/>
      <c r="N159" s="2273"/>
      <c r="O159" s="2273"/>
      <c r="P159" s="2273"/>
      <c r="Q159" s="2273"/>
    </row>
    <row r="160" spans="2:17" s="749" customFormat="1">
      <c r="B160" s="2273"/>
      <c r="C160" s="2273"/>
      <c r="D160" s="2273"/>
      <c r="E160" s="2273"/>
      <c r="F160" s="2273"/>
      <c r="G160" s="2273"/>
      <c r="H160" s="2273"/>
      <c r="I160" s="2273"/>
      <c r="J160" s="2273"/>
      <c r="K160" s="2273"/>
      <c r="L160" s="2273"/>
      <c r="M160" s="2273"/>
      <c r="N160" s="2273"/>
      <c r="O160" s="2273"/>
      <c r="P160" s="2273"/>
      <c r="Q160" s="2273"/>
    </row>
    <row r="161" spans="2:17" s="749" customFormat="1">
      <c r="B161" s="2273"/>
      <c r="C161" s="2273"/>
      <c r="D161" s="2273"/>
      <c r="E161" s="2273"/>
      <c r="F161" s="2273"/>
      <c r="G161" s="2273"/>
      <c r="H161" s="2273"/>
      <c r="I161" s="2273"/>
      <c r="J161" s="2273"/>
      <c r="K161" s="2273"/>
      <c r="L161" s="2273"/>
      <c r="M161" s="2273"/>
      <c r="N161" s="2273"/>
      <c r="O161" s="2273"/>
      <c r="P161" s="2273"/>
      <c r="Q161" s="2273"/>
    </row>
    <row r="162" spans="2:17" s="749" customFormat="1">
      <c r="B162" s="2273"/>
      <c r="C162" s="2273"/>
      <c r="D162" s="2273"/>
      <c r="E162" s="2273"/>
      <c r="F162" s="2273"/>
      <c r="G162" s="2273"/>
      <c r="H162" s="2273"/>
      <c r="I162" s="2273"/>
      <c r="J162" s="2273"/>
      <c r="K162" s="2273"/>
      <c r="L162" s="2273"/>
      <c r="M162" s="2273"/>
      <c r="N162" s="2273"/>
      <c r="O162" s="2273"/>
      <c r="P162" s="2273"/>
      <c r="Q162" s="2273"/>
    </row>
    <row r="163" spans="2:17" s="749" customFormat="1">
      <c r="B163" s="2273"/>
      <c r="C163" s="2273"/>
      <c r="D163" s="2273"/>
      <c r="E163" s="2273"/>
      <c r="F163" s="2273"/>
      <c r="G163" s="2273"/>
      <c r="H163" s="2273"/>
      <c r="I163" s="2273"/>
      <c r="J163" s="2273"/>
      <c r="K163" s="2273"/>
      <c r="L163" s="2273"/>
      <c r="M163" s="2273"/>
      <c r="N163" s="2273"/>
      <c r="O163" s="2273"/>
      <c r="P163" s="2273"/>
      <c r="Q163" s="2273"/>
    </row>
    <row r="164" spans="2:17" s="749" customFormat="1">
      <c r="B164" s="2273"/>
      <c r="C164" s="2273"/>
      <c r="D164" s="2273"/>
      <c r="E164" s="2273"/>
      <c r="F164" s="2273"/>
      <c r="G164" s="2273"/>
      <c r="H164" s="2273"/>
      <c r="I164" s="2273"/>
      <c r="J164" s="2273"/>
      <c r="K164" s="2273"/>
      <c r="L164" s="2273"/>
      <c r="M164" s="2273"/>
      <c r="N164" s="2273"/>
      <c r="O164" s="2273"/>
      <c r="P164" s="2273"/>
      <c r="Q164" s="2273"/>
    </row>
    <row r="165" spans="2:17" s="749" customFormat="1">
      <c r="B165" s="2273"/>
      <c r="C165" s="2273"/>
      <c r="D165" s="2273"/>
      <c r="E165" s="2273"/>
      <c r="F165" s="2273"/>
      <c r="G165" s="2273"/>
      <c r="H165" s="2273"/>
      <c r="I165" s="2273"/>
      <c r="J165" s="2273"/>
      <c r="K165" s="2273"/>
      <c r="L165" s="2273"/>
      <c r="M165" s="2273"/>
      <c r="N165" s="2273"/>
      <c r="O165" s="2273"/>
      <c r="P165" s="2273"/>
      <c r="Q165" s="2273"/>
    </row>
    <row r="166" spans="2:17" s="749" customFormat="1">
      <c r="B166" s="2273"/>
      <c r="C166" s="2273"/>
      <c r="D166" s="2273"/>
      <c r="E166" s="2273"/>
      <c r="F166" s="2273"/>
      <c r="G166" s="2273"/>
      <c r="H166" s="2273"/>
      <c r="I166" s="2273"/>
      <c r="J166" s="2273"/>
      <c r="K166" s="2273"/>
      <c r="L166" s="2273"/>
      <c r="M166" s="2273"/>
      <c r="N166" s="2273"/>
      <c r="O166" s="2273"/>
      <c r="P166" s="2273"/>
      <c r="Q166" s="2273"/>
    </row>
    <row r="167" spans="2:17" s="749" customFormat="1">
      <c r="B167" s="2273"/>
      <c r="C167" s="2273"/>
      <c r="D167" s="2273"/>
      <c r="E167" s="2273"/>
      <c r="F167" s="2273"/>
      <c r="G167" s="2273"/>
      <c r="H167" s="2273"/>
      <c r="I167" s="2273"/>
      <c r="J167" s="2273"/>
      <c r="K167" s="2273"/>
      <c r="L167" s="2273"/>
      <c r="M167" s="2273"/>
      <c r="N167" s="2273"/>
      <c r="O167" s="2273"/>
      <c r="P167" s="2273"/>
      <c r="Q167" s="2273"/>
    </row>
    <row r="168" spans="2:17" s="749" customFormat="1">
      <c r="B168" s="2273"/>
      <c r="C168" s="2273"/>
      <c r="D168" s="2273"/>
      <c r="E168" s="2273"/>
      <c r="F168" s="2273"/>
      <c r="G168" s="2273"/>
      <c r="H168" s="2273"/>
      <c r="I168" s="2273"/>
      <c r="J168" s="2273"/>
      <c r="K168" s="2273"/>
      <c r="L168" s="2273"/>
      <c r="M168" s="2273"/>
      <c r="N168" s="2273"/>
      <c r="O168" s="2273"/>
      <c r="P168" s="2273"/>
      <c r="Q168" s="2273"/>
    </row>
    <row r="169" spans="2:17" s="749" customFormat="1">
      <c r="B169" s="2273"/>
      <c r="C169" s="2273"/>
      <c r="D169" s="2273"/>
      <c r="E169" s="2273"/>
      <c r="F169" s="2273"/>
      <c r="G169" s="2273"/>
      <c r="H169" s="2273"/>
      <c r="I169" s="2273"/>
      <c r="J169" s="2273"/>
      <c r="K169" s="2273"/>
      <c r="L169" s="2273"/>
      <c r="M169" s="2273"/>
      <c r="N169" s="2273"/>
      <c r="O169" s="2273"/>
      <c r="P169" s="2273"/>
      <c r="Q169" s="2273"/>
    </row>
    <row r="170" spans="2:17" s="749" customFormat="1">
      <c r="B170" s="2273"/>
      <c r="C170" s="2273"/>
      <c r="D170" s="2273"/>
      <c r="E170" s="2273"/>
      <c r="F170" s="2273"/>
      <c r="G170" s="2273"/>
      <c r="H170" s="2273"/>
      <c r="I170" s="2273"/>
      <c r="J170" s="2273"/>
      <c r="K170" s="2273"/>
      <c r="L170" s="2273"/>
      <c r="M170" s="2273"/>
      <c r="N170" s="2273"/>
      <c r="O170" s="2273"/>
      <c r="P170" s="2273"/>
      <c r="Q170" s="2273"/>
    </row>
    <row r="171" spans="2:17" s="749" customFormat="1">
      <c r="B171" s="2273"/>
      <c r="C171" s="2273"/>
      <c r="D171" s="2273"/>
      <c r="E171" s="2273"/>
      <c r="F171" s="2273"/>
      <c r="G171" s="2273"/>
      <c r="H171" s="2273"/>
      <c r="I171" s="2273"/>
      <c r="J171" s="2273"/>
      <c r="K171" s="2273"/>
      <c r="L171" s="2273"/>
      <c r="M171" s="2273"/>
      <c r="N171" s="2273"/>
      <c r="O171" s="2273"/>
      <c r="P171" s="2273"/>
      <c r="Q171" s="2273"/>
    </row>
    <row r="172" spans="2:17" s="749" customFormat="1">
      <c r="B172" s="2273"/>
      <c r="C172" s="2273"/>
      <c r="D172" s="2273"/>
      <c r="E172" s="2273"/>
      <c r="F172" s="2273"/>
      <c r="G172" s="2273"/>
      <c r="H172" s="2273"/>
      <c r="I172" s="2273"/>
      <c r="J172" s="2273"/>
      <c r="K172" s="2273"/>
      <c r="L172" s="2273"/>
      <c r="M172" s="2273"/>
      <c r="N172" s="2273"/>
      <c r="O172" s="2273"/>
      <c r="P172" s="2273"/>
      <c r="Q172" s="2273"/>
    </row>
    <row r="173" spans="2:17" s="749" customFormat="1">
      <c r="B173" s="2273"/>
      <c r="C173" s="2273"/>
      <c r="D173" s="2273"/>
      <c r="E173" s="2273"/>
      <c r="F173" s="2273"/>
      <c r="G173" s="2273"/>
      <c r="H173" s="2273"/>
      <c r="I173" s="2273"/>
      <c r="J173" s="2273"/>
      <c r="K173" s="2273"/>
      <c r="L173" s="2273"/>
      <c r="M173" s="2273"/>
      <c r="N173" s="2273"/>
      <c r="O173" s="2273"/>
      <c r="P173" s="2273"/>
      <c r="Q173" s="2273"/>
    </row>
    <row r="174" spans="2:17" s="749" customFormat="1">
      <c r="B174" s="2273"/>
      <c r="C174" s="2273"/>
      <c r="D174" s="2273"/>
      <c r="E174" s="2273"/>
      <c r="F174" s="2273"/>
      <c r="G174" s="2273"/>
      <c r="H174" s="2273"/>
      <c r="I174" s="2273"/>
      <c r="J174" s="2273"/>
      <c r="K174" s="2273"/>
      <c r="L174" s="2273"/>
      <c r="M174" s="2273"/>
      <c r="N174" s="2273"/>
      <c r="O174" s="2273"/>
      <c r="P174" s="2273"/>
      <c r="Q174" s="2273"/>
    </row>
    <row r="175" spans="2:17" s="749" customFormat="1">
      <c r="B175" s="2273"/>
      <c r="C175" s="2273"/>
      <c r="D175" s="2273"/>
      <c r="E175" s="2273"/>
      <c r="F175" s="2273"/>
      <c r="G175" s="2273"/>
      <c r="H175" s="2273"/>
      <c r="I175" s="2273"/>
      <c r="J175" s="2273"/>
      <c r="K175" s="2273"/>
      <c r="L175" s="2273"/>
      <c r="M175" s="2273"/>
      <c r="N175" s="2273"/>
      <c r="O175" s="2273"/>
      <c r="P175" s="2273"/>
      <c r="Q175" s="2273"/>
    </row>
    <row r="176" spans="2:17" s="749" customFormat="1">
      <c r="B176" s="2273"/>
      <c r="C176" s="2273"/>
      <c r="D176" s="2273"/>
      <c r="E176" s="2273"/>
      <c r="F176" s="2273"/>
      <c r="G176" s="2273"/>
      <c r="H176" s="2273"/>
      <c r="I176" s="2273"/>
      <c r="J176" s="2273"/>
      <c r="K176" s="2273"/>
      <c r="L176" s="2273"/>
      <c r="M176" s="2273"/>
      <c r="N176" s="2273"/>
      <c r="O176" s="2273"/>
      <c r="P176" s="2273"/>
      <c r="Q176" s="2273"/>
    </row>
    <row r="177" spans="1:17" s="749" customFormat="1">
      <c r="B177" s="2273"/>
      <c r="C177" s="2273"/>
      <c r="D177" s="2273"/>
      <c r="E177" s="2273"/>
      <c r="F177" s="2273"/>
      <c r="G177" s="2273"/>
      <c r="H177" s="2273"/>
      <c r="I177" s="2273"/>
      <c r="J177" s="2273"/>
      <c r="K177" s="2273"/>
      <c r="L177" s="2273"/>
      <c r="M177" s="2273"/>
      <c r="N177" s="2273"/>
      <c r="O177" s="2273"/>
      <c r="P177" s="2273"/>
      <c r="Q177" s="2273"/>
    </row>
    <row r="178" spans="1:17" s="749" customFormat="1">
      <c r="B178" s="2273"/>
      <c r="C178" s="2273"/>
      <c r="D178" s="2273"/>
      <c r="E178" s="2273"/>
      <c r="F178" s="2273"/>
      <c r="G178" s="2273"/>
      <c r="H178" s="2273"/>
      <c r="I178" s="2273"/>
      <c r="J178" s="2273"/>
      <c r="K178" s="2273"/>
      <c r="L178" s="2273"/>
      <c r="M178" s="2273"/>
      <c r="N178" s="2273"/>
      <c r="O178" s="2273"/>
      <c r="P178" s="2273"/>
      <c r="Q178" s="2273"/>
    </row>
    <row r="179" spans="1:17" s="749" customFormat="1">
      <c r="B179" s="2273"/>
      <c r="C179" s="2273"/>
      <c r="D179" s="2273"/>
      <c r="E179" s="2273"/>
      <c r="F179" s="2273"/>
      <c r="G179" s="2273"/>
      <c r="H179" s="2273"/>
      <c r="I179" s="2273"/>
      <c r="J179" s="2273"/>
      <c r="K179" s="2273"/>
      <c r="L179" s="2273"/>
      <c r="M179" s="2273"/>
      <c r="N179" s="2273"/>
      <c r="O179" s="2273"/>
      <c r="P179" s="2273"/>
      <c r="Q179" s="2273"/>
    </row>
    <row r="180" spans="1:17" s="749" customFormat="1">
      <c r="B180" s="2273"/>
      <c r="C180" s="2273"/>
      <c r="D180" s="2273"/>
      <c r="E180" s="2273"/>
      <c r="F180" s="2273"/>
      <c r="G180" s="2273"/>
      <c r="H180" s="2273"/>
      <c r="I180" s="2273"/>
      <c r="J180" s="2273"/>
      <c r="K180" s="2273"/>
      <c r="L180" s="2273"/>
      <c r="M180" s="2273"/>
      <c r="N180" s="2273"/>
      <c r="O180" s="2273"/>
      <c r="P180" s="2273"/>
      <c r="Q180" s="2273"/>
    </row>
    <row r="181" spans="1:17" s="749" customFormat="1">
      <c r="B181" s="2273"/>
      <c r="C181" s="2273"/>
      <c r="D181" s="2273"/>
      <c r="E181" s="2273"/>
      <c r="F181" s="2273"/>
      <c r="G181" s="2273"/>
      <c r="H181" s="2273"/>
      <c r="I181" s="2273"/>
      <c r="J181" s="2273"/>
      <c r="K181" s="2273"/>
      <c r="L181" s="2273"/>
      <c r="M181" s="2273"/>
      <c r="N181" s="2273"/>
      <c r="O181" s="2273"/>
      <c r="P181" s="2273"/>
      <c r="Q181" s="2273"/>
    </row>
    <row r="182" spans="1:17" s="749" customFormat="1">
      <c r="B182" s="2273"/>
      <c r="C182" s="2273"/>
      <c r="D182" s="2273"/>
      <c r="E182" s="2273"/>
      <c r="F182" s="2273"/>
      <c r="G182" s="2273"/>
      <c r="H182" s="2273"/>
      <c r="I182" s="2273"/>
      <c r="J182" s="2273"/>
      <c r="K182" s="2273"/>
      <c r="L182" s="2273"/>
      <c r="M182" s="2273"/>
      <c r="N182" s="2273"/>
      <c r="O182" s="2273"/>
      <c r="P182" s="2273"/>
      <c r="Q182" s="2273"/>
    </row>
    <row r="183" spans="1:17" s="749" customFormat="1">
      <c r="B183" s="2273"/>
      <c r="C183" s="2273"/>
      <c r="D183" s="2273"/>
      <c r="E183" s="2273"/>
      <c r="F183" s="2273"/>
      <c r="G183" s="2273"/>
      <c r="H183" s="2273"/>
      <c r="I183" s="2273"/>
      <c r="J183" s="2273"/>
      <c r="K183" s="2273"/>
      <c r="L183" s="2273"/>
      <c r="M183" s="2273"/>
      <c r="N183" s="2273"/>
      <c r="O183" s="2273"/>
      <c r="P183" s="2273"/>
      <c r="Q183" s="2273"/>
    </row>
    <row r="184" spans="1:17" s="749" customFormat="1">
      <c r="B184" s="2273"/>
      <c r="C184" s="2273"/>
      <c r="D184" s="2273"/>
      <c r="E184" s="2273"/>
      <c r="F184" s="2273"/>
      <c r="G184" s="2273"/>
      <c r="H184" s="2273"/>
      <c r="I184" s="2273"/>
      <c r="J184" s="2273"/>
      <c r="K184" s="2273"/>
      <c r="L184" s="2273"/>
      <c r="M184" s="2273"/>
      <c r="N184" s="2273"/>
      <c r="O184" s="2273"/>
      <c r="P184" s="2273"/>
      <c r="Q184" s="2273"/>
    </row>
    <row r="185" spans="1:17" s="749" customFormat="1">
      <c r="B185" s="2273"/>
      <c r="C185" s="2273"/>
      <c r="D185" s="2273"/>
      <c r="E185" s="2273"/>
      <c r="F185" s="2273"/>
      <c r="G185" s="2273"/>
      <c r="H185" s="2273"/>
      <c r="I185" s="2273"/>
      <c r="J185" s="2273"/>
      <c r="K185" s="2273"/>
      <c r="L185" s="2273"/>
      <c r="M185" s="2273"/>
      <c r="N185" s="2273"/>
      <c r="O185" s="2273"/>
      <c r="P185" s="2273"/>
      <c r="Q185" s="2273"/>
    </row>
    <row r="186" spans="1:17">
      <c r="A186" s="749"/>
      <c r="B186" s="2273"/>
      <c r="C186" s="2273"/>
      <c r="E186" s="2273"/>
      <c r="F186" s="2273"/>
      <c r="G186" s="2273"/>
    </row>
    <row r="187" spans="1:17">
      <c r="A187" s="749"/>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0" sqref="G20"/>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74277.419999999867</v>
      </c>
      <c r="C1" s="2458"/>
      <c r="D1" s="2458"/>
      <c r="E1" s="2458"/>
      <c r="F1" s="2458"/>
      <c r="G1" s="2459"/>
      <c r="H1" s="2459"/>
      <c r="I1" s="2459"/>
      <c r="J1" s="2459"/>
      <c r="K1" s="2459"/>
    </row>
    <row r="2" spans="1:11" ht="16.5">
      <c r="A2" s="2296" t="s">
        <v>653</v>
      </c>
      <c r="B2" s="2296">
        <f>SUM(C14:C23)</f>
        <v>37485.769999999997</v>
      </c>
      <c r="C2" s="2458"/>
      <c r="D2" s="2458"/>
      <c r="E2" s="2458"/>
      <c r="F2" s="2458"/>
      <c r="G2" s="2459"/>
      <c r="H2" s="2459"/>
      <c r="I2" s="2459"/>
      <c r="J2" s="2459"/>
      <c r="K2" s="2459"/>
    </row>
    <row r="3" spans="1:11" ht="16.5">
      <c r="A3" s="2296" t="s">
        <v>662</v>
      </c>
      <c r="B3" s="2298">
        <f>项目基本情况!D3</f>
        <v>45803</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525316</v>
      </c>
      <c r="C5" s="2296">
        <f ca="1">IF(B5=D14,结果表!H102,ROUND(B5*10000/$B$1,0))</f>
        <v>70724</v>
      </c>
      <c r="D5" s="2296">
        <f ca="1">ROUND(B5*10000/$B$2,0)</f>
        <v>140137</v>
      </c>
      <c r="E5" s="2458"/>
      <c r="F5" s="2459"/>
      <c r="G5" s="2459"/>
      <c r="H5" s="2459"/>
      <c r="I5" s="2459"/>
      <c r="J5" s="2459"/>
      <c r="K5" s="2459"/>
    </row>
    <row r="6" spans="1:11" ht="16.5">
      <c r="A6" s="2296" t="s">
        <v>656</v>
      </c>
      <c r="B6" s="2296">
        <f ca="1">SUM(G14:G23)</f>
        <v>525316</v>
      </c>
      <c r="C6" s="2296">
        <f ca="1">IF(B6=G14,结果表!H108,ROUND(B6*10000/$B$1,0))</f>
        <v>70724</v>
      </c>
      <c r="D6" s="2296">
        <f ca="1">ROUND(B6*10000/$B$2,0)</f>
        <v>140137</v>
      </c>
      <c r="E6" s="2458"/>
      <c r="F6" s="2459"/>
      <c r="G6" s="2459"/>
      <c r="H6" s="2459"/>
      <c r="I6" s="2459"/>
      <c r="J6" s="2459"/>
      <c r="K6" s="2459"/>
    </row>
    <row r="7" spans="1:11" ht="16.5">
      <c r="A7" s="2296" t="s">
        <v>664</v>
      </c>
      <c r="B7" s="2296">
        <f>SUM(H14:H23)</f>
        <v>0</v>
      </c>
      <c r="C7" s="2296" t="str">
        <f>IF(B7=H14,结果表!H110,ROUND(B7*10000/$B$1,0))</f>
        <v>——</v>
      </c>
      <c r="D7" s="2296">
        <f>ROUND(B7*10000/$B$2,0)</f>
        <v>0</v>
      </c>
      <c r="E7" s="2458"/>
      <c r="F7" s="2459"/>
      <c r="G7" s="2459"/>
      <c r="H7" s="2459"/>
      <c r="I7" s="2459"/>
      <c r="J7" s="2459"/>
      <c r="K7" s="2459"/>
    </row>
    <row r="8" spans="1:11" ht="16.5">
      <c r="A8" s="2296" t="s">
        <v>587</v>
      </c>
      <c r="B8" s="2296">
        <f>SUM(I14:I23)</f>
        <v>0</v>
      </c>
      <c r="C8" s="2296" t="str">
        <f>IF(B8=I14,结果表!H112,ROUND(B8*10000/$B$1,0))</f>
        <v>——</v>
      </c>
      <c r="D8" s="2296">
        <f>ROUND(B8*10000/$B$2,0)</f>
        <v>0</v>
      </c>
      <c r="E8" s="2458"/>
      <c r="F8" s="2459"/>
      <c r="G8" s="2459"/>
      <c r="H8" s="2459"/>
      <c r="I8" s="2459"/>
      <c r="J8" s="2459"/>
      <c r="K8" s="2459"/>
    </row>
    <row r="9" spans="1:11" ht="16.5">
      <c r="A9" s="2296" t="s">
        <v>655</v>
      </c>
      <c r="B9" s="1242"/>
      <c r="C9" s="2458"/>
      <c r="D9" s="2458"/>
      <c r="E9" s="2458"/>
      <c r="F9" s="2459"/>
      <c r="G9" s="2459"/>
      <c r="H9" s="2459"/>
      <c r="I9" s="2459"/>
      <c r="J9" s="2459"/>
      <c r="K9" s="2459"/>
    </row>
    <row r="10" spans="1:11" ht="16.5">
      <c r="A10" s="2296" t="s">
        <v>654</v>
      </c>
      <c r="B10" s="2296">
        <f>IF(E10="",0,ROUND(B1*(E10*365/G10)/10000,0))</f>
        <v>0</v>
      </c>
      <c r="C10" s="2296" t="s">
        <v>3345</v>
      </c>
      <c r="D10" s="2296" t="s">
        <v>3346</v>
      </c>
      <c r="E10" s="3133"/>
      <c r="F10" s="3137" t="s">
        <v>3347</v>
      </c>
      <c r="G10" s="3134"/>
      <c r="H10" s="2459"/>
      <c r="I10" s="2459"/>
      <c r="J10" s="2459"/>
      <c r="K10" s="2459"/>
    </row>
    <row r="11" spans="1:11" ht="16.5">
      <c r="A11" s="2296" t="s">
        <v>670</v>
      </c>
      <c r="B11" s="1242"/>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'数据-汇总表'!E3</f>
        <v>74277.419999999867</v>
      </c>
      <c r="C14" s="2302">
        <f>'数据-汇总表'!D3</f>
        <v>37485.769999999997</v>
      </c>
      <c r="D14" s="2302">
        <f ca="1">结果表!G19</f>
        <v>525316</v>
      </c>
      <c r="E14" s="2302">
        <f ca="1">ROUND(D14*10000/B14,0)</f>
        <v>70724</v>
      </c>
      <c r="F14" s="2302">
        <f ca="1">ROUND(D14*10000/C14,0)</f>
        <v>140137</v>
      </c>
      <c r="G14" s="2302">
        <f ca="1">D14</f>
        <v>525316</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2"/>
      <c r="H15" s="1242"/>
      <c r="I15" s="2303"/>
      <c r="J15" s="2459"/>
      <c r="K15" s="2459"/>
    </row>
    <row r="16" spans="1:11" ht="16.5">
      <c r="A16" s="2301" t="s">
        <v>648</v>
      </c>
      <c r="B16" s="2303"/>
      <c r="C16" s="2303"/>
      <c r="D16" s="2303"/>
      <c r="E16" s="2302" t="e">
        <f t="shared" si="0"/>
        <v>#DIV/0!</v>
      </c>
      <c r="F16" s="2302" t="e">
        <f t="shared" si="1"/>
        <v>#DIV/0!</v>
      </c>
      <c r="G16" s="1242"/>
      <c r="H16" s="1242"/>
      <c r="I16" s="2303"/>
      <c r="J16" s="2459"/>
      <c r="K16" s="2459"/>
    </row>
    <row r="17" spans="1:11" ht="16.5">
      <c r="A17" s="2301" t="s">
        <v>647</v>
      </c>
      <c r="B17" s="2303"/>
      <c r="C17" s="2303"/>
      <c r="D17" s="2303"/>
      <c r="E17" s="2302" t="e">
        <f t="shared" si="0"/>
        <v>#DIV/0!</v>
      </c>
      <c r="F17" s="2302" t="e">
        <f t="shared" si="1"/>
        <v>#DIV/0!</v>
      </c>
      <c r="G17" s="1242"/>
      <c r="H17" s="1242"/>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2" t="e">
        <f t="shared" si="0"/>
        <v>#DIV/0!</v>
      </c>
      <c r="F23" s="1242"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1"/>
    <col min="36" max="16384" width="12.625" style="1559"/>
  </cols>
  <sheetData>
    <row r="1" spans="1:12" ht="21.75" customHeight="1" thickBot="1">
      <c r="A1" s="1519" t="s">
        <v>1262</v>
      </c>
      <c r="B1" s="644"/>
      <c r="C1" s="1618"/>
      <c r="D1" s="644"/>
      <c r="E1" s="644"/>
      <c r="F1" s="1619" t="s">
        <v>1263</v>
      </c>
      <c r="G1" s="1451" t="s">
        <v>5837</v>
      </c>
      <c r="H1" s="1619" t="str">
        <f>IF(G1="现房","——","估价对象范围")</f>
        <v>估价对象范围</v>
      </c>
      <c r="I1" s="1620" t="s">
        <v>5838</v>
      </c>
    </row>
    <row r="2" spans="1:12" ht="21.75" customHeight="1" thickBot="1">
      <c r="A2" s="3314" t="str">
        <f>项目基本情况!S2</f>
        <v>北京市出让国有建设用地使用权及在建建筑物房地产</v>
      </c>
      <c r="B2" s="3315"/>
      <c r="C2" s="3315"/>
      <c r="D2" s="3315"/>
      <c r="E2" s="3315"/>
      <c r="F2" s="3315"/>
      <c r="G2" s="3315"/>
      <c r="H2" s="3315"/>
      <c r="I2" s="3316"/>
    </row>
    <row r="3" spans="1:12" ht="12.75">
      <c r="A3" s="3318" t="s">
        <v>1264</v>
      </c>
      <c r="B3" s="3319"/>
      <c r="C3" s="3319"/>
      <c r="D3" s="3319"/>
      <c r="E3" s="3319"/>
      <c r="F3" s="3319"/>
      <c r="G3" s="3319"/>
      <c r="H3" s="3319"/>
      <c r="I3" s="3319"/>
    </row>
    <row r="4" spans="1:12" ht="14.25">
      <c r="A4" s="1622" t="s">
        <v>1265</v>
      </c>
      <c r="B4" s="1623" t="s">
        <v>1266</v>
      </c>
      <c r="C4" s="1624" t="s">
        <v>5810</v>
      </c>
      <c r="D4" s="1624" t="s">
        <v>5811</v>
      </c>
      <c r="E4" s="3320" t="s">
        <v>1267</v>
      </c>
      <c r="F4" s="3321"/>
      <c r="G4" s="3321"/>
      <c r="H4" s="3321"/>
      <c r="I4" s="332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4" t="s">
        <v>1268</v>
      </c>
      <c r="B5" s="3281">
        <v>25</v>
      </c>
      <c r="C5" s="3297"/>
      <c r="D5" s="3317"/>
      <c r="E5" s="123" t="s">
        <v>1269</v>
      </c>
      <c r="F5" s="1625"/>
      <c r="G5" s="1625"/>
      <c r="H5" s="1625"/>
      <c r="I5" s="1279"/>
    </row>
    <row r="6" spans="1:12" ht="12.75">
      <c r="A6" s="3294"/>
      <c r="B6" s="3281"/>
      <c r="C6" s="3298"/>
      <c r="D6" s="3317"/>
      <c r="E6" s="123" t="s">
        <v>1270</v>
      </c>
      <c r="F6" s="1625"/>
      <c r="G6" s="1625"/>
      <c r="H6" s="1625"/>
      <c r="I6" s="1279"/>
    </row>
    <row r="7" spans="1:12" ht="12.75">
      <c r="A7" s="3294"/>
      <c r="B7" s="3281"/>
      <c r="C7" s="3299"/>
      <c r="D7" s="3317"/>
      <c r="E7" s="123" t="s">
        <v>1271</v>
      </c>
      <c r="F7" s="1625"/>
      <c r="G7" s="1625"/>
      <c r="H7" s="1625"/>
      <c r="I7" s="1279"/>
    </row>
    <row r="8" spans="1:12" ht="12.75">
      <c r="A8" s="3294" t="s">
        <v>1272</v>
      </c>
      <c r="B8" s="3281">
        <v>15</v>
      </c>
      <c r="C8" s="3297"/>
      <c r="D8" s="3317"/>
      <c r="E8" s="123" t="s">
        <v>1273</v>
      </c>
      <c r="F8" s="1625"/>
      <c r="G8" s="1625"/>
      <c r="H8" s="1625"/>
      <c r="I8" s="1279"/>
    </row>
    <row r="9" spans="1:12" ht="12.75">
      <c r="A9" s="3294"/>
      <c r="B9" s="3281"/>
      <c r="C9" s="3299"/>
      <c r="D9" s="3317"/>
      <c r="E9" s="123" t="s">
        <v>1274</v>
      </c>
      <c r="F9" s="1625"/>
      <c r="G9" s="1625"/>
      <c r="H9" s="1625"/>
      <c r="I9" s="1279"/>
    </row>
    <row r="10" spans="1:12" ht="12.75">
      <c r="A10" s="3294" t="s">
        <v>1275</v>
      </c>
      <c r="B10" s="3281">
        <v>15</v>
      </c>
      <c r="C10" s="3297"/>
      <c r="D10" s="3317"/>
      <c r="E10" s="123" t="s">
        <v>1276</v>
      </c>
      <c r="F10" s="1625"/>
      <c r="G10" s="1625"/>
      <c r="H10" s="1625"/>
      <c r="I10" s="1279"/>
    </row>
    <row r="11" spans="1:12" ht="12.75">
      <c r="A11" s="3294"/>
      <c r="B11" s="3281"/>
      <c r="C11" s="3299"/>
      <c r="D11" s="3317"/>
      <c r="E11" s="123" t="s">
        <v>1277</v>
      </c>
      <c r="F11" s="1625"/>
      <c r="G11" s="1625"/>
      <c r="H11" s="1625"/>
      <c r="I11" s="1279"/>
    </row>
    <row r="12" spans="1:12" ht="12.75">
      <c r="A12" s="3294" t="s">
        <v>1278</v>
      </c>
      <c r="B12" s="3281">
        <v>15</v>
      </c>
      <c r="C12" s="3297"/>
      <c r="D12" s="3317"/>
      <c r="E12" s="123" t="s">
        <v>1279</v>
      </c>
      <c r="F12" s="1625"/>
      <c r="G12" s="1625"/>
      <c r="H12" s="1625"/>
      <c r="I12" s="1279"/>
    </row>
    <row r="13" spans="1:12" ht="12.75">
      <c r="A13" s="3294"/>
      <c r="B13" s="3281"/>
      <c r="C13" s="3299"/>
      <c r="D13" s="3317"/>
      <c r="E13" s="123" t="s">
        <v>1280</v>
      </c>
      <c r="F13" s="1625"/>
      <c r="G13" s="1625"/>
      <c r="H13" s="1625"/>
      <c r="I13" s="1279"/>
    </row>
    <row r="14" spans="1:12" ht="12.75">
      <c r="A14" s="3294" t="s">
        <v>1281</v>
      </c>
      <c r="B14" s="3281">
        <v>30</v>
      </c>
      <c r="C14" s="3297">
        <v>5</v>
      </c>
      <c r="D14" s="3317">
        <v>5</v>
      </c>
      <c r="E14" s="123" t="s">
        <v>1282</v>
      </c>
      <c r="F14" s="1625"/>
      <c r="G14" s="1625"/>
      <c r="H14" s="1625"/>
      <c r="I14" s="1279"/>
    </row>
    <row r="15" spans="1:12" ht="12.75">
      <c r="A15" s="3294"/>
      <c r="B15" s="3281"/>
      <c r="C15" s="3298"/>
      <c r="D15" s="3317"/>
      <c r="E15" s="123" t="s">
        <v>1283</v>
      </c>
      <c r="F15" s="1625"/>
      <c r="G15" s="1625"/>
      <c r="H15" s="1625"/>
      <c r="I15" s="1279"/>
    </row>
    <row r="16" spans="1:12" ht="12.75">
      <c r="A16" s="3294"/>
      <c r="B16" s="3281"/>
      <c r="C16" s="3299"/>
      <c r="D16" s="3317"/>
      <c r="E16" s="123" t="s">
        <v>1284</v>
      </c>
      <c r="F16" s="1625"/>
      <c r="G16" s="1625"/>
      <c r="H16" s="1625"/>
      <c r="I16" s="1279"/>
    </row>
    <row r="17" spans="1:36" ht="15">
      <c r="A17" s="1626" t="s">
        <v>1285</v>
      </c>
      <c r="B17" s="54"/>
      <c r="C17" s="124">
        <f>SUM(C5:C16)</f>
        <v>5</v>
      </c>
      <c r="D17" s="124">
        <f>SUM(D5:D16)</f>
        <v>5</v>
      </c>
      <c r="E17" s="121"/>
      <c r="F17" s="121"/>
      <c r="G17" s="121"/>
      <c r="H17" s="121"/>
      <c r="I17" s="121"/>
      <c r="K17" s="294"/>
      <c r="L17" s="294" t="s">
        <v>1286</v>
      </c>
      <c r="M17" s="294" t="s">
        <v>1287</v>
      </c>
    </row>
    <row r="18" spans="1:36" ht="31.9" customHeight="1" thickBot="1">
      <c r="A18" s="1627" t="s">
        <v>1288</v>
      </c>
      <c r="B18" s="1540"/>
      <c r="C18" s="125">
        <f>ROUND(C17/SUM(C17:D17),2)</f>
        <v>0.5</v>
      </c>
      <c r="D18" s="125">
        <f>1-C18</f>
        <v>0.5</v>
      </c>
      <c r="E18" s="3304" t="s">
        <v>2130</v>
      </c>
      <c r="F18" s="3305"/>
      <c r="G18" s="3305"/>
      <c r="H18" s="3305"/>
      <c r="I18" s="3305"/>
      <c r="K18" s="294" t="s">
        <v>1289</v>
      </c>
      <c r="L18" s="294">
        <f>IF(C1="",'数据-汇总表'!E3,SUMIF(项目类型,C1,'数据-汇总表'!E17:E26)+SUMIF(项目类型,C1,'数据-汇总表'!I17:I26))</f>
        <v>74277.419999999867</v>
      </c>
      <c r="M18" s="294">
        <f>IF(C1="",'数据-汇总表'!E3,SUMIF(项目类型,C1,'数据-汇总表'!E17:E26))</f>
        <v>74277.419999999867</v>
      </c>
    </row>
    <row r="19" spans="1:36" ht="15">
      <c r="A19" s="1628" t="s">
        <v>1290</v>
      </c>
      <c r="B19" s="1629" t="s">
        <v>1291</v>
      </c>
      <c r="C19" s="126">
        <f ca="1">SUMIF(INDIRECT("'"&amp;C4&amp;"'"&amp;"!A:A"),结果表!B19,INDIRECT("'"&amp;C4&amp;"'"&amp;"!B:B"))</f>
        <v>557811</v>
      </c>
      <c r="D19" s="127">
        <f ca="1">SUMIF(INDIRECT("'"&amp;D4&amp;"'"&amp;"!A:A"),结果表!B19,INDIRECT("'"&amp;D4&amp;"'"&amp;"!B:B"))</f>
        <v>492821</v>
      </c>
      <c r="E19" s="1628" t="s">
        <v>1292</v>
      </c>
      <c r="F19" s="1629" t="s">
        <v>1291</v>
      </c>
      <c r="G19" s="128">
        <f ca="1">ROUND(C19*$C$18+D19*$D$18,0)</f>
        <v>525316</v>
      </c>
      <c r="H19" s="1630" t="s">
        <v>1293</v>
      </c>
      <c r="I19" s="121"/>
      <c r="K19" s="294" t="s">
        <v>1294</v>
      </c>
      <c r="L19" s="294">
        <f>IF(C1="",'数据-汇总表'!D3,SUMIF(项目类型,C1,'数据-汇总表'!D17:D26)+SUMIF(项目类型,C1,'数据-汇总表'!H17:H27))</f>
        <v>37485.769999999997</v>
      </c>
      <c r="M19" s="294">
        <f>IF(C1="",'数据-汇总表'!D3,SUMIF(项目类型,C1,'数据-汇总表'!D17:D26))</f>
        <v>37485.769999999997</v>
      </c>
    </row>
    <row r="20" spans="1:36" ht="15">
      <c r="A20" s="1631"/>
      <c r="B20" s="43" t="s">
        <v>1295</v>
      </c>
      <c r="C20" s="129">
        <f ca="1">SUMIF(INDIRECT("'"&amp;C4&amp;"'"&amp;"!A:A"),结果表!B20,INDIRECT("'"&amp;C4&amp;"'"&amp;"!B:B"))</f>
        <v>75098</v>
      </c>
      <c r="D20" s="130">
        <f ca="1">SUMIF(INDIRECT("'"&amp;D4&amp;"'"&amp;"!A:A"),结果表!B20,INDIRECT("'"&amp;D4&amp;"'"&amp;"!B:B"))</f>
        <v>66349</v>
      </c>
      <c r="E20" s="1631"/>
      <c r="F20" s="43" t="s">
        <v>1295</v>
      </c>
      <c r="G20" s="131">
        <f ca="1">ROUND(C20*$C$18+D20*$D$18,0)</f>
        <v>70724</v>
      </c>
      <c r="H20" s="758" t="s">
        <v>1296</v>
      </c>
      <c r="I20" s="121"/>
    </row>
    <row r="21" spans="1:36" ht="15" customHeight="1" thickBot="1">
      <c r="A21" s="447"/>
      <c r="B21" s="93" t="s">
        <v>1297</v>
      </c>
      <c r="C21" s="676">
        <f ca="1">ROUND(C19*10000/L19,0)</f>
        <v>148806</v>
      </c>
      <c r="D21" s="677">
        <f ca="1">ROUND(D19*10000/L19,0)</f>
        <v>131469</v>
      </c>
      <c r="E21" s="447"/>
      <c r="F21" s="93" t="s">
        <v>1297</v>
      </c>
      <c r="G21" s="132">
        <f ca="1">ROUND(G19*10000/L19,0)</f>
        <v>140137</v>
      </c>
      <c r="H21" s="1632" t="s">
        <v>1296</v>
      </c>
      <c r="I21" s="121"/>
    </row>
    <row r="22" spans="1:36" ht="15" thickBot="1">
      <c r="A22" s="1562" t="s">
        <v>1298</v>
      </c>
      <c r="B22" s="1633"/>
      <c r="C22" s="1634"/>
      <c r="D22" s="678">
        <f ca="1">IF(C19&lt;D19,D19/C19-1,C19/D19-1)</f>
        <v>0.13187343883478997</v>
      </c>
      <c r="E22" s="121"/>
      <c r="F22" s="121"/>
      <c r="G22" s="121"/>
      <c r="H22" s="121"/>
      <c r="I22" s="121"/>
    </row>
    <row r="23" spans="1:36" ht="13.5" thickBot="1">
      <c r="A23" s="644"/>
      <c r="B23" s="644"/>
      <c r="C23" s="644"/>
      <c r="D23" s="644"/>
      <c r="E23" s="121"/>
      <c r="F23" s="121"/>
      <c r="G23" s="121"/>
      <c r="H23" s="121"/>
      <c r="I23" s="121"/>
    </row>
    <row r="24" spans="1:36" ht="14.25">
      <c r="A24" s="3288" t="s">
        <v>1299</v>
      </c>
      <c r="B24" s="1629" t="s">
        <v>1291</v>
      </c>
      <c r="C24" s="128">
        <f>IF(B30=0,0,D30)</f>
        <v>0</v>
      </c>
      <c r="D24" s="1635"/>
      <c r="E24" s="121"/>
      <c r="F24" s="121"/>
      <c r="G24" s="121"/>
      <c r="H24" s="121"/>
      <c r="I24" s="121"/>
    </row>
    <row r="25" spans="1:36" ht="14.25">
      <c r="A25" s="3289"/>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3" t="s">
        <v>2131</v>
      </c>
      <c r="F30" s="121"/>
      <c r="G30" s="121"/>
      <c r="H30" s="121"/>
      <c r="I30" s="121"/>
    </row>
    <row r="31" spans="1:36" s="2129" customFormat="1" ht="26.45" customHeight="1" thickTop="1" thickBot="1">
      <c r="A31" s="2124"/>
      <c r="B31" s="2125"/>
      <c r="C31" s="2125"/>
      <c r="D31" s="2125"/>
      <c r="E31" s="2125"/>
      <c r="F31" s="2125"/>
      <c r="G31" s="2125"/>
      <c r="H31" s="2125"/>
      <c r="I31" s="2126" t="s">
        <v>2132</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8" t="s">
        <v>1305</v>
      </c>
      <c r="B32" s="1533"/>
      <c r="C32" s="136">
        <f ca="1">IF(D32="总价",G19-C24,G20-C25)</f>
        <v>525316</v>
      </c>
      <c r="D32" s="1639" t="s">
        <v>5812</v>
      </c>
      <c r="E32" s="121"/>
      <c r="F32" s="121"/>
      <c r="G32" s="121"/>
      <c r="H32" s="121"/>
      <c r="I32" s="121"/>
    </row>
    <row r="33" spans="1:15" ht="15">
      <c r="A33" s="738" t="s">
        <v>1306</v>
      </c>
      <c r="B33" s="123"/>
      <c r="C33" s="1640" t="s">
        <v>5813</v>
      </c>
      <c r="D33" s="1641" t="s">
        <v>5810</v>
      </c>
      <c r="E33" s="1642" t="s">
        <v>1307</v>
      </c>
      <c r="F33" s="1643" t="str">
        <f>IF(D32="楼面单价","取值（单价）","取值（总价）")</f>
        <v>取值（总价）</v>
      </c>
      <c r="G33" s="121"/>
      <c r="H33" s="121"/>
      <c r="I33" s="121"/>
    </row>
    <row r="34" spans="1:15" ht="15">
      <c r="A34" s="1644"/>
      <c r="B34" s="1645" t="s">
        <v>1308</v>
      </c>
      <c r="C34" s="140">
        <f ca="1">IF(C33="自定义",F34,C32-C35)</f>
        <v>470683</v>
      </c>
      <c r="D34" s="806">
        <f ca="1">IF(C33="自定义",ROUND(C34/C32,3),IF(C33="收益比率",SUMIF(INDIRECT("'"&amp;D33&amp;"'"&amp;"!b:b"),"土地收益比率",INDIRECT("'"&amp;D33&amp;"'"&amp;"!c:c")),SUMIF(INDIRECT("'"&amp;D33&amp;"'"&amp;"!b:b"),"土地成本比率",INDIRECT("'"&amp;D33&amp;"'"&amp;"!c:c"))))</f>
        <v>0.89600000000000002</v>
      </c>
      <c r="E34" s="1646" t="s">
        <v>1309</v>
      </c>
      <c r="F34" s="1241"/>
      <c r="G34" s="121"/>
      <c r="H34" s="121"/>
      <c r="I34" s="121"/>
    </row>
    <row r="35" spans="1:15" ht="15.75" thickBot="1">
      <c r="A35" s="1647"/>
      <c r="B35" s="1648" t="s">
        <v>1310</v>
      </c>
      <c r="C35" s="1088">
        <f ca="1">IF(C33="自定义",F35,ROUND(C32*D35,0))</f>
        <v>54633</v>
      </c>
      <c r="D35" s="1089">
        <f ca="1">IF(C33="自定义",ROUND(C35/C32,3),IF(C33="收益比率",SUMIF(INDIRECT("'"&amp;D33&amp;"'"&amp;"!b:b"),"建筑物收益比率",INDIRECT("'"&amp;D33&amp;"'"&amp;"!c:c")),SUMIF(INDIRECT("'"&amp;D33&amp;"'"&amp;"!b:b"),"建筑物成本比率",INDIRECT("'"&amp;D33&amp;"'"&amp;"!c:c"))))</f>
        <v>0.104</v>
      </c>
      <c r="E35" s="1649" t="s">
        <v>1311</v>
      </c>
      <c r="F35" s="146"/>
      <c r="G35" s="121"/>
      <c r="H35" s="121"/>
      <c r="I35" s="121"/>
    </row>
    <row r="36" spans="1:15" ht="15.75" thickBot="1">
      <c r="A36" s="3308" t="s">
        <v>1312</v>
      </c>
      <c r="B36" s="1650" t="s">
        <v>1313</v>
      </c>
      <c r="C36" s="137"/>
      <c r="D36" s="1651"/>
      <c r="E36" s="1565"/>
      <c r="F36" s="1652"/>
      <c r="G36" s="121"/>
      <c r="H36" s="121"/>
      <c r="I36" s="121"/>
    </row>
    <row r="37" spans="1:15" ht="15.75" thickBot="1">
      <c r="A37" s="3309"/>
      <c r="B37" s="1553" t="s">
        <v>1314</v>
      </c>
      <c r="C37" s="139"/>
      <c r="D37" s="1069"/>
      <c r="E37" s="1069"/>
      <c r="F37" s="1652"/>
      <c r="G37" s="121"/>
      <c r="H37" s="121"/>
      <c r="I37" s="121"/>
    </row>
    <row r="38" spans="1:15" ht="15.75" thickBot="1">
      <c r="A38" s="3310"/>
      <c r="B38" s="1653" t="s">
        <v>1315</v>
      </c>
      <c r="C38" s="639"/>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5" t="s">
        <v>1326</v>
      </c>
      <c r="B45" s="3286"/>
      <c r="C45" s="3287"/>
      <c r="D45" s="147">
        <f ca="1">ROUND(H101*F45,0)</f>
        <v>525316</v>
      </c>
      <c r="E45" s="148" t="s">
        <v>1327</v>
      </c>
      <c r="F45" s="149">
        <v>1</v>
      </c>
      <c r="G45" s="150" t="s">
        <v>1328</v>
      </c>
      <c r="H45" s="121"/>
      <c r="I45" s="121"/>
      <c r="J45" s="3363" t="s">
        <v>1329</v>
      </c>
      <c r="K45" s="3363"/>
      <c r="L45" s="3363"/>
      <c r="M45" s="3363"/>
      <c r="N45" s="3363"/>
      <c r="O45" s="3363"/>
    </row>
    <row r="46" spans="1:15" ht="14.25" customHeight="1">
      <c r="A46" s="3282" t="s">
        <v>1330</v>
      </c>
      <c r="B46" s="3283"/>
      <c r="C46" s="3283"/>
      <c r="D46" s="3283"/>
      <c r="E46" s="3283"/>
      <c r="F46" s="3283"/>
      <c r="G46" s="3284"/>
      <c r="H46" s="1666"/>
      <c r="I46" s="151"/>
      <c r="J46" s="2306">
        <v>1</v>
      </c>
      <c r="K46" s="3344" t="s">
        <v>1331</v>
      </c>
      <c r="L46" s="3344"/>
      <c r="M46" s="3364"/>
      <c r="N46" s="3364"/>
      <c r="O46" s="3364"/>
    </row>
    <row r="47" spans="1:15" ht="12" customHeight="1">
      <c r="A47" s="152" t="s">
        <v>1332</v>
      </c>
      <c r="B47" s="153"/>
      <c r="C47" s="154"/>
      <c r="D47" s="1022" t="s">
        <v>1333</v>
      </c>
      <c r="E47" s="294" t="s">
        <v>1334</v>
      </c>
      <c r="F47" s="155" t="s">
        <v>1335</v>
      </c>
      <c r="G47" s="2329" t="s">
        <v>1336</v>
      </c>
      <c r="H47" s="2330"/>
      <c r="I47" s="151"/>
      <c r="J47" s="2306">
        <v>2</v>
      </c>
      <c r="K47" s="3344" t="s">
        <v>1337</v>
      </c>
      <c r="L47" s="3344"/>
      <c r="M47" s="3365">
        <f>'数据-取费表'!B2</f>
        <v>45803</v>
      </c>
      <c r="N47" s="3365"/>
      <c r="O47" s="3365"/>
    </row>
    <row r="48" spans="1:15" ht="25.5">
      <c r="A48" s="3313" t="s">
        <v>1338</v>
      </c>
      <c r="B48" s="3296"/>
      <c r="C48" s="3296"/>
      <c r="D48" s="12" t="b">
        <f>IF(H48="情况1",0,IF(H48="情况2",D52,IF(H48="情况3",D53,IF(H48="情况4",D54))))</f>
        <v>0</v>
      </c>
      <c r="E48" s="1254" t="str">
        <f>IF(H48="情况4","(销售额-原购置价)×税（费）率","销售额×税（费）率")</f>
        <v>销售额×税（费）率</v>
      </c>
      <c r="F48" s="2331">
        <f>IF(H48="情况1","免征",'数据-取费表'!B41)</f>
        <v>5.6000000000000001E-2</v>
      </c>
      <c r="G48" s="2332" t="s">
        <v>1339</v>
      </c>
      <c r="H48" s="2333"/>
      <c r="I48" s="1666"/>
      <c r="J48" s="2306">
        <v>3</v>
      </c>
      <c r="K48" s="3344" t="s">
        <v>1340</v>
      </c>
      <c r="L48" s="3344"/>
      <c r="M48" s="3366">
        <f ca="1">H101</f>
        <v>525316</v>
      </c>
      <c r="N48" s="3366"/>
      <c r="O48" s="3366"/>
    </row>
    <row r="49" spans="1:35" ht="25.5" customHeight="1">
      <c r="A49" s="2148" t="s">
        <v>1341</v>
      </c>
      <c r="B49" s="3280" t="s">
        <v>1342</v>
      </c>
      <c r="C49" s="3280"/>
      <c r="D49" s="1476">
        <v>0</v>
      </c>
      <c r="E49" s="316" t="s">
        <v>1343</v>
      </c>
      <c r="F49" s="2229" t="s">
        <v>28</v>
      </c>
      <c r="G49" s="3350"/>
      <c r="H49" s="2130" t="s">
        <v>2133</v>
      </c>
      <c r="I49" s="2131"/>
      <c r="J49" s="2306">
        <v>4</v>
      </c>
      <c r="K49" s="3344" t="str">
        <f>IF(项目基本情况!E8="房地产抵押价值","房地产抵押价值","抵押担保权已注销时的房地产抵押价值")</f>
        <v>房地产抵押价值</v>
      </c>
      <c r="L49" s="3344"/>
      <c r="M49" s="3366">
        <f ca="1">IF(项目基本情况!E8="房地产抵押价值",H107,H109)</f>
        <v>525316</v>
      </c>
      <c r="N49" s="3366"/>
      <c r="O49" s="3366"/>
    </row>
    <row r="50" spans="1:35" ht="25.5" customHeight="1">
      <c r="A50" s="2334"/>
      <c r="B50" s="3280" t="s">
        <v>1344</v>
      </c>
      <c r="C50" s="3280"/>
      <c r="D50" s="2185"/>
      <c r="E50" s="323"/>
      <c r="F50" s="2229"/>
      <c r="G50" s="3351"/>
      <c r="H50" s="2132" t="s">
        <v>2134</v>
      </c>
      <c r="I50" s="2131"/>
      <c r="J50" s="3363" t="s">
        <v>1345</v>
      </c>
      <c r="K50" s="3363"/>
      <c r="L50" s="3363"/>
      <c r="M50" s="3363"/>
      <c r="N50" s="3363"/>
      <c r="O50" s="3363"/>
    </row>
    <row r="51" spans="1:35" ht="20.45" customHeight="1">
      <c r="A51" s="2335"/>
      <c r="B51" s="3280" t="s">
        <v>1346</v>
      </c>
      <c r="C51" s="3280"/>
      <c r="D51" s="1022"/>
      <c r="E51" s="319"/>
      <c r="F51" s="2229"/>
      <c r="G51" s="3352"/>
      <c r="H51" s="2132" t="s">
        <v>2135</v>
      </c>
      <c r="I51" s="2131"/>
      <c r="J51" s="2307" t="s">
        <v>1347</v>
      </c>
      <c r="K51" s="3344" t="s">
        <v>1348</v>
      </c>
      <c r="L51" s="3344"/>
      <c r="M51" s="2307" t="s">
        <v>1349</v>
      </c>
      <c r="N51" s="2307" t="s">
        <v>1350</v>
      </c>
      <c r="O51" s="2307" t="s">
        <v>1351</v>
      </c>
    </row>
    <row r="52" spans="1:35" ht="24" customHeight="1">
      <c r="A52" s="2149" t="s">
        <v>1352</v>
      </c>
      <c r="B52" s="3280" t="s">
        <v>1353</v>
      </c>
      <c r="C52" s="3280"/>
      <c r="D52" s="1022">
        <f ca="1">ROUND(D45*'数据-取费表'!B41/(1+'数据-取费表'!C42),0)</f>
        <v>28017</v>
      </c>
      <c r="E52" s="1254" t="s">
        <v>1354</v>
      </c>
      <c r="F52" s="2336">
        <f>'数据-取费表'!B41</f>
        <v>5.6000000000000001E-2</v>
      </c>
      <c r="G52" s="2337"/>
      <c r="H52" s="2327"/>
      <c r="I52" s="1667"/>
      <c r="J52" s="2306">
        <v>1</v>
      </c>
      <c r="K52" s="3345" t="s">
        <v>1355</v>
      </c>
      <c r="L52" s="3345"/>
      <c r="M52" s="2308" t="b">
        <f>D48</f>
        <v>0</v>
      </c>
      <c r="N52" s="2306" t="str">
        <f>E48</f>
        <v>销售额×税（费）率</v>
      </c>
      <c r="O52" s="2309">
        <f>F48</f>
        <v>5.6000000000000001E-2</v>
      </c>
    </row>
    <row r="53" spans="1:35" ht="12" customHeight="1">
      <c r="A53" s="2149" t="s">
        <v>1356</v>
      </c>
      <c r="B53" s="3306" t="s">
        <v>2281</v>
      </c>
      <c r="C53" s="3307"/>
      <c r="D53" s="1022">
        <f ca="1">ROUND(D45*'数据-取费表'!B41/(1+'数据-取费表'!C42),0)</f>
        <v>28017</v>
      </c>
      <c r="E53" s="1254" t="s">
        <v>1354</v>
      </c>
      <c r="F53" s="2336">
        <f>'数据-取费表'!B41</f>
        <v>5.6000000000000001E-2</v>
      </c>
      <c r="G53" s="2337"/>
      <c r="H53" s="2327"/>
      <c r="I53" s="1667"/>
      <c r="J53" s="2306">
        <v>2</v>
      </c>
      <c r="K53" s="3345" t="s">
        <v>1357</v>
      </c>
      <c r="L53" s="3345"/>
      <c r="M53" s="2308">
        <f t="shared" ref="M53:O54" ca="1" si="0">D55</f>
        <v>263</v>
      </c>
      <c r="N53" s="2306" t="str">
        <f t="shared" si="0"/>
        <v>销售额×税（费）率</v>
      </c>
      <c r="O53" s="2309" t="str">
        <f t="shared" si="0"/>
        <v>免征</v>
      </c>
    </row>
    <row r="54" spans="1:35" ht="12" customHeight="1">
      <c r="A54" s="2149" t="s">
        <v>1358</v>
      </c>
      <c r="B54" s="3306" t="s">
        <v>2282</v>
      </c>
      <c r="C54" s="3307"/>
      <c r="D54" s="1022">
        <f ca="1">C68</f>
        <v>28017</v>
      </c>
      <c r="E54" s="319" t="s">
        <v>1359</v>
      </c>
      <c r="F54" s="2336">
        <f>'数据-取费表'!B41</f>
        <v>5.6000000000000001E-2</v>
      </c>
      <c r="G54" s="2337"/>
      <c r="H54" s="2338"/>
      <c r="I54" s="1667"/>
      <c r="J54" s="2306">
        <v>3</v>
      </c>
      <c r="K54" s="3345" t="s">
        <v>1360</v>
      </c>
      <c r="L54" s="3345"/>
      <c r="M54" s="2308">
        <f t="shared" ca="1" si="0"/>
        <v>297329</v>
      </c>
      <c r="N54" s="2306" t="str">
        <f t="shared" si="0"/>
        <v>增值额×税（费）率</v>
      </c>
      <c r="O54" s="2310" t="str">
        <f t="shared" si="0"/>
        <v>免征</v>
      </c>
    </row>
    <row r="55" spans="1:35" ht="24" customHeight="1">
      <c r="A55" s="3295" t="s">
        <v>1361</v>
      </c>
      <c r="B55" s="3296"/>
      <c r="C55" s="3296"/>
      <c r="D55" s="12">
        <f ca="1">IF(H55="个人住宅",0,ROUND(D45*I55,0))</f>
        <v>263</v>
      </c>
      <c r="E55" s="1254" t="s">
        <v>1362</v>
      </c>
      <c r="F55" s="2336" t="str">
        <f>IF(H55="正常",I55,"免征")</f>
        <v>免征</v>
      </c>
      <c r="G55" s="2337"/>
      <c r="H55" s="2333"/>
      <c r="I55" s="157">
        <f>'数据-取费表'!B49</f>
        <v>5.0000000000000001E-4</v>
      </c>
      <c r="J55" s="2306">
        <f>IF(H59="非个人房产","",4)</f>
        <v>4</v>
      </c>
      <c r="K55" s="3345" t="str">
        <f>IF(H59="非个人房产","——","个人所得税")</f>
        <v>个人所得税</v>
      </c>
      <c r="L55" s="3345"/>
      <c r="M55" s="2311">
        <f ca="1">D59</f>
        <v>5003</v>
      </c>
      <c r="N55" s="1879" t="str">
        <f>E59</f>
        <v>差额计税</v>
      </c>
      <c r="O55" s="2312">
        <f>F59</f>
        <v>0.01</v>
      </c>
    </row>
    <row r="56" spans="1:35" ht="24.75">
      <c r="A56" s="3295" t="s">
        <v>1363</v>
      </c>
      <c r="B56" s="3296"/>
      <c r="C56" s="3296"/>
      <c r="D56" s="12">
        <f ca="1">IF(H56="个人住宅",D57,D58)</f>
        <v>297329</v>
      </c>
      <c r="E56" s="1254" t="s">
        <v>1364</v>
      </c>
      <c r="F56" s="2336" t="str">
        <f>IF(H56="正常",F58,"免征")</f>
        <v>免征</v>
      </c>
      <c r="G56" s="2339" t="s">
        <v>1365</v>
      </c>
      <c r="H56" s="2340"/>
      <c r="I56" s="1668"/>
      <c r="J56" s="2306" t="str">
        <f>IF(项目基本情况!K6="上海银行",IF(J55="",4,J55+1),"")</f>
        <v/>
      </c>
      <c r="K56" s="3368" t="str">
        <f>IF(项目基本情况!K6="上海银行","其他处置费用","")</f>
        <v/>
      </c>
      <c r="L56" s="3369"/>
      <c r="M56" s="2308" t="str">
        <f>IF(项目基本情况!K6="上海银行",M69,"")</f>
        <v/>
      </c>
      <c r="N56" s="3368" t="str">
        <f>IF(项目基本情况!K6="上海银行","包含处置中涉及的律师、诉讼、拍卖、评估等费用","")</f>
        <v/>
      </c>
      <c r="O56" s="3371"/>
    </row>
    <row r="57" spans="1:35" ht="12.75">
      <c r="A57" s="2149" t="s">
        <v>1341</v>
      </c>
      <c r="B57" s="3306" t="s">
        <v>1366</v>
      </c>
      <c r="C57" s="3307"/>
      <c r="D57" s="1476">
        <v>0</v>
      </c>
      <c r="E57" s="316" t="s">
        <v>1343</v>
      </c>
      <c r="F57" s="294"/>
      <c r="G57" s="2337"/>
      <c r="H57" s="2341"/>
      <c r="I57" s="1668"/>
      <c r="J57" s="3345">
        <f>IF(AND(J55="",J56=""),4,IF(项目基本情况!K6="上海银行",结果表!J56+1,结果表!J55+1))</f>
        <v>5</v>
      </c>
      <c r="K57" s="3345" t="s">
        <v>1367</v>
      </c>
      <c r="L57" s="2313" t="s">
        <v>1368</v>
      </c>
      <c r="M57" s="2314"/>
      <c r="N57" s="2315">
        <f ca="1">SUMIF(M52:M56,"&lt;9e307")</f>
        <v>302595</v>
      </c>
      <c r="O57" s="2316"/>
      <c r="P57" s="2461">
        <f ca="1">N57/M49</f>
        <v>0.5760247165515614</v>
      </c>
    </row>
    <row r="58" spans="1:35" ht="24.75">
      <c r="A58" s="2149" t="s">
        <v>1352</v>
      </c>
      <c r="B58" s="3306" t="s">
        <v>1369</v>
      </c>
      <c r="C58" s="3280"/>
      <c r="D58" s="12">
        <f ca="1">IF(H58="转让取得",C81,C97)</f>
        <v>297329</v>
      </c>
      <c r="E58" s="1254" t="s">
        <v>1364</v>
      </c>
      <c r="F58" s="294" t="s">
        <v>28</v>
      </c>
      <c r="G58" s="2337"/>
      <c r="H58" s="2340"/>
      <c r="I58" s="1668"/>
      <c r="J58" s="3345"/>
      <c r="K58" s="3345"/>
      <c r="L58" s="2313" t="s">
        <v>1370</v>
      </c>
      <c r="M58" s="2317"/>
      <c r="N58" s="2318" t="str">
        <f ca="1">NUMBERSTRING(INT(N57*10000),2)&amp;"元整"</f>
        <v>叁拾亿贰仟伍佰玖拾伍万元整</v>
      </c>
      <c r="O58" s="2319"/>
    </row>
    <row r="59" spans="1:35" ht="24.75" thickBot="1">
      <c r="A59" s="3348" t="s">
        <v>1371</v>
      </c>
      <c r="B59" s="3349"/>
      <c r="C59" s="3349"/>
      <c r="D59" s="2342">
        <f ca="1">IF(H59="非个人房产","——",IF(H59="个人住宅（满五唯一有凭证）",0,IF(H59="个人其他（无凭证）",ROUND(D45*F59,0),ROUND(C67*F59,0))))</f>
        <v>5003</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2136</v>
      </c>
      <c r="J59" s="3346">
        <f>J57+1</f>
        <v>6</v>
      </c>
      <c r="K59" s="3345" t="s">
        <v>1372</v>
      </c>
      <c r="L59" s="2306" t="s">
        <v>1368</v>
      </c>
      <c r="M59" s="2320"/>
      <c r="N59" s="2321">
        <f ca="1">M49-N57</f>
        <v>222721</v>
      </c>
      <c r="O59" s="2322"/>
    </row>
    <row r="60" spans="1:35" ht="12" customHeight="1">
      <c r="A60" s="1669"/>
      <c r="B60" s="644"/>
      <c r="C60" s="644"/>
      <c r="D60" s="644"/>
      <c r="E60" s="1464"/>
      <c r="F60" s="1668"/>
      <c r="G60" s="1668"/>
      <c r="H60" s="151"/>
      <c r="I60" s="121"/>
      <c r="J60" s="3347"/>
      <c r="K60" s="3345"/>
      <c r="L60" s="2313" t="s">
        <v>1370</v>
      </c>
      <c r="M60" s="2317"/>
      <c r="N60" s="2318" t="str">
        <f ca="1">NUMBERSTRING(INT(N59*10000),2)&amp;"元整"</f>
        <v>贰拾贰亿贰仟柒佰贰拾壹万元整</v>
      </c>
      <c r="O60" s="2319"/>
    </row>
    <row r="61" spans="1:35" ht="13.5" thickBot="1">
      <c r="A61" s="3293" t="s">
        <v>1373</v>
      </c>
      <c r="B61" s="3293"/>
      <c r="C61" s="3293"/>
      <c r="D61" s="3293"/>
      <c r="E61" s="3293"/>
      <c r="F61" s="1668"/>
      <c r="G61" s="1668"/>
      <c r="H61" s="151"/>
      <c r="I61" s="121"/>
      <c r="J61" s="2306">
        <f>J59+1</f>
        <v>7</v>
      </c>
      <c r="K61" s="3345" t="s">
        <v>1374</v>
      </c>
      <c r="L61" s="3345"/>
      <c r="M61" s="2323"/>
      <c r="N61" s="2324">
        <f ca="1">ROUND(N59*10000/'数据-汇总表'!E3,0)</f>
        <v>29985</v>
      </c>
      <c r="O61" s="2325"/>
    </row>
    <row r="62" spans="1:35" ht="12.75">
      <c r="A62" s="3311" t="s">
        <v>1375</v>
      </c>
      <c r="B62" s="3312"/>
      <c r="C62" s="1861"/>
      <c r="D62" s="1861" t="s">
        <v>1376</v>
      </c>
      <c r="E62" s="158" t="s">
        <v>1377</v>
      </c>
      <c r="F62" s="1668"/>
      <c r="G62" s="1668"/>
      <c r="H62" s="151"/>
      <c r="I62" s="121"/>
    </row>
    <row r="63" spans="1:35" ht="12.75">
      <c r="A63" s="165" t="s">
        <v>330</v>
      </c>
      <c r="B63" s="159" t="s">
        <v>1378</v>
      </c>
      <c r="C63" s="2346">
        <f ca="1">ROUND((C64+C65)/(1+'数据-取费表'!C42),0)</f>
        <v>500301</v>
      </c>
      <c r="D63" s="159"/>
      <c r="E63" s="160"/>
      <c r="F63" s="1668"/>
      <c r="G63" s="1668"/>
      <c r="H63" s="151"/>
      <c r="I63" s="121"/>
      <c r="J63" s="3370" t="s">
        <v>1379</v>
      </c>
      <c r="K63" s="1243" t="s">
        <v>1380</v>
      </c>
      <c r="L63" s="1243">
        <f ca="1">IF(M49&gt;10000,M49*0.5%,IF(AND(M49&gt;1000,M49&lt;=10000),M49*1%,IF(AND(M49&gt;100,M49&lt;=1000),M49*3%,IF(AND(M49&gt;10,M49&lt;=100),M49*5%,M49*8%))))</f>
        <v>2626.58</v>
      </c>
      <c r="M63" s="294">
        <f ca="1">ROUND(L63,1)</f>
        <v>2626.6</v>
      </c>
      <c r="N63" s="2326"/>
      <c r="Z63" s="1621"/>
      <c r="AI63" s="1559"/>
    </row>
    <row r="64" spans="1:35" ht="14.25" customHeight="1">
      <c r="A64" s="161" t="s">
        <v>325</v>
      </c>
      <c r="B64" s="162" t="s">
        <v>1381</v>
      </c>
      <c r="C64" s="2347">
        <f ca="1">D45</f>
        <v>525316</v>
      </c>
      <c r="D64" s="162" t="s">
        <v>26</v>
      </c>
      <c r="E64" s="164"/>
      <c r="F64" s="1668"/>
      <c r="G64" s="1668"/>
      <c r="H64" s="151"/>
      <c r="I64" s="121"/>
      <c r="J64" s="3370"/>
      <c r="K64" s="1243" t="s">
        <v>1382</v>
      </c>
      <c r="L64" s="1243">
        <f ca="1">IF(M49&gt;2000,M49*0.5%,IF(AND(M49&gt;1000,M49&lt;=2000),M49*0.6%,IF(AND(M49&gt;500,M49&lt;=1000),M49*0.7%,IF(AND(M49&gt;200,M49&lt;=500),M49*0.8%,IF(AND(M49&gt;100,M49&lt;=200),M49*0.9%,IF(AND(M49&gt;50,M49&lt;=100),M49*1%,IF(AND(M49&gt;20,M49&lt;=50),M49*1.5%,IF(AND(M49&gt;10,M49&lt;=20),M49*2%,IF(AND(M49&gt;1,M49&lt;=10),M49*2.5%)))))))))</f>
        <v>2626.58</v>
      </c>
      <c r="M64" s="294">
        <f t="shared" ref="M64:M65" ca="1" si="1">ROUND(L64,1)</f>
        <v>2626.6</v>
      </c>
      <c r="N64" s="2327" t="s">
        <v>1383</v>
      </c>
      <c r="Z64" s="1621"/>
      <c r="AI64" s="1559"/>
    </row>
    <row r="65" spans="1:35" ht="14.25" customHeight="1">
      <c r="A65" s="161" t="s">
        <v>326</v>
      </c>
      <c r="B65" s="162" t="s">
        <v>1384</v>
      </c>
      <c r="C65" s="2348"/>
      <c r="D65" s="162"/>
      <c r="E65" s="164"/>
      <c r="F65" s="1668"/>
      <c r="G65" s="1668"/>
      <c r="H65" s="151"/>
      <c r="I65" s="121"/>
      <c r="J65" s="3370"/>
      <c r="K65" s="1243" t="s">
        <v>1385</v>
      </c>
      <c r="L65" s="1243">
        <f ca="1">IF(M49&gt;1000,M49*0.1%,IF(AND(M49&gt;500,M49&lt;=1000),M49*0.5%,IF(AND(M49&gt;50,M49&lt;=500),M49*1%,IF(AND(M49&gt;1,M49&lt;=50),M49*1.5%))))</f>
        <v>525.31600000000003</v>
      </c>
      <c r="M65" s="294">
        <f t="shared" ca="1" si="1"/>
        <v>525.29999999999995</v>
      </c>
      <c r="N65" s="2327" t="s">
        <v>1383</v>
      </c>
      <c r="Z65" s="1621"/>
      <c r="AI65" s="1559"/>
    </row>
    <row r="66" spans="1:35" ht="14.25" customHeight="1">
      <c r="A66" s="165" t="s">
        <v>327</v>
      </c>
      <c r="B66" s="166" t="s">
        <v>1386</v>
      </c>
      <c r="C66" s="2349"/>
      <c r="D66" s="166" t="s">
        <v>26</v>
      </c>
      <c r="E66" s="1249" t="s">
        <v>671</v>
      </c>
      <c r="F66" s="1668"/>
      <c r="G66" s="1668"/>
      <c r="H66" s="151"/>
      <c r="I66" s="121"/>
      <c r="J66" s="3370"/>
      <c r="K66" s="1243" t="s">
        <v>1387</v>
      </c>
      <c r="L66" s="1243">
        <f ca="1">M49*0.5%</f>
        <v>2626.58</v>
      </c>
      <c r="M66" s="294">
        <f ca="1">IF(L66&gt;0.5,0.5,ROUND(L66,0))</f>
        <v>0.5</v>
      </c>
      <c r="N66" s="2327" t="s">
        <v>1388</v>
      </c>
      <c r="Z66" s="1621"/>
      <c r="AI66" s="1559"/>
    </row>
    <row r="67" spans="1:35" ht="14.25" customHeight="1">
      <c r="A67" s="165" t="s">
        <v>328</v>
      </c>
      <c r="B67" s="166" t="s">
        <v>1389</v>
      </c>
      <c r="C67" s="2350">
        <f ca="1">C63-C66</f>
        <v>500301</v>
      </c>
      <c r="D67" s="162" t="s">
        <v>26</v>
      </c>
      <c r="E67" s="164"/>
      <c r="F67" s="1668"/>
      <c r="G67" s="1668"/>
      <c r="H67" s="151"/>
      <c r="I67" s="121"/>
      <c r="J67" s="3370"/>
      <c r="K67" s="1243" t="s">
        <v>1390</v>
      </c>
      <c r="L67" s="1243">
        <f ca="1">IF(M49&gt;=10000,(8.25+(M49-10000)*0.01%),IF(AND(M49&gt;=8000,M49&lt;10000),(7.85+(M49-8000)*0.02%),IF(AND(M49&gt;=5000,M49&lt;8000),(6.65+(M49-5000)*0.04%),IF(AND(M49&gt;=2000,M49&lt;5000),(4.25+(PM49-2000)*0.08%),IF(AND(M49&gt;=1000,M49&lt;2000),(2.75+(M49-1000)*0.15%),IF(AND(M49&gt;=100,M49&lt;1000),(0.5+(M49-100)*0.25%),IF(AND(M49&gt;0,M49&lt;100),M49*0.5%)))))))</f>
        <v>59.781600000000005</v>
      </c>
      <c r="M67" s="294">
        <f ca="1">ROUND(L67*0.9,1)</f>
        <v>53.8</v>
      </c>
      <c r="N67" s="2326"/>
      <c r="Z67" s="1621"/>
      <c r="AI67" s="1559"/>
    </row>
    <row r="68" spans="1:35" ht="14.25" customHeight="1" thickBot="1">
      <c r="A68" s="168" t="s">
        <v>329</v>
      </c>
      <c r="B68" s="169" t="s">
        <v>1391</v>
      </c>
      <c r="C68" s="2351">
        <f ca="1">IF(C67&lt;=0,0,ROUND(C67*D68,0))</f>
        <v>28017</v>
      </c>
      <c r="D68" s="2352">
        <f>'数据-取费表'!B41</f>
        <v>5.6000000000000001E-2</v>
      </c>
      <c r="E68" s="170"/>
      <c r="F68" s="1668"/>
      <c r="G68" s="1668"/>
      <c r="H68" s="151"/>
      <c r="I68" s="121"/>
      <c r="J68" s="3370"/>
      <c r="K68" s="1243" t="s">
        <v>1392</v>
      </c>
      <c r="L68" s="1243">
        <f ca="1">IF(M49&gt;10000,M49*0.5%,IF(AND(M49&gt;5000,M49&lt;=10000),M49*1%,IF(AND(M49&gt;1000,M49&lt;=5000),M49*2%,IF(AND(M49&gt;200,M49&lt;=1000),M49*3%,M49*5%))))</f>
        <v>2626.58</v>
      </c>
      <c r="M68" s="294">
        <f ca="1">ROUND(L68,1)</f>
        <v>2626.6</v>
      </c>
      <c r="N68" s="2326"/>
      <c r="Z68" s="1621"/>
      <c r="AI68" s="1559"/>
    </row>
    <row r="69" spans="1:35" ht="16.5" customHeight="1">
      <c r="A69" s="1670"/>
      <c r="B69" s="1671"/>
      <c r="C69" s="1672"/>
      <c r="D69" s="1673"/>
      <c r="E69" s="1674"/>
      <c r="F69" s="1464"/>
      <c r="G69" s="1464"/>
      <c r="H69" s="1465"/>
      <c r="I69" s="644"/>
      <c r="J69" s="3370"/>
      <c r="K69" s="1243" t="s">
        <v>1393</v>
      </c>
      <c r="L69" s="1243"/>
      <c r="M69" s="294">
        <f ca="1">ROUND(SUM(M63:M68),0)</f>
        <v>8459</v>
      </c>
      <c r="N69" s="2328">
        <f ca="1">M69/M49</f>
        <v>1.6102688667392579E-2</v>
      </c>
      <c r="Z69" s="1621"/>
      <c r="AI69" s="1559"/>
    </row>
    <row r="70" spans="1:35" s="640" customFormat="1" ht="15" thickBot="1">
      <c r="A70" s="3332" t="s">
        <v>1394</v>
      </c>
      <c r="B70" s="3333"/>
      <c r="C70" s="3333"/>
      <c r="D70" s="3333"/>
      <c r="E70" s="3333"/>
      <c r="F70" s="3333"/>
      <c r="G70" s="3333"/>
      <c r="H70" s="3333"/>
      <c r="I70" s="1675"/>
      <c r="J70" s="457"/>
      <c r="K70" s="457"/>
      <c r="L70" s="457"/>
      <c r="M70" s="457"/>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0" customFormat="1" ht="14.25">
      <c r="A71" s="3311" t="s">
        <v>1375</v>
      </c>
      <c r="B71" s="3312"/>
      <c r="C71" s="1861"/>
      <c r="D71" s="1861" t="s">
        <v>1376</v>
      </c>
      <c r="E71" s="171" t="s">
        <v>1377</v>
      </c>
      <c r="F71" s="172"/>
      <c r="G71" s="172"/>
      <c r="H71" s="173"/>
      <c r="I71" s="1678"/>
      <c r="J71" s="457"/>
      <c r="K71" s="457"/>
      <c r="L71" s="457"/>
      <c r="M71" s="457"/>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0" customFormat="1" ht="14.25">
      <c r="A72" s="165" t="s">
        <v>330</v>
      </c>
      <c r="B72" s="166" t="s">
        <v>1395</v>
      </c>
      <c r="C72" s="2350">
        <f ca="1">ROUND(D45/(1+'数据-取费表'!C42),0)</f>
        <v>500301</v>
      </c>
      <c r="D72" s="162" t="s">
        <v>26</v>
      </c>
      <c r="E72" s="1255"/>
      <c r="F72" s="1253"/>
      <c r="G72" s="1253"/>
      <c r="H72" s="174"/>
      <c r="I72" s="1678"/>
      <c r="J72" s="457"/>
      <c r="K72" s="457"/>
      <c r="L72" s="457"/>
      <c r="M72" s="457"/>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0" customFormat="1" ht="14.25">
      <c r="A73" s="165" t="s">
        <v>327</v>
      </c>
      <c r="B73" s="155" t="s">
        <v>1396</v>
      </c>
      <c r="C73" s="2350">
        <f ca="1">C74+C78</f>
        <v>3002</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0"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0" customFormat="1" ht="14.25">
      <c r="A75" s="161" t="s">
        <v>331</v>
      </c>
      <c r="B75" s="162" t="s">
        <v>1398</v>
      </c>
      <c r="C75" s="2353"/>
      <c r="D75" s="162" t="s">
        <v>26</v>
      </c>
      <c r="E75" s="176" t="s">
        <v>1399</v>
      </c>
      <c r="F75" s="2354"/>
      <c r="G75" s="176" t="s">
        <v>1400</v>
      </c>
      <c r="H75" s="2355"/>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0" customFormat="1" ht="24.75" customHeight="1">
      <c r="A76" s="161" t="s">
        <v>332</v>
      </c>
      <c r="B76" s="177" t="s">
        <v>1401</v>
      </c>
      <c r="C76" s="162">
        <f>IF(F75="购房发票",ROUND(C75*H75*D76,0),0)</f>
        <v>0</v>
      </c>
      <c r="D76" s="2356">
        <v>0.05</v>
      </c>
      <c r="E76" s="3306" t="s">
        <v>1402</v>
      </c>
      <c r="F76" s="3280"/>
      <c r="G76" s="3280"/>
      <c r="H76" s="333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0"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0"/>
      <c r="H77" s="2147"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0" customFormat="1" ht="24.75" customHeight="1">
      <c r="A78" s="161" t="s">
        <v>326</v>
      </c>
      <c r="B78" s="162" t="s">
        <v>1405</v>
      </c>
      <c r="C78" s="2358">
        <f ca="1">ROUND(D45*D78/(1+'数据-取费表'!C42),0)</f>
        <v>3002</v>
      </c>
      <c r="D78" s="2359">
        <f>'数据-取费表'!B43</f>
        <v>6.000000000000001E-3</v>
      </c>
      <c r="E78" s="3290" t="s">
        <v>1406</v>
      </c>
      <c r="F78" s="3291"/>
      <c r="G78" s="3291"/>
      <c r="H78" s="3300"/>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0" customFormat="1" ht="14.25">
      <c r="A79" s="165" t="s">
        <v>334</v>
      </c>
      <c r="B79" s="166" t="s">
        <v>1407</v>
      </c>
      <c r="C79" s="2350">
        <f ca="1">C72-C73</f>
        <v>497299</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0" customFormat="1" ht="24">
      <c r="A80" s="165" t="s">
        <v>335</v>
      </c>
      <c r="B80" s="166" t="s">
        <v>1408</v>
      </c>
      <c r="C80" s="2360">
        <f ca="1">IF(C79&lt;=0,0,C79/C73)</f>
        <v>165.65589606928714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0" customFormat="1" ht="24.75" thickBot="1">
      <c r="A81" s="168" t="s">
        <v>336</v>
      </c>
      <c r="B81" s="169" t="s">
        <v>1409</v>
      </c>
      <c r="C81" s="2361">
        <f ca="1">ROUND(IF(C79&lt;=0,0,IF(C80&gt;=200%,C79*60%-C73*35%,IF(C80&gt;=100%,C79*50%-C73*15%,IF(C80&gt;=50%,C79*40%-C73*5%,IF(C80&lt;50%,C79*30%,0))))),0)</f>
        <v>297329</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0" customFormat="1" ht="7.5" customHeight="1">
      <c r="A82" s="4"/>
      <c r="B82" s="645"/>
      <c r="C82" s="4"/>
      <c r="D82" s="4"/>
      <c r="E82" s="645"/>
      <c r="F82" s="645"/>
      <c r="G82" s="645"/>
      <c r="H82" s="646"/>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0" customFormat="1" ht="15" thickBot="1">
      <c r="A83" s="3332" t="s">
        <v>1410</v>
      </c>
      <c r="B83" s="3333"/>
      <c r="C83" s="3333"/>
      <c r="D83" s="3333"/>
      <c r="E83" s="3333"/>
      <c r="F83" s="3333"/>
      <c r="G83" s="3333"/>
      <c r="H83" s="333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0" customFormat="1" ht="14.25">
      <c r="A84" s="3311" t="s">
        <v>1375</v>
      </c>
      <c r="B84" s="3312"/>
      <c r="C84" s="1861"/>
      <c r="D84" s="1861"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0" customFormat="1" ht="14.25">
      <c r="A85" s="165" t="s">
        <v>330</v>
      </c>
      <c r="B85" s="166" t="s">
        <v>1395</v>
      </c>
      <c r="C85" s="2350">
        <f ca="1">ROUND(D45/(1+'数据-取费表'!C42),0)</f>
        <v>500301</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0" customFormat="1" ht="14.25">
      <c r="A86" s="165" t="s">
        <v>327</v>
      </c>
      <c r="B86" s="155" t="s">
        <v>1396</v>
      </c>
      <c r="C86" s="2350">
        <f ca="1">IF(H88="仅含出让金",C87+C90+C91+C92+C93+C94,C87+C91+C92+C93+C94)</f>
        <v>3002</v>
      </c>
      <c r="D86" s="2363"/>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0" customFormat="1" ht="14.25">
      <c r="A87" s="161" t="s">
        <v>325</v>
      </c>
      <c r="B87" s="162" t="s">
        <v>1411</v>
      </c>
      <c r="C87" s="2358">
        <f>C88+C89</f>
        <v>0</v>
      </c>
      <c r="D87" s="2359"/>
      <c r="E87" s="2143"/>
      <c r="F87" s="2144"/>
      <c r="G87" s="2144"/>
      <c r="H87" s="2145"/>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0" customFormat="1" ht="14.25">
      <c r="A88" s="161" t="s">
        <v>331</v>
      </c>
      <c r="B88" s="162" t="s">
        <v>1412</v>
      </c>
      <c r="C88" s="2364"/>
      <c r="D88" s="2359"/>
      <c r="E88" s="185" t="s">
        <v>1413</v>
      </c>
      <c r="F88" s="2144"/>
      <c r="G88" s="186" t="s">
        <v>1414</v>
      </c>
      <c r="H88" s="1682"/>
      <c r="I88" s="1679"/>
      <c r="J88" s="2304" t="s">
        <v>2278</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0" customFormat="1" ht="14.25">
      <c r="A89" s="161" t="s">
        <v>332</v>
      </c>
      <c r="B89" s="162" t="s">
        <v>1403</v>
      </c>
      <c r="C89" s="2358">
        <f>ROUND(C88*D89,0)</f>
        <v>0</v>
      </c>
      <c r="D89" s="2359">
        <f>'数据-取费表'!B48+'数据-取费表'!B49</f>
        <v>3.0499999999999999E-2</v>
      </c>
      <c r="E89" s="185" t="s">
        <v>1415</v>
      </c>
      <c r="F89" s="2144"/>
      <c r="G89" s="2144"/>
      <c r="H89" s="2145"/>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0" customFormat="1" ht="14.25">
      <c r="A90" s="161" t="s">
        <v>326</v>
      </c>
      <c r="B90" s="162" t="s">
        <v>1416</v>
      </c>
      <c r="C90" s="2364"/>
      <c r="D90" s="2359"/>
      <c r="E90" s="185" t="str">
        <f>IF(H88="-","土地取得成本中已包含该笔费用"," ")</f>
        <v xml:space="preserve"> </v>
      </c>
      <c r="F90" s="2144"/>
      <c r="G90" s="3372" t="s">
        <v>2128</v>
      </c>
      <c r="H90" s="3373"/>
      <c r="I90" s="1679"/>
      <c r="J90" s="2304" t="s">
        <v>2279</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0" customFormat="1" ht="27.75" customHeight="1">
      <c r="A91" s="161" t="s">
        <v>1417</v>
      </c>
      <c r="B91" s="162" t="s">
        <v>1418</v>
      </c>
      <c r="C91" s="2358">
        <f>IF(H91="——",成本法!C33,I91)</f>
        <v>0</v>
      </c>
      <c r="D91" s="2359"/>
      <c r="E91" s="3290" t="s">
        <v>1419</v>
      </c>
      <c r="F91" s="3291"/>
      <c r="G91" s="3291"/>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0" customFormat="1" ht="25.5" customHeight="1">
      <c r="A92" s="161" t="s">
        <v>1420</v>
      </c>
      <c r="B92" s="162" t="s">
        <v>1421</v>
      </c>
      <c r="C92" s="2358">
        <f>ROUND((C87+C90+C91)*D92,0)</f>
        <v>0</v>
      </c>
      <c r="D92" s="2365"/>
      <c r="E92" s="3290" t="s">
        <v>1422</v>
      </c>
      <c r="F92" s="3291"/>
      <c r="G92" s="3291"/>
      <c r="H92" s="3300"/>
      <c r="I92" s="1679"/>
      <c r="J92" s="2305" t="s">
        <v>2280</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0" customFormat="1" ht="25.5" customHeight="1">
      <c r="A93" s="161" t="s">
        <v>1423</v>
      </c>
      <c r="B93" s="162" t="s">
        <v>1405</v>
      </c>
      <c r="C93" s="2358">
        <f ca="1">ROUND(D45*D93/(1+'数据-取费表'!C42),0)</f>
        <v>3002</v>
      </c>
      <c r="D93" s="2359">
        <f>'数据-取费表'!B43</f>
        <v>6.000000000000001E-3</v>
      </c>
      <c r="E93" s="3290" t="s">
        <v>1406</v>
      </c>
      <c r="F93" s="3291"/>
      <c r="G93" s="3291"/>
      <c r="H93" s="3300"/>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0" customFormat="1" ht="36.75" customHeight="1">
      <c r="A94" s="161" t="s">
        <v>1424</v>
      </c>
      <c r="B94" s="162" t="s">
        <v>1425</v>
      </c>
      <c r="C94" s="2364">
        <f>ROUND((C87+C90+C91)*D94,0)</f>
        <v>0</v>
      </c>
      <c r="D94" s="2359">
        <v>0.2</v>
      </c>
      <c r="E94" s="3301" t="s">
        <v>1426</v>
      </c>
      <c r="F94" s="3302"/>
      <c r="G94" s="3302"/>
      <c r="H94" s="3303"/>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0" customFormat="1" ht="14.25">
      <c r="A95" s="165" t="s">
        <v>334</v>
      </c>
      <c r="B95" s="166" t="s">
        <v>1407</v>
      </c>
      <c r="C95" s="2350">
        <f ca="1">ROUND(C85-C86,0)</f>
        <v>497299</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0" customFormat="1" ht="24">
      <c r="A96" s="165" t="s">
        <v>335</v>
      </c>
      <c r="B96" s="166" t="s">
        <v>1408</v>
      </c>
      <c r="C96" s="2360">
        <f ca="1">IF(C95&lt;=0,0,C95/C86)</f>
        <v>165.65589606928714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0" customFormat="1" ht="24.75" thickBot="1">
      <c r="A97" s="168" t="s">
        <v>336</v>
      </c>
      <c r="B97" s="169" t="s">
        <v>1409</v>
      </c>
      <c r="C97" s="2361">
        <f ca="1">ROUND(IF(C95&lt;=0,0,IF(C96&gt;=200%,C95*60%-C86*35%,IF(C96&gt;=100%,C95*50%-C86*15%,IF(C96&gt;=50%,C95*40%-C86*5%,IF(C96&lt;50%,C95*30%,0))))),0)</f>
        <v>297329</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4"/>
      <c r="C98" s="644"/>
      <c r="D98" s="644"/>
      <c r="E98" s="1464"/>
      <c r="F98" s="1464"/>
      <c r="G98" s="1464"/>
      <c r="H98" s="1465"/>
      <c r="I98" s="121"/>
    </row>
    <row r="99" spans="1:35" ht="21.75" customHeight="1" thickBot="1">
      <c r="A99" s="1462" t="s">
        <v>1427</v>
      </c>
      <c r="B99" s="644"/>
      <c r="C99" s="644"/>
      <c r="D99" s="644"/>
      <c r="E99" s="1464"/>
      <c r="F99" s="1464"/>
      <c r="G99" s="1464"/>
      <c r="H99" s="1465"/>
      <c r="I99" s="121"/>
    </row>
    <row r="100" spans="1:35" ht="18.75" customHeight="1">
      <c r="A100" s="3274" t="s">
        <v>1428</v>
      </c>
      <c r="B100" s="3275"/>
      <c r="C100" s="3275"/>
      <c r="D100" s="3292"/>
      <c r="E100" s="3275" t="s">
        <v>1429</v>
      </c>
      <c r="F100" s="3275"/>
      <c r="G100" s="3275"/>
      <c r="H100" s="3292"/>
      <c r="I100" s="121"/>
    </row>
    <row r="101" spans="1:35" ht="18.75" customHeight="1">
      <c r="A101" s="3353" t="s">
        <v>1430</v>
      </c>
      <c r="B101" s="3354"/>
      <c r="C101" s="2367" t="str">
        <f>C4</f>
        <v>成本法</v>
      </c>
      <c r="D101" s="2368" t="str">
        <f>D4</f>
        <v>假设开发法</v>
      </c>
      <c r="E101" s="3367" t="s">
        <v>1431</v>
      </c>
      <c r="F101" s="3324"/>
      <c r="G101" s="1685" t="s">
        <v>1432</v>
      </c>
      <c r="H101" s="2377">
        <f ca="1">H118</f>
        <v>525316</v>
      </c>
      <c r="I101" s="121"/>
    </row>
    <row r="102" spans="1:35" ht="18.75" customHeight="1">
      <c r="A102" s="3326" t="s">
        <v>1433</v>
      </c>
      <c r="B102" s="2366" t="s">
        <v>1432</v>
      </c>
      <c r="C102" s="2367">
        <f ca="1">IF(D32="楼面单价",ROUND(C19,0),C19)</f>
        <v>557811</v>
      </c>
      <c r="D102" s="2368">
        <f ca="1">IF(D32="楼面单价",ROUND(D19,0),D19)</f>
        <v>492821</v>
      </c>
      <c r="E102" s="3367"/>
      <c r="F102" s="3324"/>
      <c r="G102" s="1685" t="s">
        <v>1434</v>
      </c>
      <c r="H102" s="2337">
        <f ca="1">I118</f>
        <v>70724</v>
      </c>
      <c r="I102" s="121"/>
    </row>
    <row r="103" spans="1:35" ht="42.75" customHeight="1">
      <c r="A103" s="3326"/>
      <c r="B103" s="2366" t="s">
        <v>1434</v>
      </c>
      <c r="C103" s="2369">
        <f ca="1">C20</f>
        <v>75098</v>
      </c>
      <c r="D103" s="2370">
        <f ca="1">D20</f>
        <v>66349</v>
      </c>
      <c r="E103" s="3361" t="s">
        <v>1435</v>
      </c>
      <c r="F103" s="3362"/>
      <c r="G103" s="1686" t="s">
        <v>1436</v>
      </c>
      <c r="H103" s="2377">
        <f>IF(D36="正常操作",H104+H105+H106,H105+H106)</f>
        <v>0</v>
      </c>
      <c r="I103" s="121"/>
    </row>
    <row r="104" spans="1:35" ht="18.75" customHeight="1">
      <c r="A104" s="3326" t="s">
        <v>1437</v>
      </c>
      <c r="B104" s="2371" t="s">
        <v>1432</v>
      </c>
      <c r="C104" s="2372">
        <f ca="1">H118</f>
        <v>525316</v>
      </c>
      <c r="D104" s="2373"/>
      <c r="E104" s="1553" t="s">
        <v>1438</v>
      </c>
      <c r="F104" s="1546"/>
      <c r="G104" s="1686" t="s">
        <v>1436</v>
      </c>
      <c r="H104" s="2378">
        <f>IF(D36="同一抵押权人同一抵押物续贷",C36&amp;"（续贷，未扣减，详见特别提示）",C36)</f>
        <v>0</v>
      </c>
      <c r="I104" s="121"/>
    </row>
    <row r="105" spans="1:35" ht="18.75" customHeight="1" thickBot="1">
      <c r="A105" s="3327"/>
      <c r="B105" s="2374" t="s">
        <v>1434</v>
      </c>
      <c r="C105" s="2375">
        <f ca="1">I118</f>
        <v>70724</v>
      </c>
      <c r="D105" s="2376"/>
      <c r="E105" s="1553" t="s">
        <v>1439</v>
      </c>
      <c r="F105" s="1546"/>
      <c r="G105" s="1686" t="s">
        <v>1436</v>
      </c>
      <c r="H105" s="2379">
        <f>C37</f>
        <v>0</v>
      </c>
      <c r="I105" s="121"/>
    </row>
    <row r="106" spans="1:35" ht="18.75" customHeight="1">
      <c r="A106" s="644" t="s">
        <v>1440</v>
      </c>
      <c r="B106" s="644"/>
      <c r="C106" s="644"/>
      <c r="D106" s="644"/>
      <c r="E106" s="1687" t="s">
        <v>1441</v>
      </c>
      <c r="F106" s="1546"/>
      <c r="G106" s="1686" t="s">
        <v>1436</v>
      </c>
      <c r="H106" s="2379">
        <f>C38</f>
        <v>0</v>
      </c>
      <c r="I106" s="121"/>
    </row>
    <row r="107" spans="1:35" ht="18.75" customHeight="1">
      <c r="A107" s="121"/>
      <c r="B107" s="121"/>
      <c r="C107" s="121"/>
      <c r="D107" s="121"/>
      <c r="E107" s="3323" t="str">
        <f>IF(项目基本情况!E8="已注销","——","3.房地产抵押价值")</f>
        <v>3.房地产抵押价值</v>
      </c>
      <c r="F107" s="3324"/>
      <c r="G107" s="1685" t="s">
        <v>1432</v>
      </c>
      <c r="H107" s="2377">
        <f ca="1">IF(E107="——","——",H101-H103)</f>
        <v>525316</v>
      </c>
      <c r="I107" s="121"/>
    </row>
    <row r="108" spans="1:35" ht="18.75" customHeight="1">
      <c r="A108" s="121"/>
      <c r="B108" s="121"/>
      <c r="C108" s="121"/>
      <c r="D108" s="121"/>
      <c r="E108" s="3323"/>
      <c r="F108" s="3324"/>
      <c r="G108" s="1685" t="s">
        <v>1434</v>
      </c>
      <c r="H108" s="2337">
        <f ca="1">IF(H107=H101,H102,ROUND(H107*10000/'数据-汇总表'!E3,0))</f>
        <v>70724</v>
      </c>
      <c r="I108" s="121"/>
    </row>
    <row r="109" spans="1:35" ht="18.75" customHeight="1">
      <c r="A109" s="121"/>
      <c r="B109" s="121"/>
      <c r="C109" s="121"/>
      <c r="D109" s="121"/>
      <c r="E109" s="3323" t="str">
        <f>IF(项目基本情况!E8="已注销及未注销","4.抵押担保权已注销时的房地产抵押价值",IF(项目基本情况!E8="已注销","3.抵押担保权已注销时的房地产抵押价值","——"))</f>
        <v>——</v>
      </c>
      <c r="F109" s="3324"/>
      <c r="G109" s="1685" t="s">
        <v>1432</v>
      </c>
      <c r="H109" s="2380" t="str">
        <f>IF(E109="——","——",H101-H105-H106)</f>
        <v>——</v>
      </c>
      <c r="I109" s="121"/>
    </row>
    <row r="110" spans="1:35" ht="18.75" customHeight="1">
      <c r="A110" s="121"/>
      <c r="B110" s="121"/>
      <c r="C110" s="121"/>
      <c r="D110" s="121"/>
      <c r="E110" s="3323"/>
      <c r="F110" s="3324"/>
      <c r="G110" s="1685" t="s">
        <v>1434</v>
      </c>
      <c r="H110" s="2337" t="str">
        <f>IF(H109="——","——",ROUND(H109*10000/'数据-汇总表'!E3,0))</f>
        <v>——</v>
      </c>
      <c r="I110" s="121"/>
    </row>
    <row r="111" spans="1:35" ht="18.75" customHeight="1">
      <c r="A111" s="121"/>
      <c r="B111" s="121"/>
      <c r="C111" s="121"/>
      <c r="D111" s="121"/>
      <c r="E111" s="3355" t="str">
        <f>IF(项目基本情况!E9="抵押净值",IF(OR(项目基本情况!E8="已注销",项目基本情况!E8="房地产抵押价值"),"4.抵押净值","5.抵押净值"),"——")</f>
        <v>——</v>
      </c>
      <c r="F111" s="3325"/>
      <c r="G111" s="1685" t="s">
        <v>1432</v>
      </c>
      <c r="H111" s="2377" t="str">
        <f>IF(E111="——","——",N59)</f>
        <v>——</v>
      </c>
      <c r="I111" s="121"/>
    </row>
    <row r="112" spans="1:35" ht="18.75" customHeight="1" thickBot="1">
      <c r="A112" s="121"/>
      <c r="B112" s="121"/>
      <c r="C112" s="121"/>
      <c r="D112" s="121"/>
      <c r="E112" s="3356"/>
      <c r="F112" s="3357"/>
      <c r="G112" s="1688" t="s">
        <v>1434</v>
      </c>
      <c r="H112" s="2381" t="str">
        <f>IF(E111="——","——",N61)</f>
        <v>——</v>
      </c>
      <c r="I112" s="121"/>
    </row>
    <row r="113" spans="1:27" ht="18.75" customHeight="1">
      <c r="A113" s="121"/>
      <c r="B113" s="121"/>
      <c r="C113" s="121"/>
      <c r="D113" s="121"/>
      <c r="E113" s="3328" t="s">
        <v>1440</v>
      </c>
      <c r="F113" s="3328"/>
      <c r="G113" s="3328"/>
      <c r="H113" s="3328"/>
      <c r="I113" s="121"/>
    </row>
    <row r="114" spans="1:27" ht="3.75" customHeight="1">
      <c r="A114" s="644"/>
      <c r="B114" s="644"/>
      <c r="C114" s="644"/>
      <c r="D114" s="644"/>
      <c r="E114" s="1669"/>
      <c r="F114" s="1669"/>
      <c r="G114" s="1669"/>
      <c r="H114" s="1669"/>
      <c r="I114" s="644"/>
    </row>
    <row r="115" spans="1:27" ht="18.75" customHeight="1">
      <c r="A115" s="3338" t="s">
        <v>1442</v>
      </c>
      <c r="B115" s="3339"/>
      <c r="C115" s="3339"/>
      <c r="D115" s="3339"/>
      <c r="E115" s="3339"/>
      <c r="F115" s="3339"/>
      <c r="G115" s="3339"/>
      <c r="H115" s="3339"/>
      <c r="I115" s="3340"/>
    </row>
    <row r="116" spans="1:27" ht="27" customHeight="1">
      <c r="A116" s="3294" t="s">
        <v>1443</v>
      </c>
      <c r="B116" s="3329" t="s">
        <v>1444</v>
      </c>
      <c r="C116" s="3329" t="s">
        <v>1445</v>
      </c>
      <c r="D116" s="3342" t="s">
        <v>1446</v>
      </c>
      <c r="E116" s="3343"/>
      <c r="F116" s="3337" t="s">
        <v>1447</v>
      </c>
      <c r="G116" s="3337"/>
      <c r="H116" s="3294" t="s">
        <v>1448</v>
      </c>
      <c r="I116" s="3294"/>
    </row>
    <row r="117" spans="1:27" ht="18.75" customHeight="1">
      <c r="A117" s="3294"/>
      <c r="B117" s="3330"/>
      <c r="C117" s="3330"/>
      <c r="D117" s="2146" t="s">
        <v>1449</v>
      </c>
      <c r="E117" s="2146" t="s">
        <v>1450</v>
      </c>
      <c r="F117" s="2146" t="s">
        <v>1449</v>
      </c>
      <c r="G117" s="2146" t="s">
        <v>1451</v>
      </c>
      <c r="H117" s="2146" t="s">
        <v>1449</v>
      </c>
      <c r="I117" s="2146" t="s">
        <v>1451</v>
      </c>
    </row>
    <row r="118" spans="1:27" ht="24.75" customHeight="1">
      <c r="A118" s="2382" t="str">
        <f>项目基本情况!S2</f>
        <v>北京市出让国有建设用地使用权及在建建筑物房地产</v>
      </c>
      <c r="B118" s="2146">
        <f>M18</f>
        <v>74277.419999999867</v>
      </c>
      <c r="C118" s="2146">
        <f>M19</f>
        <v>37485.769999999997</v>
      </c>
      <c r="D118" s="2146">
        <f ca="1">ROUND(IF(D32="总价",C34,E118*B118/10000),0)</f>
        <v>470683</v>
      </c>
      <c r="E118" s="2146">
        <f ca="1">ROUND(IF(C33="自定义",IF(D32="楼面单价",C34,D118*10000/B118),I118-G118),0)</f>
        <v>63369</v>
      </c>
      <c r="F118" s="2146">
        <f ca="1">ROUND(IF(D32="总价",C35,G118*B118/10000),0)</f>
        <v>54633</v>
      </c>
      <c r="G118" s="2146">
        <f ca="1">ROUND(IF(D32="楼面单价",C35,F118*10000/B118),0)</f>
        <v>7355</v>
      </c>
      <c r="H118" s="2146">
        <f ca="1">ROUND(IF(D32="总价",C32,I118*B118/10000),0)</f>
        <v>525316</v>
      </c>
      <c r="I118" s="2146">
        <f ca="1">ROUND(IF(D32="楼面单价",C32,H118*10000/B118),0)</f>
        <v>70724</v>
      </c>
    </row>
    <row r="119" spans="1:27" ht="18.75" customHeight="1">
      <c r="A119" s="3294" t="s">
        <v>1452</v>
      </c>
      <c r="B119" s="3294"/>
      <c r="C119" s="3294"/>
      <c r="D119" s="3334" t="str">
        <f ca="1">NUMBERSTRING(INT(D118*10000),2)&amp;"元整"</f>
        <v>肆拾柒亿零陆佰捌拾叁万元整</v>
      </c>
      <c r="E119" s="3336"/>
      <c r="F119" s="3334" t="str">
        <f ca="1">NUMBERSTRING(INT(F118*10000),2)&amp;"元整"</f>
        <v>伍亿肆仟陆佰叁拾叁万元整</v>
      </c>
      <c r="G119" s="3336"/>
      <c r="H119" s="3334" t="str">
        <f ca="1">NUMBERSTRING(INT(H118*10000),2)&amp;"元整"</f>
        <v>伍拾贰亿伍仟叁佰壹拾陆万元整</v>
      </c>
      <c r="I119" s="3336"/>
    </row>
    <row r="120" spans="1:27" ht="18.75" customHeight="1">
      <c r="A120" s="3358" t="str">
        <f>IF(项目基本情况!B9="房地产市场价值","",MID(E103,3,LEN(E103)-2))</f>
        <v>估价师知悉的法定优先受偿款</v>
      </c>
      <c r="B120" s="3359"/>
      <c r="C120" s="3360"/>
      <c r="D120" s="3358">
        <f>H103</f>
        <v>0</v>
      </c>
      <c r="E120" s="3359"/>
      <c r="F120" s="3359"/>
      <c r="G120" s="3359"/>
      <c r="H120" s="3359"/>
      <c r="I120" s="3360"/>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4" t="s">
        <v>1452</v>
      </c>
      <c r="B121" s="3335"/>
      <c r="C121" s="3336"/>
      <c r="D121" s="3334" t="str">
        <f>IF(D120=0,"零元整",NUMBERSTRING(INT(D120*10000),2)&amp;"元整")</f>
        <v>零元整</v>
      </c>
      <c r="E121" s="3335"/>
      <c r="F121" s="3335"/>
      <c r="G121" s="3335"/>
      <c r="H121" s="3335"/>
      <c r="I121" s="3336"/>
      <c r="AA121" s="682"/>
    </row>
    <row r="122" spans="1:27" ht="18.75" customHeight="1">
      <c r="A122" s="3325" t="str">
        <f>IF(项目基本情况!B9="房地产市场价值","",MID(E107,3,LEN(E107)-2))</f>
        <v>房地产抵押价值</v>
      </c>
      <c r="B122" s="3325"/>
      <c r="C122" s="3325"/>
      <c r="D122" s="3358">
        <f ca="1">H107</f>
        <v>525316</v>
      </c>
      <c r="E122" s="3359"/>
      <c r="F122" s="3359"/>
      <c r="G122" s="3359"/>
      <c r="H122" s="3359"/>
      <c r="I122" s="3360"/>
      <c r="AA122" s="682"/>
    </row>
    <row r="123" spans="1:27" ht="18.75" customHeight="1">
      <c r="A123" s="3294" t="s">
        <v>1452</v>
      </c>
      <c r="B123" s="3294"/>
      <c r="C123" s="3294"/>
      <c r="D123" s="3334" t="str">
        <f ca="1">NUMBERSTRING(INT(D122*10000),2)&amp;"元整"</f>
        <v>伍拾贰亿伍仟叁佰壹拾陆万元整</v>
      </c>
      <c r="E123" s="3335"/>
      <c r="F123" s="3335"/>
      <c r="G123" s="3335"/>
      <c r="H123" s="3335"/>
      <c r="I123" s="3336"/>
      <c r="AA123" s="682"/>
    </row>
    <row r="124" spans="1:27" ht="18.75" customHeight="1">
      <c r="A124" s="3325" t="str">
        <f>IF(项目基本情况!B9="房地产市场价值","",MID(E109,3,LEN(E109)-2))</f>
        <v/>
      </c>
      <c r="B124" s="3325"/>
      <c r="C124" s="3325"/>
      <c r="D124" s="3358" t="str">
        <f>H109</f>
        <v>——</v>
      </c>
      <c r="E124" s="3359"/>
      <c r="F124" s="3359"/>
      <c r="G124" s="3359"/>
      <c r="H124" s="3359"/>
      <c r="I124" s="3360"/>
      <c r="AA124" s="682"/>
    </row>
    <row r="125" spans="1:27" ht="18.75" customHeight="1">
      <c r="A125" s="3294" t="s">
        <v>1452</v>
      </c>
      <c r="B125" s="3294"/>
      <c r="C125" s="3294"/>
      <c r="D125" s="3334" t="e">
        <f>NUMBERSTRING(INT(D124*10000),2)&amp;"元整"</f>
        <v>#VALUE!</v>
      </c>
      <c r="E125" s="3335"/>
      <c r="F125" s="3335"/>
      <c r="G125" s="3335"/>
      <c r="H125" s="3335"/>
      <c r="I125" s="3336"/>
      <c r="AA125" s="682"/>
    </row>
    <row r="126" spans="1:27" ht="18.75" customHeight="1">
      <c r="A126" s="3325" t="str">
        <f>IF(项目基本情况!B9="房地产市场价值","",MID(E111,3,LEN(E111)-2))</f>
        <v/>
      </c>
      <c r="B126" s="3325"/>
      <c r="C126" s="3325"/>
      <c r="D126" s="3358" t="str">
        <f>H111</f>
        <v>——</v>
      </c>
      <c r="E126" s="3359"/>
      <c r="F126" s="3359"/>
      <c r="G126" s="3359"/>
      <c r="H126" s="3359"/>
      <c r="I126" s="3360"/>
      <c r="AA126" s="682"/>
    </row>
    <row r="127" spans="1:27" ht="18.75" customHeight="1">
      <c r="A127" s="3294" t="s">
        <v>1452</v>
      </c>
      <c r="B127" s="3294"/>
      <c r="C127" s="3294"/>
      <c r="D127" s="3334" t="e">
        <f>NUMBERSTRING(INT(D126*10000),2)&amp;"元整"</f>
        <v>#VALUE!</v>
      </c>
      <c r="E127" s="3335"/>
      <c r="F127" s="3335"/>
      <c r="G127" s="3335"/>
      <c r="H127" s="3335"/>
      <c r="I127" s="3336"/>
      <c r="AA127" s="682"/>
    </row>
    <row r="128" spans="1:27" ht="21.75" customHeight="1">
      <c r="A128" s="3341" t="s">
        <v>1453</v>
      </c>
      <c r="B128" s="3341"/>
      <c r="C128" s="3341"/>
      <c r="D128" s="3341"/>
      <c r="E128" s="3341"/>
      <c r="F128" s="3341"/>
      <c r="G128" s="3341"/>
      <c r="H128" s="3341"/>
      <c r="I128" s="3341"/>
      <c r="AA128" s="682"/>
    </row>
    <row r="129" spans="1:35" ht="21.75" customHeight="1">
      <c r="A129" s="1689" t="s">
        <v>1454</v>
      </c>
      <c r="B129" s="1690"/>
      <c r="C129" s="1691" t="s">
        <v>1455</v>
      </c>
      <c r="D129" s="1692"/>
      <c r="E129" s="1692"/>
      <c r="F129" s="1692"/>
      <c r="G129" s="1692"/>
      <c r="H129" s="1693"/>
      <c r="I129" s="1694"/>
      <c r="AA129" s="682"/>
    </row>
    <row r="130" spans="1:35" ht="21.75" customHeight="1">
      <c r="A130" s="1695">
        <v>1</v>
      </c>
      <c r="B130" s="1696"/>
      <c r="C130" s="1696"/>
      <c r="D130" s="686"/>
      <c r="E130" s="686"/>
      <c r="F130" s="686"/>
      <c r="G130" s="686"/>
      <c r="H130" s="685"/>
      <c r="I130" s="1697"/>
      <c r="AA130" s="682"/>
    </row>
    <row r="131" spans="1:35" ht="21.75" customHeight="1">
      <c r="A131" s="1695">
        <v>2</v>
      </c>
      <c r="B131" s="1696"/>
      <c r="C131" s="1696"/>
      <c r="D131" s="686"/>
      <c r="E131" s="686"/>
      <c r="F131" s="686"/>
      <c r="G131" s="686"/>
      <c r="H131" s="685"/>
      <c r="I131" s="1697"/>
      <c r="AA131" s="682"/>
    </row>
    <row r="132" spans="1:35" ht="21.75" customHeight="1">
      <c r="A132" s="1695">
        <v>3</v>
      </c>
      <c r="B132" s="1696"/>
      <c r="C132" s="1696"/>
      <c r="D132" s="686"/>
      <c r="E132" s="686"/>
      <c r="F132" s="686"/>
      <c r="G132" s="686"/>
      <c r="H132" s="685"/>
      <c r="I132" s="1697"/>
      <c r="AA132" s="682"/>
    </row>
    <row r="133" spans="1:35" ht="21.75" customHeight="1">
      <c r="A133" s="1698"/>
      <c r="B133" s="1699"/>
      <c r="C133" s="1699"/>
      <c r="D133" s="1700"/>
      <c r="E133" s="1700"/>
      <c r="F133" s="1700"/>
      <c r="G133" s="1700"/>
      <c r="H133" s="1701"/>
      <c r="I133" s="1702"/>
    </row>
    <row r="134" spans="1:35" ht="21.75" customHeight="1">
      <c r="A134" s="1696"/>
      <c r="B134" s="1696"/>
      <c r="C134" s="1696"/>
      <c r="D134" s="686"/>
      <c r="E134" s="686"/>
      <c r="F134" s="686"/>
      <c r="G134" s="686"/>
      <c r="H134" s="685"/>
      <c r="I134" s="682"/>
    </row>
    <row r="135" spans="1:35" ht="21.75" customHeight="1">
      <c r="A135" s="682"/>
      <c r="B135" s="682"/>
      <c r="C135" s="682"/>
      <c r="D135" s="682"/>
      <c r="E135" s="682"/>
      <c r="F135" s="1703" t="s">
        <v>1456</v>
      </c>
      <c r="G135" s="1704"/>
      <c r="H135" s="1704"/>
      <c r="I135" s="1705" t="s">
        <v>1457</v>
      </c>
    </row>
    <row r="136" spans="1:35" ht="21.75" customHeight="1">
      <c r="A136" s="682"/>
      <c r="B136" s="1706"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4"/>
      <c r="C138" s="1704"/>
      <c r="D138" s="1704"/>
      <c r="E138" s="1704"/>
      <c r="F138" s="1704"/>
      <c r="G138" s="1704"/>
      <c r="H138" s="1704"/>
      <c r="I138" s="1705" t="s">
        <v>1459</v>
      </c>
    </row>
    <row r="139" spans="1:35" ht="21.75" customHeight="1">
      <c r="A139" s="682"/>
      <c r="B139" s="1706" t="s">
        <v>1460</v>
      </c>
      <c r="C139" s="682"/>
      <c r="D139" s="682"/>
      <c r="E139" s="682"/>
      <c r="F139" s="682"/>
      <c r="G139" s="682"/>
      <c r="H139" s="682"/>
      <c r="I139" s="682"/>
    </row>
    <row r="140" spans="1:35" ht="21.75" customHeight="1">
      <c r="A140" s="682"/>
      <c r="B140" s="1706"/>
      <c r="C140" s="682"/>
      <c r="D140" s="682"/>
      <c r="E140" s="682"/>
      <c r="F140" s="682"/>
      <c r="G140" s="682"/>
      <c r="H140" s="682"/>
      <c r="I140" s="682"/>
    </row>
    <row r="141" spans="1:35" ht="21.75" customHeight="1">
      <c r="A141" s="682"/>
      <c r="B141" s="1704"/>
      <c r="C141" s="1704"/>
      <c r="D141" s="1704"/>
      <c r="E141" s="1704"/>
      <c r="F141" s="1704"/>
      <c r="G141" s="1704"/>
      <c r="H141" s="1704"/>
      <c r="I141" s="1705" t="s">
        <v>1459</v>
      </c>
    </row>
    <row r="142" spans="1:35" ht="21.75" customHeight="1">
      <c r="A142" s="682"/>
      <c r="B142" s="1706"/>
      <c r="C142" s="1707"/>
      <c r="D142" s="1708"/>
      <c r="E142" s="1708"/>
      <c r="F142" s="1612"/>
      <c r="G142" s="682"/>
      <c r="H142" s="682"/>
      <c r="I142" s="682"/>
    </row>
    <row r="143" spans="1:35" s="122" customFormat="1" ht="21.75" customHeight="1">
      <c r="A143" s="682"/>
      <c r="B143" s="1706"/>
      <c r="C143" s="1707"/>
      <c r="D143" s="1708"/>
      <c r="E143" s="1708"/>
      <c r="F143" s="1612"/>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1"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1"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1"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1"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1"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1"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1"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1"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1"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1"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1"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1"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1"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1"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1"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1"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1"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1"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1"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1"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1"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1"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1"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1"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1"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1"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1"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1"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1"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1"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1"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1"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1"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1"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1"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1"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1"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1"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1"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1"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1"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1"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1"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1"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1"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1"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1"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1"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1"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1"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1"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1"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1"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1"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1"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1"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1"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1"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1"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1"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1"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1"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1"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1"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1"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1"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1"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1"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1"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1"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1"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1"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1"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1"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1"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1"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1"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1"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1"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1"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1"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1"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1"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1"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1"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1"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1"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1"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1"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1"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1"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1"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1"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1"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1"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1"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1"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1"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1"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1"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1"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1"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1"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1"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8" sqref="J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9</v>
      </c>
    </row>
    <row r="2" spans="1:9" s="192" customFormat="1" ht="18" customHeight="1">
      <c r="A2" s="193" t="s">
        <v>1462</v>
      </c>
      <c r="B2" s="194">
        <f ca="1">IF(D2="——",C52,C52-E2)</f>
        <v>557811</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75098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374268</v>
      </c>
      <c r="D5" s="203" t="s">
        <v>1469</v>
      </c>
      <c r="E5" s="204" t="s">
        <v>1470</v>
      </c>
      <c r="F5" s="204" t="s">
        <v>1471</v>
      </c>
      <c r="G5" s="205"/>
    </row>
    <row r="6" spans="1:9" s="206" customFormat="1" ht="13.5" customHeight="1">
      <c r="A6" s="730" t="s">
        <v>1472</v>
      </c>
      <c r="B6" s="207" t="s">
        <v>1473</v>
      </c>
      <c r="C6" s="208">
        <f>'土地比较法-住宅、综合'!B2</f>
        <v>361908</v>
      </c>
      <c r="D6" s="209"/>
      <c r="E6" s="210"/>
      <c r="F6" s="210"/>
      <c r="G6" s="211"/>
    </row>
    <row r="7" spans="1:9" s="206" customFormat="1" ht="13.5" customHeight="1">
      <c r="A7" s="730" t="s">
        <v>1474</v>
      </c>
      <c r="B7" s="207" t="s">
        <v>1475</v>
      </c>
      <c r="C7" s="212">
        <f>ROUND(C6*F7,0)</f>
        <v>11038</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1322</v>
      </c>
      <c r="D8" s="214"/>
      <c r="E8" s="212"/>
      <c r="F8" s="213"/>
      <c r="G8" s="1712" t="s">
        <v>5706</v>
      </c>
    </row>
    <row r="9" spans="1:9" s="206" customFormat="1" ht="13.5" customHeight="1">
      <c r="A9" s="731" t="s">
        <v>355</v>
      </c>
      <c r="B9" s="216" t="s">
        <v>1478</v>
      </c>
      <c r="C9" s="217">
        <f ca="1">ROUND(D9*E9/10000,0)</f>
        <v>654</v>
      </c>
      <c r="D9" s="793">
        <f ca="1">IF(B1="",'数据-汇总表'!E5,IF(INDIRECT("'数据-取费表'!c"&amp;$G$1)="住宅",INDIRECT("'数据-取费表'!k"&amp;$G$1),0))</f>
        <v>40881.349999999984</v>
      </c>
      <c r="E9" s="217">
        <f>'数据-取费表'!B27</f>
        <v>160</v>
      </c>
      <c r="F9" s="213"/>
      <c r="G9" s="1713" t="s">
        <v>5707</v>
      </c>
      <c r="H9" s="1068"/>
      <c r="I9" s="1714" t="s">
        <v>1479</v>
      </c>
    </row>
    <row r="10" spans="1:9" s="206" customFormat="1" ht="13.5" customHeight="1">
      <c r="A10" s="731" t="s">
        <v>356</v>
      </c>
      <c r="B10" s="216" t="s">
        <v>1480</v>
      </c>
      <c r="C10" s="217">
        <f ca="1">ROUND(D10*E10/10000,0)</f>
        <v>668</v>
      </c>
      <c r="D10" s="793">
        <f ca="1">IF(B1="",'数据-汇总表'!E6,IF(INDIRECT("'数据-取费表'!c"&amp;$G$1)="住宅",INDIRECT("'数据-取费表'!s"&amp;$G$1),INDIRECT("'数据-取费表'!k"&amp;$G$1)+INDIRECT("'数据-取费表'!s"&amp;$G$1)))</f>
        <v>33396.069999999883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74277.419999999867</v>
      </c>
      <c r="E19" s="203">
        <f>'数据-取费表'!B31</f>
        <v>200</v>
      </c>
      <c r="F19" s="223"/>
      <c r="G19" s="1712" t="s">
        <v>5708</v>
      </c>
    </row>
    <row r="20" spans="1:7" s="206" customFormat="1" ht="13.5" customHeight="1">
      <c r="A20" s="247" t="s">
        <v>1493</v>
      </c>
      <c r="B20" s="202" t="s">
        <v>1494</v>
      </c>
      <c r="C20" s="224">
        <f ca="1">ROUND((C5+C19)*F20,0)</f>
        <v>11228</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9">
        <f ca="1">ROUND(SUM(C23:C25),0)</f>
        <v>30338</v>
      </c>
      <c r="D22" s="227">
        <f ca="1">C26</f>
        <v>1.1999999999999999E-3</v>
      </c>
      <c r="E22" s="228" t="s">
        <v>1498</v>
      </c>
      <c r="F22" s="229">
        <f ca="1">'数据-取费表'!B40</f>
        <v>0.03</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29898</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440</v>
      </c>
      <c r="D25" s="230"/>
      <c r="E25" s="233"/>
      <c r="F25" s="231"/>
      <c r="G25" s="234" t="s">
        <v>1510</v>
      </c>
    </row>
    <row r="26" spans="1:7" s="206" customFormat="1">
      <c r="A26" s="732"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40092</v>
      </c>
      <c r="D27" s="227">
        <f ca="1">C29</f>
        <v>3.0999999999999999E-3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ROUND((C5+C19+C20)*F27*'数据-取费表'!B21/'数据-取费表'!B20,0)</f>
        <v>40092</v>
      </c>
      <c r="D28" s="227"/>
      <c r="E28" s="228"/>
      <c r="F28" s="238"/>
      <c r="G28" s="239"/>
    </row>
    <row r="29" spans="1:7" s="206" customFormat="1" ht="13.5" customHeight="1">
      <c r="A29" s="732" t="s">
        <v>347</v>
      </c>
      <c r="B29" s="240" t="s">
        <v>1517</v>
      </c>
      <c r="C29" s="230">
        <f ca="1">ROUND(C21*F27*'数据-取费表'!B21/'数据-取费表'!B20,4)</f>
        <v>3.0999999999999999E-3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499700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44383</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38174</v>
      </c>
      <c r="D34" s="209"/>
      <c r="E34" s="212"/>
      <c r="F34" s="249">
        <f ca="1">IF('数据-取费表'!B24=0,1,IF(B1="",'数据-取费表'!N16,INDIRECT("'数据-取费表'!n"&amp;$G$1)))</f>
        <v>0.85</v>
      </c>
      <c r="G34" s="211" t="s">
        <v>1526</v>
      </c>
    </row>
    <row r="35" spans="1:7" ht="13.5" customHeight="1">
      <c r="A35" s="732" t="s">
        <v>351</v>
      </c>
      <c r="B35" s="207" t="s">
        <v>1527</v>
      </c>
      <c r="C35" s="212">
        <f ca="1">ROUND(C34*F35,0)</f>
        <v>3054</v>
      </c>
      <c r="D35" s="212"/>
      <c r="E35" s="212"/>
      <c r="F35" s="251">
        <f>'数据-取费表'!B33</f>
        <v>0.08</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1129</v>
      </c>
      <c r="D36" s="212"/>
      <c r="E36" s="212"/>
      <c r="F36" s="251">
        <f>'数据-取费表'!B34</f>
        <v>0.05</v>
      </c>
      <c r="G36" s="252" t="s">
        <v>1530</v>
      </c>
    </row>
    <row r="37" spans="1:7" s="250" customFormat="1" ht="13.5" customHeight="1">
      <c r="A37" s="732" t="s">
        <v>353</v>
      </c>
      <c r="B37" s="207" t="s">
        <v>1531</v>
      </c>
      <c r="C37" s="241">
        <f ca="1">ROUND(E37*D37*F34/10000,0)</f>
        <v>1263</v>
      </c>
      <c r="D37" s="209">
        <f ca="1">D19</f>
        <v>74277.419999999867</v>
      </c>
      <c r="E37" s="241">
        <f>'数据-取费表'!B35</f>
        <v>200</v>
      </c>
      <c r="F37" s="251"/>
      <c r="G37" s="253" t="s">
        <v>1532</v>
      </c>
    </row>
    <row r="38" spans="1:7" ht="13.5" customHeight="1">
      <c r="A38" s="732" t="s">
        <v>354</v>
      </c>
      <c r="B38" s="207" t="s">
        <v>1533</v>
      </c>
      <c r="C38" s="212">
        <f ca="1">ROUND(C34*F38,0)</f>
        <v>763</v>
      </c>
      <c r="D38" s="212"/>
      <c r="E38" s="212"/>
      <c r="F38" s="251">
        <f>'数据-取费表'!B36</f>
        <v>0.02</v>
      </c>
      <c r="G38" s="211" t="s">
        <v>1528</v>
      </c>
    </row>
    <row r="39" spans="1:7" s="206" customFormat="1" ht="13.5" customHeight="1">
      <c r="A39" s="247" t="s">
        <v>1534</v>
      </c>
      <c r="B39" s="202" t="s">
        <v>1535</v>
      </c>
      <c r="C39" s="224">
        <f ca="1">ROUND(C33*F20,0)</f>
        <v>1331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1791</v>
      </c>
      <c r="D41" s="227">
        <f ca="1">C44</f>
        <v>1.1999999999999999E-3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1739</v>
      </c>
      <c r="D42" s="230"/>
      <c r="E42" s="230"/>
      <c r="F42" s="231"/>
      <c r="G42" s="3374" t="s">
        <v>1544</v>
      </c>
    </row>
    <row r="43" spans="1:7" ht="13.5" customHeight="1">
      <c r="A43" s="732" t="s">
        <v>347</v>
      </c>
      <c r="B43" s="207" t="s">
        <v>1545</v>
      </c>
      <c r="C43" s="230">
        <f ca="1">ROUND(IF('数据-取费表'!B22&lt;=1,C39*F22*'数据-取费表'!B21/2,C39*(POWER((1+F22),'数据-取费表'!B21/2)-1)),0)</f>
        <v>52</v>
      </c>
      <c r="D43" s="230"/>
      <c r="E43" s="230"/>
      <c r="F43" s="231"/>
      <c r="G43" s="3375"/>
    </row>
    <row r="44" spans="1:7" ht="13.5" customHeight="1">
      <c r="A44" s="732" t="s">
        <v>348</v>
      </c>
      <c r="B44" s="207" t="s">
        <v>1546</v>
      </c>
      <c r="C44" s="230">
        <f ca="1">ROUND(IF('数据-取费表'!B22&lt;=1,C40*F22*'数据-取费表'!B21/2,C40*(POWER((1+F22),'数据-取费表'!B21/2)-1)),4)</f>
        <v>1.1999999999999999E-3</v>
      </c>
      <c r="D44" s="230"/>
      <c r="E44" s="230"/>
      <c r="F44" s="231"/>
      <c r="G44" s="3376"/>
    </row>
    <row r="45" spans="1:7" s="206" customFormat="1" ht="13.5" customHeight="1">
      <c r="A45" s="247" t="s">
        <v>1547</v>
      </c>
      <c r="B45" s="236" t="s">
        <v>1513</v>
      </c>
      <c r="C45" s="237">
        <f ca="1">C46</f>
        <v>5486</v>
      </c>
      <c r="D45" s="227">
        <f ca="1">C47</f>
        <v>3.5999999999999999E-3</v>
      </c>
      <c r="E45" s="228" t="s">
        <v>1539</v>
      </c>
      <c r="F45" s="238">
        <f ca="1">F27</f>
        <v>0.12</v>
      </c>
      <c r="G45" s="239" t="s">
        <v>1548</v>
      </c>
    </row>
    <row r="46" spans="1:7" s="206" customFormat="1" ht="13.5" customHeight="1">
      <c r="A46" s="732" t="s">
        <v>346</v>
      </c>
      <c r="B46" s="240" t="s">
        <v>1549</v>
      </c>
      <c r="C46" s="241">
        <f ca="1">ROUND((C33+C39)*F27,0)</f>
        <v>5486</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58111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58111</v>
      </c>
      <c r="D51" s="224"/>
      <c r="E51" s="224"/>
      <c r="F51" s="256"/>
      <c r="G51" s="226" t="s">
        <v>1560</v>
      </c>
    </row>
    <row r="52" spans="1:7" s="200" customFormat="1" ht="16.5" thickBot="1">
      <c r="A52" s="257" t="s">
        <v>1561</v>
      </c>
      <c r="B52" s="258"/>
      <c r="C52" s="259">
        <f ca="1">C31+C51</f>
        <v>557811</v>
      </c>
      <c r="D52" s="258"/>
      <c r="E52" s="258"/>
      <c r="F52" s="258"/>
      <c r="G52" s="260"/>
    </row>
    <row r="55" spans="1:7" ht="15">
      <c r="B55" s="262" t="s">
        <v>1562</v>
      </c>
      <c r="C55" s="263"/>
    </row>
    <row r="56" spans="1:7">
      <c r="B56" s="265" t="s">
        <v>802</v>
      </c>
      <c r="C56" s="267">
        <f ca="1">1-C57</f>
        <v>0.89600000000000002</v>
      </c>
    </row>
    <row r="57" spans="1:7">
      <c r="B57" s="265" t="s">
        <v>803</v>
      </c>
      <c r="C57" s="266">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9</v>
      </c>
      <c r="H1" s="996" t="str">
        <f>IF(ISERROR(FIND("住宅",B1)),"非住宅","住宅")</f>
        <v>非住宅</v>
      </c>
    </row>
    <row r="2" spans="1:8" s="192" customFormat="1" ht="18" customHeight="1">
      <c r="A2" s="193" t="s">
        <v>1462</v>
      </c>
      <c r="B2" s="3119">
        <f ca="1">ROUND(IF(D2="——",C52/10000,C52/10000-E2),4)</f>
        <v>72586.532500000001</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9772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13220230</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13220230</v>
      </c>
      <c r="D8" s="214"/>
      <c r="E8" s="212"/>
      <c r="F8" s="213"/>
      <c r="G8" s="1712"/>
    </row>
    <row r="9" spans="1:8" s="206" customFormat="1" ht="13.5" customHeight="1">
      <c r="A9" s="731" t="s">
        <v>355</v>
      </c>
      <c r="B9" s="216" t="s">
        <v>1478</v>
      </c>
      <c r="C9" s="217">
        <f ca="1">ROUND(D9*E9,0)</f>
        <v>6541016</v>
      </c>
      <c r="D9" s="793">
        <f ca="1">IF(B1="",'数据-汇总表'!E5,IF(INDIRECT("'数据-取费表'!c"&amp;$G$1)="住宅",INDIRECT("'数据-取费表'!k"&amp;$G$1),0))</f>
        <v>40881.349999999984</v>
      </c>
      <c r="E9" s="217">
        <f>'数据-取费表'!B27</f>
        <v>160</v>
      </c>
      <c r="F9" s="213"/>
      <c r="G9" s="218"/>
    </row>
    <row r="10" spans="1:8" s="206" customFormat="1" ht="13.5" customHeight="1">
      <c r="A10" s="731" t="s">
        <v>356</v>
      </c>
      <c r="B10" s="216" t="s">
        <v>1480</v>
      </c>
      <c r="C10" s="217">
        <f ca="1">ROUND(D10*E10,0)</f>
        <v>6679214</v>
      </c>
      <c r="D10" s="793">
        <f ca="1">IF(B1="",'数据-汇总表'!E6,IF(INDIRECT("'数据-取费表'!c"&amp;$G$1)="住宅",INDIRECT("'数据-取费表'!s"&amp;$G$1),INDIRECT("'数据-取费表'!k"&amp;$G$1)+INDIRECT("'数据-取费表'!s"&amp;$G$1)))</f>
        <v>33396.069999999883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14855484</v>
      </c>
      <c r="D19" s="204">
        <f ca="1">D9+D10</f>
        <v>74277.419999999867</v>
      </c>
      <c r="E19" s="203">
        <f>'数据-取费表'!B31</f>
        <v>200</v>
      </c>
      <c r="F19" s="223"/>
      <c r="G19" s="1712"/>
    </row>
    <row r="20" spans="1:7" s="206" customFormat="1" ht="13.5" customHeight="1">
      <c r="A20" s="247" t="s">
        <v>1574</v>
      </c>
      <c r="B20" s="202" t="s">
        <v>1575</v>
      </c>
      <c r="C20" s="224">
        <f ca="1">ROUND((C5+C19)*F20,0)</f>
        <v>842271</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2641561</v>
      </c>
      <c r="D22" s="227">
        <f ca="1">C26</f>
        <v>1.4E-3</v>
      </c>
      <c r="E22" s="228" t="s">
        <v>1579</v>
      </c>
      <c r="F22" s="229">
        <f ca="1">'数据-取费表'!B40</f>
        <v>0.03</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1225872</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1377504</v>
      </c>
      <c r="D24" s="230"/>
      <c r="E24" s="230"/>
      <c r="F24" s="231"/>
      <c r="G24" s="232" t="s">
        <v>1586</v>
      </c>
    </row>
    <row r="25" spans="1:7" s="206" customFormat="1" ht="24">
      <c r="A25" s="732" t="s">
        <v>1476</v>
      </c>
      <c r="B25" s="207" t="s">
        <v>1587</v>
      </c>
      <c r="C25" s="230">
        <f ca="1">ROUND(IF('数据-取费表'!B22&lt;=1,C20*F22*'数据-取费表'!B22/2,C20*(POWER((1+F22),'数据-取费表'!B22/2)-1)),0)</f>
        <v>38185</v>
      </c>
      <c r="D25" s="230"/>
      <c r="E25" s="233"/>
      <c r="F25" s="231"/>
      <c r="G25" s="234" t="s">
        <v>1588</v>
      </c>
    </row>
    <row r="26" spans="1:7" s="206" customFormat="1">
      <c r="A26" s="732"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3470158</v>
      </c>
      <c r="D27" s="227">
        <f ca="1">C29</f>
        <v>3.5999999999999999E-3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ROUND((C5+C19+C20)*F27,0)</f>
        <v>3470158</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38422402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522156004</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449103710</v>
      </c>
      <c r="D34" s="209"/>
      <c r="E34" s="212"/>
      <c r="F34" s="249"/>
      <c r="G34" s="211"/>
    </row>
    <row r="35" spans="1:7" ht="13.5" customHeight="1">
      <c r="A35" s="732" t="s">
        <v>351</v>
      </c>
      <c r="B35" s="207" t="s">
        <v>1527</v>
      </c>
      <c r="C35" s="212">
        <f ca="1">ROUND(C34*F35,0)</f>
        <v>35928297</v>
      </c>
      <c r="D35" s="212"/>
      <c r="E35" s="212"/>
      <c r="F35" s="251">
        <f>'数据-取费表'!B33</f>
        <v>0.08</v>
      </c>
      <c r="G35" s="211" t="s">
        <v>1528</v>
      </c>
    </row>
    <row r="36" spans="1:7" ht="24">
      <c r="A36" s="732" t="s">
        <v>352</v>
      </c>
      <c r="B36" s="207" t="s">
        <v>1529</v>
      </c>
      <c r="C36" s="212">
        <f ca="1">ROUND(IF(B1="",SUM('数据-取费表'!AP6:AP13)*F36,IF(INDIRECT("'数据-取费表'!c"&amp;$G$1)="住宅",INDIRECT("'数据-取费表'!k"&amp;$G$1)*INDIRECT("'数据-取费表'!l"&amp;$G$1)*F36,0)),0)</f>
        <v>13286439</v>
      </c>
      <c r="D36" s="212"/>
      <c r="E36" s="212"/>
      <c r="F36" s="251">
        <f>'数据-取费表'!B34</f>
        <v>0.05</v>
      </c>
      <c r="G36" s="252" t="s">
        <v>1530</v>
      </c>
    </row>
    <row r="37" spans="1:7" s="250" customFormat="1" ht="13.5" customHeight="1">
      <c r="A37" s="732" t="s">
        <v>353</v>
      </c>
      <c r="B37" s="207" t="s">
        <v>1531</v>
      </c>
      <c r="C37" s="241">
        <f ca="1">ROUND(E37*D37,0)</f>
        <v>14855484</v>
      </c>
      <c r="D37" s="209">
        <f ca="1">D19</f>
        <v>74277.419999999867</v>
      </c>
      <c r="E37" s="241">
        <f>'数据-取费表'!B35</f>
        <v>200</v>
      </c>
      <c r="F37" s="251"/>
      <c r="G37" s="253"/>
    </row>
    <row r="38" spans="1:7" ht="13.5" customHeight="1">
      <c r="A38" s="732" t="s">
        <v>354</v>
      </c>
      <c r="B38" s="207" t="s">
        <v>1533</v>
      </c>
      <c r="C38" s="212">
        <f ca="1">ROUND(C34*F38,0)</f>
        <v>8982074</v>
      </c>
      <c r="D38" s="212"/>
      <c r="E38" s="212"/>
      <c r="F38" s="251">
        <f>'数据-取费表'!B36</f>
        <v>0.02</v>
      </c>
      <c r="G38" s="211" t="s">
        <v>1528</v>
      </c>
    </row>
    <row r="39" spans="1:7" s="206" customFormat="1" ht="13.5" customHeight="1">
      <c r="A39" s="247" t="s">
        <v>1534</v>
      </c>
      <c r="B39" s="202" t="s">
        <v>1535</v>
      </c>
      <c r="C39" s="224">
        <f ca="1">ROUND(C33*F20,0)</f>
        <v>15664680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24382547</v>
      </c>
      <c r="D41" s="227">
        <f ca="1">C44</f>
        <v>1.4E-3</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23672376</v>
      </c>
      <c r="D42" s="230"/>
      <c r="E42" s="230"/>
      <c r="F42" s="231"/>
      <c r="G42" s="3374" t="s">
        <v>1591</v>
      </c>
    </row>
    <row r="43" spans="1:7" ht="13.5" customHeight="1">
      <c r="A43" s="732" t="s">
        <v>347</v>
      </c>
      <c r="B43" s="207" t="s">
        <v>1545</v>
      </c>
      <c r="C43" s="230">
        <f ca="1">ROUND(IF('数据-取费表'!B22&lt;=1,C39*F22*'数据-取费表'!B20/2,C39*(POWER((1+F22),'数据-取费表'!B20/2)-1)),0)</f>
        <v>710171</v>
      </c>
      <c r="D43" s="230"/>
      <c r="E43" s="230"/>
      <c r="F43" s="231"/>
      <c r="G43" s="3375"/>
    </row>
    <row r="44" spans="1:7" ht="13.5" customHeight="1">
      <c r="A44" s="732" t="s">
        <v>348</v>
      </c>
      <c r="B44" s="207" t="s">
        <v>1546</v>
      </c>
      <c r="C44" s="230">
        <f ca="1">ROUND(IF('数据-取费表'!B22&lt;=1,C40*F22*'数据-取费表'!B20/2,C40*(POWER((1+F22),'数据-取费表'!B20/2)-1)),4)</f>
        <v>1.4E-3</v>
      </c>
      <c r="D44" s="230"/>
      <c r="E44" s="230"/>
      <c r="F44" s="231"/>
      <c r="G44" s="3376"/>
    </row>
    <row r="45" spans="1:7" s="206" customFormat="1" ht="13.5" customHeight="1">
      <c r="A45" s="247" t="s">
        <v>1547</v>
      </c>
      <c r="B45" s="236" t="s">
        <v>1513</v>
      </c>
      <c r="C45" s="237">
        <f ca="1">C46</f>
        <v>64538482</v>
      </c>
      <c r="D45" s="227">
        <f ca="1">C47</f>
        <v>3.5999999999999999E-3</v>
      </c>
      <c r="E45" s="228" t="s">
        <v>1539</v>
      </c>
      <c r="F45" s="238">
        <f ca="1">F27</f>
        <v>0.12</v>
      </c>
      <c r="G45" s="239" t="s">
        <v>1548</v>
      </c>
    </row>
    <row r="46" spans="1:7" s="206" customFormat="1" ht="13.5" customHeight="1">
      <c r="A46" s="732" t="s">
        <v>346</v>
      </c>
      <c r="B46" s="240" t="s">
        <v>1549</v>
      </c>
      <c r="C46" s="241">
        <f ca="1">ROUND((C33+C39)*F27,0)</f>
        <v>64538482</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687442923</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687442923</v>
      </c>
      <c r="D51" s="224"/>
      <c r="E51" s="224"/>
      <c r="F51" s="256"/>
      <c r="G51" s="226" t="s">
        <v>1560</v>
      </c>
    </row>
    <row r="52" spans="1:7" s="200" customFormat="1" ht="16.5" thickBot="1">
      <c r="A52" s="257" t="s">
        <v>1561</v>
      </c>
      <c r="B52" s="258"/>
      <c r="C52" s="259">
        <f ca="1">C31+C51</f>
        <v>725865325</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85" zoomScaleNormal="60" zoomScaleSheetLayoutView="85" workbookViewId="0">
      <selection activeCell="L41" sqref="L4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361908</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48724</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81" t="s">
        <v>1770</v>
      </c>
      <c r="D4" s="3393"/>
      <c r="E4" s="3394" t="s">
        <v>1771</v>
      </c>
      <c r="F4" s="3395"/>
      <c r="G4" s="3381" t="s">
        <v>1772</v>
      </c>
      <c r="H4" s="3393"/>
      <c r="I4" s="3381" t="s">
        <v>1773</v>
      </c>
      <c r="J4" s="3393"/>
      <c r="K4" s="535" t="s">
        <v>1774</v>
      </c>
      <c r="L4" s="2483"/>
      <c r="M4" s="2484"/>
      <c r="N4" s="2484"/>
      <c r="O4" s="2484"/>
      <c r="P4" s="3396" t="s">
        <v>1775</v>
      </c>
      <c r="Q4" s="3397"/>
      <c r="R4" s="3402" t="s">
        <v>1771</v>
      </c>
      <c r="S4" s="3403"/>
      <c r="T4" s="3402" t="s">
        <v>1772</v>
      </c>
      <c r="U4" s="3403"/>
      <c r="V4" s="3389" t="s">
        <v>1773</v>
      </c>
      <c r="W4" s="3389"/>
      <c r="X4" s="1263"/>
      <c r="Y4" s="3402" t="s">
        <v>1775</v>
      </c>
      <c r="Z4" s="3403"/>
      <c r="AA4" s="3390" t="s">
        <v>1771</v>
      </c>
      <c r="AB4" s="3391" t="s">
        <v>1772</v>
      </c>
      <c r="AC4" s="3390" t="s">
        <v>1773</v>
      </c>
    </row>
    <row r="5" spans="1:29" ht="61.5" customHeight="1" thickBot="1">
      <c r="A5" s="348"/>
      <c r="B5" s="349"/>
      <c r="C5" s="3415" t="s">
        <v>1673</v>
      </c>
      <c r="D5" s="3411"/>
      <c r="E5" s="3418" t="s">
        <v>5793</v>
      </c>
      <c r="F5" s="3419"/>
      <c r="G5" s="3410" t="s">
        <v>5794</v>
      </c>
      <c r="H5" s="3411"/>
      <c r="I5" s="3410" t="s">
        <v>5795</v>
      </c>
      <c r="J5" s="3411"/>
      <c r="K5" s="535"/>
      <c r="L5" s="2483"/>
      <c r="M5" s="2484"/>
      <c r="N5" s="2484"/>
      <c r="O5" s="2484"/>
      <c r="P5" s="3398"/>
      <c r="Q5" s="3399"/>
      <c r="R5" s="3404"/>
      <c r="S5" s="3405"/>
      <c r="T5" s="3404"/>
      <c r="U5" s="3405"/>
      <c r="V5" s="3389"/>
      <c r="W5" s="3389"/>
      <c r="X5" s="1263"/>
      <c r="Y5" s="3404"/>
      <c r="Z5" s="3405"/>
      <c r="AA5" s="3391"/>
      <c r="AB5" s="3391"/>
      <c r="AC5" s="3391"/>
    </row>
    <row r="6" spans="1:29" ht="15.75" hidden="1" thickBot="1">
      <c r="A6" s="350"/>
      <c r="B6" s="351"/>
      <c r="C6" s="3408" t="s">
        <v>1677</v>
      </c>
      <c r="D6" s="3409"/>
      <c r="E6" s="3416" t="s">
        <v>1677</v>
      </c>
      <c r="F6" s="3417"/>
      <c r="G6" s="3408" t="s">
        <v>1677</v>
      </c>
      <c r="H6" s="3409"/>
      <c r="I6" s="3408" t="s">
        <v>1677</v>
      </c>
      <c r="J6" s="3409"/>
      <c r="K6" s="535" t="s">
        <v>1678</v>
      </c>
      <c r="L6" s="2483"/>
      <c r="M6" s="2484"/>
      <c r="N6" s="2484"/>
      <c r="O6" s="2484"/>
      <c r="P6" s="3400"/>
      <c r="Q6" s="3401"/>
      <c r="R6" s="3404"/>
      <c r="S6" s="3405"/>
      <c r="T6" s="3406"/>
      <c r="U6" s="3407"/>
      <c r="V6" s="3389"/>
      <c r="W6" s="3389"/>
      <c r="X6" s="1263"/>
      <c r="Y6" s="3406"/>
      <c r="Z6" s="3407"/>
      <c r="AA6" s="3392"/>
      <c r="AB6" s="3392"/>
      <c r="AC6" s="3392"/>
    </row>
    <row r="7" spans="1:29" s="102" customFormat="1" ht="15.75" thickBot="1">
      <c r="A7" s="352" t="s">
        <v>1679</v>
      </c>
      <c r="B7" s="353"/>
      <c r="C7" s="354">
        <f>'数据-取费表'!B2</f>
        <v>45803</v>
      </c>
      <c r="D7" s="355">
        <v>100</v>
      </c>
      <c r="E7" s="356">
        <v>45734</v>
      </c>
      <c r="F7" s="357">
        <f>SUMIF(69:69,YEAR(E7)&amp;"-"&amp;INT((MONTH(E7)+2)/3),70:70)</f>
        <v>99</v>
      </c>
      <c r="G7" s="1818">
        <v>45659</v>
      </c>
      <c r="H7" s="355">
        <f>SUMIF(69:69,YEAR(G7)&amp;"-"&amp;INT((MONTH(G7)+2)/3),70:70)</f>
        <v>99</v>
      </c>
      <c r="I7" s="1818">
        <v>45659</v>
      </c>
      <c r="J7" s="355">
        <f>SUMIF(69:69,YEAR(I7)&amp;"-"&amp;INT((MONTH(I7)+2)/3),70:70)</f>
        <v>99</v>
      </c>
      <c r="K7" s="38"/>
      <c r="L7" s="2485"/>
      <c r="M7" s="2436"/>
      <c r="N7" s="2436"/>
      <c r="O7" s="2436"/>
      <c r="P7" s="3412" t="s">
        <v>1680</v>
      </c>
      <c r="Q7" s="3414"/>
      <c r="R7" s="662" t="s">
        <v>14</v>
      </c>
      <c r="S7" s="663">
        <f t="shared" ref="S7:S15" si="0">F7</f>
        <v>99</v>
      </c>
      <c r="T7" s="662" t="s">
        <v>14</v>
      </c>
      <c r="U7" s="663">
        <f t="shared" ref="U7:U15" si="1">H7</f>
        <v>99</v>
      </c>
      <c r="V7" s="662" t="s">
        <v>14</v>
      </c>
      <c r="W7" s="663">
        <f t="shared" ref="W7:W15" si="2">J7</f>
        <v>99</v>
      </c>
      <c r="X7" s="664"/>
      <c r="Y7" s="3412" t="s">
        <v>1680</v>
      </c>
      <c r="Z7" s="3413"/>
      <c r="AA7" s="50">
        <f>D7/F7</f>
        <v>1.0101010101010102</v>
      </c>
      <c r="AB7" s="50">
        <f>D7/H7</f>
        <v>1.0101010101010102</v>
      </c>
      <c r="AC7" s="50">
        <f>D7/J7</f>
        <v>1.0101010101010102</v>
      </c>
    </row>
    <row r="8" spans="1:29" s="102" customFormat="1" ht="15.75" thickBot="1">
      <c r="A8" s="352" t="s">
        <v>1681</v>
      </c>
      <c r="B8" s="353"/>
      <c r="C8" s="358" t="s">
        <v>1682</v>
      </c>
      <c r="D8" s="355">
        <v>100</v>
      </c>
      <c r="E8" s="358" t="s">
        <v>5796</v>
      </c>
      <c r="F8" s="357">
        <f>SUMIF(72:72,E8,73:73)-SUMIF(72:72,C8,73:73)+100</f>
        <v>100</v>
      </c>
      <c r="G8" s="358" t="s">
        <v>5796</v>
      </c>
      <c r="H8" s="355">
        <f>SUMIF(72:72,G8,73:73)-SUMIF(72:72,C8,73:73)+100</f>
        <v>100</v>
      </c>
      <c r="I8" s="358" t="s">
        <v>5796</v>
      </c>
      <c r="J8" s="355">
        <f>SUMIF(72:72,I8,73:73)-SUMIF(72:72,C8,73:73)+100</f>
        <v>100</v>
      </c>
      <c r="K8" s="38"/>
      <c r="L8" s="2485"/>
      <c r="M8" s="2436"/>
      <c r="N8" s="2436"/>
      <c r="O8" s="2436"/>
      <c r="P8" s="3412" t="s">
        <v>1683</v>
      </c>
      <c r="Q8" s="3413"/>
      <c r="R8" s="662" t="s">
        <v>14</v>
      </c>
      <c r="S8" s="663">
        <f t="shared" si="0"/>
        <v>100</v>
      </c>
      <c r="T8" s="662" t="s">
        <v>14</v>
      </c>
      <c r="U8" s="663">
        <f t="shared" si="1"/>
        <v>100</v>
      </c>
      <c r="V8" s="662" t="s">
        <v>14</v>
      </c>
      <c r="W8" s="663">
        <f t="shared" si="2"/>
        <v>100</v>
      </c>
      <c r="X8" s="664"/>
      <c r="Y8" s="3412" t="s">
        <v>1683</v>
      </c>
      <c r="Z8" s="3413"/>
      <c r="AA8" s="50">
        <f t="shared" ref="AA8:AA45" si="3">D8/F8</f>
        <v>1</v>
      </c>
      <c r="AB8" s="50">
        <f t="shared" ref="AB8:AB45" si="4">D8/H8</f>
        <v>1</v>
      </c>
      <c r="AC8" s="50">
        <f t="shared" ref="AC8:AC45" si="5">D8/J8</f>
        <v>1</v>
      </c>
    </row>
    <row r="9" spans="1:29" s="102" customFormat="1">
      <c r="A9" s="359" t="s">
        <v>1684</v>
      </c>
      <c r="B9" s="60" t="s">
        <v>1685</v>
      </c>
      <c r="C9" s="3183" t="s">
        <v>5804</v>
      </c>
      <c r="D9" s="59">
        <v>100</v>
      </c>
      <c r="E9" s="1821" t="s">
        <v>3395</v>
      </c>
      <c r="F9" s="59">
        <f>SUMIF(74:74,E9,75:75)-SUMIF(74:74,C9,75:75)+100</f>
        <v>100</v>
      </c>
      <c r="G9" s="1821" t="s">
        <v>3395</v>
      </c>
      <c r="H9" s="59">
        <f>SUMIF(74:74,G9,75:75)-SUMIF(74:74,C9,75:75)+100</f>
        <v>100</v>
      </c>
      <c r="I9" s="1821" t="s">
        <v>3395</v>
      </c>
      <c r="J9" s="59">
        <f>SUMIF(74:74,I9,75:75)-SUMIF(74:74,C9,75:75)+100</f>
        <v>100</v>
      </c>
      <c r="K9" s="38"/>
      <c r="L9" s="2485"/>
      <c r="M9" s="2436"/>
      <c r="N9" s="2436"/>
      <c r="O9" s="2537"/>
      <c r="P9" s="3384" t="s">
        <v>1686</v>
      </c>
      <c r="Q9" s="528" t="str">
        <f t="shared" ref="Q9:Q15" si="6">B9</f>
        <v>用途</v>
      </c>
      <c r="R9" s="662" t="s">
        <v>14</v>
      </c>
      <c r="S9" s="663">
        <f t="shared" si="0"/>
        <v>100</v>
      </c>
      <c r="T9" s="662" t="s">
        <v>14</v>
      </c>
      <c r="U9" s="663">
        <f t="shared" si="1"/>
        <v>100</v>
      </c>
      <c r="V9" s="662" t="s">
        <v>14</v>
      </c>
      <c r="W9" s="663">
        <f t="shared" si="2"/>
        <v>100</v>
      </c>
      <c r="X9" s="664"/>
      <c r="Y9" s="32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6"/>
      <c r="M10" s="2487"/>
      <c r="N10" s="2487"/>
      <c r="O10" s="2538"/>
      <c r="P10" s="3384"/>
      <c r="Q10" s="528" t="str">
        <f t="shared" si="6"/>
        <v>土地使用年限（年）</v>
      </c>
      <c r="R10" s="662" t="s">
        <v>14</v>
      </c>
      <c r="S10" s="663">
        <f t="shared" si="0"/>
        <v>101</v>
      </c>
      <c r="T10" s="662" t="s">
        <v>14</v>
      </c>
      <c r="U10" s="663">
        <f t="shared" si="1"/>
        <v>101</v>
      </c>
      <c r="V10" s="662" t="s">
        <v>14</v>
      </c>
      <c r="W10" s="663">
        <f t="shared" si="2"/>
        <v>101</v>
      </c>
      <c r="X10" s="664"/>
      <c r="Y10" s="3281"/>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8"/>
      <c r="M11" s="2484"/>
      <c r="N11" s="2484"/>
      <c r="O11" s="2539"/>
      <c r="P11" s="3384"/>
      <c r="Q11" s="528" t="str">
        <f t="shared" si="6"/>
        <v>容积率</v>
      </c>
      <c r="R11" s="662" t="s">
        <v>14</v>
      </c>
      <c r="S11" s="663">
        <f t="shared" si="0"/>
        <v>97</v>
      </c>
      <c r="T11" s="662" t="s">
        <v>14</v>
      </c>
      <c r="U11" s="663">
        <f t="shared" si="1"/>
        <v>94</v>
      </c>
      <c r="V11" s="662" t="s">
        <v>14</v>
      </c>
      <c r="W11" s="663">
        <f t="shared" si="2"/>
        <v>94</v>
      </c>
      <c r="X11" s="664"/>
      <c r="Y11" s="3281"/>
      <c r="Z11" s="50" t="str">
        <f t="shared" si="7"/>
        <v>容积率</v>
      </c>
      <c r="AA11" s="50">
        <f t="shared" si="3"/>
        <v>1.0309278350515463</v>
      </c>
      <c r="AB11" s="50">
        <f t="shared" si="4"/>
        <v>1.0638297872340425</v>
      </c>
      <c r="AC11" s="50">
        <f t="shared" si="5"/>
        <v>1.0638297872340425</v>
      </c>
    </row>
    <row r="12" spans="1:29" s="102" customFormat="1" ht="15.75" thickBot="1">
      <c r="A12" s="370"/>
      <c r="B12" s="3182" t="s">
        <v>5803</v>
      </c>
      <c r="C12" s="371">
        <v>120000</v>
      </c>
      <c r="D12" s="372">
        <v>100</v>
      </c>
      <c r="E12" s="403" t="s">
        <v>5797</v>
      </c>
      <c r="F12" s="119">
        <f>SUMIF(81:81,E12,82:82)-SUMIF(81:81,C12,82:82)+100</f>
        <v>110</v>
      </c>
      <c r="G12" s="402" t="s">
        <v>5797</v>
      </c>
      <c r="H12" s="119">
        <f>SUMIF(81:81,G12,82:82)-SUMIF(81:81,C12,82:82)+100</f>
        <v>110</v>
      </c>
      <c r="I12" s="403" t="s">
        <v>5797</v>
      </c>
      <c r="J12" s="119">
        <f>SUMIF(81:81,I12,82:82)-SUMIF(81:81,C12,82:82)+100</f>
        <v>110</v>
      </c>
      <c r="K12" s="590"/>
      <c r="L12" s="2485"/>
      <c r="M12" s="2436"/>
      <c r="N12" s="2436"/>
      <c r="O12" s="2537"/>
      <c r="P12" s="3384"/>
      <c r="Q12" s="528" t="str">
        <f t="shared" si="6"/>
        <v>限价</v>
      </c>
      <c r="R12" s="662" t="s">
        <v>14</v>
      </c>
      <c r="S12" s="663">
        <f t="shared" si="0"/>
        <v>110</v>
      </c>
      <c r="T12" s="662" t="s">
        <v>14</v>
      </c>
      <c r="U12" s="663">
        <f t="shared" si="1"/>
        <v>110</v>
      </c>
      <c r="V12" s="662" t="s">
        <v>14</v>
      </c>
      <c r="W12" s="663">
        <f t="shared" si="2"/>
        <v>110</v>
      </c>
      <c r="X12" s="664"/>
      <c r="Y12" s="3281"/>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9"/>
      <c r="M13" s="2484"/>
      <c r="N13" s="2484"/>
      <c r="O13" s="2539"/>
      <c r="P13" s="3384"/>
      <c r="Q13" s="528">
        <f t="shared" si="6"/>
        <v>111</v>
      </c>
      <c r="R13" s="662" t="s">
        <v>14</v>
      </c>
      <c r="S13" s="663">
        <f t="shared" si="0"/>
        <v>100</v>
      </c>
      <c r="T13" s="662" t="s">
        <v>14</v>
      </c>
      <c r="U13" s="663">
        <f t="shared" si="1"/>
        <v>100</v>
      </c>
      <c r="V13" s="662" t="s">
        <v>14</v>
      </c>
      <c r="W13" s="663">
        <f t="shared" si="2"/>
        <v>100</v>
      </c>
      <c r="X13" s="664"/>
      <c r="Y13" s="3281"/>
      <c r="Z13" s="50">
        <f t="shared" si="7"/>
        <v>111</v>
      </c>
      <c r="AA13" s="50">
        <f>D13/F13</f>
        <v>1</v>
      </c>
      <c r="AB13" s="50">
        <f>D13/H13</f>
        <v>1</v>
      </c>
      <c r="AC13" s="50">
        <f>D13/J13</f>
        <v>1</v>
      </c>
    </row>
    <row r="14" spans="1:29" ht="15.75" hidden="1" thickBot="1">
      <c r="A14" s="375"/>
      <c r="B14" s="1747">
        <v>111</v>
      </c>
      <c r="C14" s="376"/>
      <c r="D14" s="377">
        <v>100</v>
      </c>
      <c r="E14" s="478"/>
      <c r="F14" s="377">
        <f>SUMIF(85:85,E14,86:86)-SUMIF(85:85,C14,86:86)+100</f>
        <v>100</v>
      </c>
      <c r="G14" s="592"/>
      <c r="H14" s="377">
        <f>SUMIF(85:85,G14,86:86)-SUMIF(85:85,C14,86:86)+100</f>
        <v>100</v>
      </c>
      <c r="I14" s="592"/>
      <c r="J14" s="377">
        <f>SUMIF(85:85,I14,86:86)-SUMIF(85:85,C14,86:86)+100</f>
        <v>100</v>
      </c>
      <c r="K14" s="590"/>
      <c r="L14" s="2489"/>
      <c r="M14" s="2484"/>
      <c r="N14" s="2484"/>
      <c r="O14" s="2539"/>
      <c r="P14" s="3384"/>
      <c r="Q14" s="528">
        <f t="shared" si="6"/>
        <v>111</v>
      </c>
      <c r="R14" s="662" t="s">
        <v>14</v>
      </c>
      <c r="S14" s="663">
        <f t="shared" si="0"/>
        <v>100</v>
      </c>
      <c r="T14" s="662" t="s">
        <v>14</v>
      </c>
      <c r="U14" s="663">
        <f t="shared" si="1"/>
        <v>100</v>
      </c>
      <c r="V14" s="662" t="s">
        <v>14</v>
      </c>
      <c r="W14" s="663">
        <f t="shared" si="2"/>
        <v>100</v>
      </c>
      <c r="X14" s="664"/>
      <c r="Y14" s="3281"/>
      <c r="Z14" s="50">
        <f t="shared" si="7"/>
        <v>111</v>
      </c>
      <c r="AA14" s="50">
        <f>D14/F14</f>
        <v>1</v>
      </c>
      <c r="AB14" s="50">
        <f>D14/H14</f>
        <v>1</v>
      </c>
      <c r="AC14" s="50">
        <f>D14/J14</f>
        <v>1</v>
      </c>
    </row>
    <row r="15" spans="1:29" ht="15">
      <c r="A15" s="379" t="s">
        <v>1690</v>
      </c>
      <c r="B15" s="58" t="s">
        <v>1257</v>
      </c>
      <c r="C15" s="1748">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9"/>
      <c r="M15" s="2484"/>
      <c r="N15" s="2484"/>
      <c r="O15" s="2539"/>
      <c r="P15" s="3385" t="s">
        <v>1691</v>
      </c>
      <c r="Q15" s="1261" t="str">
        <f t="shared" si="6"/>
        <v>居住社区成熟度</v>
      </c>
      <c r="R15" s="665" t="s">
        <v>14</v>
      </c>
      <c r="S15" s="666">
        <f t="shared" si="0"/>
        <v>103</v>
      </c>
      <c r="T15" s="665" t="s">
        <v>14</v>
      </c>
      <c r="U15" s="666">
        <f t="shared" si="1"/>
        <v>100</v>
      </c>
      <c r="V15" s="665" t="s">
        <v>14</v>
      </c>
      <c r="W15" s="666">
        <f t="shared" si="2"/>
        <v>100</v>
      </c>
      <c r="X15" s="1263"/>
      <c r="Y15" s="3385" t="s">
        <v>1691</v>
      </c>
      <c r="Z15" s="1262" t="str">
        <f t="shared" si="7"/>
        <v>居住社区成熟度</v>
      </c>
      <c r="AA15" s="1262">
        <f t="shared" si="3"/>
        <v>0.970873786407767</v>
      </c>
      <c r="AB15" s="1262">
        <f t="shared" si="4"/>
        <v>1</v>
      </c>
      <c r="AC15" s="1262">
        <f t="shared" si="5"/>
        <v>1</v>
      </c>
    </row>
    <row r="16" spans="1:29" ht="15">
      <c r="A16" s="367"/>
      <c r="B16" s="385"/>
      <c r="C16" s="386" t="s">
        <v>5802</v>
      </c>
      <c r="D16" s="387"/>
      <c r="E16" s="1750" t="s">
        <v>5798</v>
      </c>
      <c r="F16" s="387"/>
      <c r="G16" s="1750" t="s">
        <v>5802</v>
      </c>
      <c r="H16" s="389"/>
      <c r="I16" s="1749" t="s">
        <v>5802</v>
      </c>
      <c r="J16" s="387"/>
      <c r="K16" s="590"/>
      <c r="L16" s="2489"/>
      <c r="M16" s="2484"/>
      <c r="N16" s="2484"/>
      <c r="O16" s="2539"/>
      <c r="P16" s="3386"/>
      <c r="Q16" s="1261"/>
      <c r="R16" s="665"/>
      <c r="S16" s="666"/>
      <c r="T16" s="665"/>
      <c r="U16" s="666"/>
      <c r="V16" s="665"/>
      <c r="W16" s="666"/>
      <c r="X16" s="1263"/>
      <c r="Y16" s="3386"/>
      <c r="Z16" s="1262"/>
      <c r="AA16" s="1262">
        <v>1</v>
      </c>
      <c r="AB16" s="1262">
        <v>1</v>
      </c>
      <c r="AC16" s="1262">
        <v>1</v>
      </c>
    </row>
    <row r="17" spans="1:29" ht="15" hidden="1">
      <c r="A17" s="367"/>
      <c r="B17" s="390" t="s">
        <v>1777</v>
      </c>
      <c r="C17" s="1802">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9"/>
      <c r="M17" s="2484"/>
      <c r="N17" s="2484"/>
      <c r="O17" s="2539"/>
      <c r="P17" s="3386"/>
      <c r="Q17" s="1261" t="str">
        <f>B17</f>
        <v>商业繁华度</v>
      </c>
      <c r="R17" s="665" t="s">
        <v>14</v>
      </c>
      <c r="S17" s="666">
        <f>F17</f>
        <v>100</v>
      </c>
      <c r="T17" s="665" t="s">
        <v>14</v>
      </c>
      <c r="U17" s="666">
        <f>H17</f>
        <v>100</v>
      </c>
      <c r="V17" s="665" t="s">
        <v>14</v>
      </c>
      <c r="W17" s="666">
        <f>J17</f>
        <v>100</v>
      </c>
      <c r="X17" s="1263"/>
      <c r="Y17" s="3386"/>
      <c r="Z17" s="1262" t="str">
        <f>Q17</f>
        <v>商业繁华度</v>
      </c>
      <c r="AA17" s="1262">
        <f t="shared" si="3"/>
        <v>1</v>
      </c>
      <c r="AB17" s="1262">
        <f t="shared" si="4"/>
        <v>1</v>
      </c>
      <c r="AC17" s="1262">
        <f t="shared" si="5"/>
        <v>1</v>
      </c>
    </row>
    <row r="18" spans="1:29" ht="15" hidden="1">
      <c r="A18" s="367"/>
      <c r="B18" s="395"/>
      <c r="C18" s="1753"/>
      <c r="D18" s="389"/>
      <c r="E18" s="1755"/>
      <c r="F18" s="389"/>
      <c r="G18" s="1755"/>
      <c r="H18" s="387"/>
      <c r="I18" s="1754"/>
      <c r="J18" s="387"/>
      <c r="K18" s="590"/>
      <c r="L18" s="2489"/>
      <c r="M18" s="2484"/>
      <c r="N18" s="2484"/>
      <c r="O18" s="2539"/>
      <c r="P18" s="3386"/>
      <c r="Q18" s="1261"/>
      <c r="R18" s="665"/>
      <c r="S18" s="666"/>
      <c r="T18" s="665"/>
      <c r="U18" s="666"/>
      <c r="V18" s="665"/>
      <c r="W18" s="666"/>
      <c r="X18" s="1263"/>
      <c r="Y18" s="3386"/>
      <c r="Z18" s="1262"/>
      <c r="AA18" s="1262">
        <v>1</v>
      </c>
      <c r="AB18" s="1262">
        <v>1</v>
      </c>
      <c r="AC18" s="1262">
        <v>1</v>
      </c>
    </row>
    <row r="19" spans="1:29" ht="15" hidden="1">
      <c r="A19" s="367"/>
      <c r="B19" s="390" t="s">
        <v>1811</v>
      </c>
      <c r="C19" s="1802">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9"/>
      <c r="M19" s="2484"/>
      <c r="N19" s="2484"/>
      <c r="O19" s="2539"/>
      <c r="P19" s="3386"/>
      <c r="Q19" s="1261" t="str">
        <f>B19</f>
        <v>办公集聚程度</v>
      </c>
      <c r="R19" s="665" t="s">
        <v>14</v>
      </c>
      <c r="S19" s="666">
        <f>F19</f>
        <v>100</v>
      </c>
      <c r="T19" s="665" t="s">
        <v>14</v>
      </c>
      <c r="U19" s="666">
        <f>H19</f>
        <v>100</v>
      </c>
      <c r="V19" s="665" t="s">
        <v>14</v>
      </c>
      <c r="W19" s="666">
        <f>J19</f>
        <v>100</v>
      </c>
      <c r="X19" s="1263"/>
      <c r="Y19" s="3386"/>
      <c r="Z19" s="1262" t="str">
        <f>Q19</f>
        <v>办公集聚程度</v>
      </c>
      <c r="AA19" s="1262">
        <f t="shared" si="3"/>
        <v>1</v>
      </c>
      <c r="AB19" s="1262">
        <f t="shared" si="4"/>
        <v>1</v>
      </c>
      <c r="AC19" s="1262">
        <f t="shared" si="5"/>
        <v>1</v>
      </c>
    </row>
    <row r="20" spans="1:29" ht="15" hidden="1">
      <c r="A20" s="367"/>
      <c r="B20" s="395"/>
      <c r="C20" s="386"/>
      <c r="D20" s="387"/>
      <c r="E20" s="1750"/>
      <c r="F20" s="387"/>
      <c r="G20" s="1750"/>
      <c r="H20" s="387"/>
      <c r="I20" s="1749"/>
      <c r="J20" s="387"/>
      <c r="K20" s="590"/>
      <c r="L20" s="2489"/>
      <c r="M20" s="2484"/>
      <c r="N20" s="2484"/>
      <c r="O20" s="2539"/>
      <c r="P20" s="3386"/>
      <c r="Q20" s="1261"/>
      <c r="R20" s="665"/>
      <c r="S20" s="666"/>
      <c r="T20" s="665"/>
      <c r="U20" s="666"/>
      <c r="V20" s="665"/>
      <c r="W20" s="666"/>
      <c r="X20" s="1263"/>
      <c r="Y20" s="3386"/>
      <c r="Z20" s="1262"/>
      <c r="AA20" s="1262">
        <v>1</v>
      </c>
      <c r="AB20" s="1262">
        <v>1</v>
      </c>
      <c r="AC20" s="1262">
        <v>1</v>
      </c>
    </row>
    <row r="21" spans="1:29" ht="15">
      <c r="A21" s="367"/>
      <c r="B21" s="390" t="s">
        <v>1833</v>
      </c>
      <c r="C21" s="1752">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9"/>
      <c r="M21" s="2484"/>
      <c r="N21" s="2484"/>
      <c r="O21" s="2539"/>
      <c r="P21" s="3386"/>
      <c r="Q21" s="1261" t="str">
        <f>B21</f>
        <v>交通便捷度</v>
      </c>
      <c r="R21" s="665" t="s">
        <v>14</v>
      </c>
      <c r="S21" s="666">
        <f>F21</f>
        <v>103</v>
      </c>
      <c r="T21" s="665" t="s">
        <v>14</v>
      </c>
      <c r="U21" s="666">
        <f>H21</f>
        <v>103</v>
      </c>
      <c r="V21" s="665" t="s">
        <v>14</v>
      </c>
      <c r="W21" s="666">
        <f>J21</f>
        <v>103</v>
      </c>
      <c r="X21" s="1263"/>
      <c r="Y21" s="3386"/>
      <c r="Z21" s="1262" t="str">
        <f>Q21</f>
        <v>交通便捷度</v>
      </c>
      <c r="AA21" s="1262">
        <f t="shared" si="3"/>
        <v>0.970873786407767</v>
      </c>
      <c r="AB21" s="1262">
        <f t="shared" si="4"/>
        <v>0.970873786407767</v>
      </c>
      <c r="AC21" s="1262">
        <f t="shared" si="5"/>
        <v>0.970873786407767</v>
      </c>
    </row>
    <row r="22" spans="1:29" ht="15">
      <c r="A22" s="367"/>
      <c r="B22" s="584"/>
      <c r="C22" s="386" t="s">
        <v>5802</v>
      </c>
      <c r="D22" s="389"/>
      <c r="E22" s="1750" t="s">
        <v>5798</v>
      </c>
      <c r="F22" s="387"/>
      <c r="G22" s="1750" t="s">
        <v>5798</v>
      </c>
      <c r="H22" s="387"/>
      <c r="I22" s="1749" t="s">
        <v>5798</v>
      </c>
      <c r="J22" s="387"/>
      <c r="K22" s="590"/>
      <c r="L22" s="2489"/>
      <c r="M22" s="2484"/>
      <c r="N22" s="2484"/>
      <c r="O22" s="2539"/>
      <c r="P22" s="3386"/>
      <c r="Q22" s="1261"/>
      <c r="R22" s="665"/>
      <c r="S22" s="666"/>
      <c r="T22" s="665"/>
      <c r="U22" s="666"/>
      <c r="V22" s="665"/>
      <c r="W22" s="666"/>
      <c r="X22" s="1263"/>
      <c r="Y22" s="3386"/>
      <c r="Z22" s="1262"/>
      <c r="AA22" s="1262">
        <v>1</v>
      </c>
      <c r="AB22" s="1262">
        <v>1</v>
      </c>
      <c r="AC22" s="1262">
        <v>1</v>
      </c>
    </row>
    <row r="23" spans="1:29" ht="15">
      <c r="A23" s="348"/>
      <c r="B23" s="390" t="s">
        <v>1870</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9"/>
      <c r="M23" s="2484"/>
      <c r="N23" s="2484"/>
      <c r="O23" s="2539"/>
      <c r="P23" s="3386"/>
      <c r="Q23" s="1261" t="str">
        <f t="shared" ref="Q23:Q37" si="8">B23</f>
        <v>区域土地利用方向</v>
      </c>
      <c r="R23" s="665" t="s">
        <v>14</v>
      </c>
      <c r="S23" s="666">
        <f>F23</f>
        <v>100</v>
      </c>
      <c r="T23" s="665" t="s">
        <v>14</v>
      </c>
      <c r="U23" s="666">
        <f>H23</f>
        <v>100</v>
      </c>
      <c r="V23" s="665" t="s">
        <v>14</v>
      </c>
      <c r="W23" s="666">
        <f>J23</f>
        <v>100</v>
      </c>
      <c r="X23" s="1263"/>
      <c r="Y23" s="3386"/>
      <c r="Z23" s="1262" t="str">
        <f>Q23</f>
        <v>区域土地利用方向</v>
      </c>
      <c r="AA23" s="1262">
        <f t="shared" si="3"/>
        <v>1</v>
      </c>
      <c r="AB23" s="1262">
        <f t="shared" si="4"/>
        <v>1</v>
      </c>
      <c r="AC23" s="1262">
        <f t="shared" si="5"/>
        <v>1</v>
      </c>
    </row>
    <row r="24" spans="1:29" ht="15">
      <c r="A24" s="348"/>
      <c r="B24" s="395"/>
      <c r="C24" s="540" t="s">
        <v>5798</v>
      </c>
      <c r="D24" s="387"/>
      <c r="E24" s="1750" t="s">
        <v>5798</v>
      </c>
      <c r="F24" s="387"/>
      <c r="G24" s="1749" t="s">
        <v>5798</v>
      </c>
      <c r="H24" s="387"/>
      <c r="I24" s="1749" t="s">
        <v>5798</v>
      </c>
      <c r="J24" s="387"/>
      <c r="K24" s="696"/>
      <c r="L24" s="2489"/>
      <c r="M24" s="2484"/>
      <c r="N24" s="2484"/>
      <c r="O24" s="2539"/>
      <c r="P24" s="3386"/>
      <c r="Q24" s="1261"/>
      <c r="R24" s="665"/>
      <c r="S24" s="666"/>
      <c r="T24" s="665"/>
      <c r="U24" s="666"/>
      <c r="V24" s="665"/>
      <c r="W24" s="666"/>
      <c r="X24" s="1263"/>
      <c r="Y24" s="3386"/>
      <c r="Z24" s="1262"/>
      <c r="AA24" s="1262"/>
      <c r="AB24" s="1262"/>
      <c r="AC24" s="1262"/>
    </row>
    <row r="25" spans="1:29" ht="27">
      <c r="A25" s="348"/>
      <c r="B25" s="584" t="s">
        <v>1871</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9"/>
      <c r="M25" s="2484"/>
      <c r="N25" s="2484"/>
      <c r="O25" s="2539"/>
      <c r="P25" s="3386"/>
      <c r="Q25" s="1261" t="str">
        <f t="shared" si="8"/>
        <v>自然及人文环境状况</v>
      </c>
      <c r="R25" s="665" t="s">
        <v>14</v>
      </c>
      <c r="S25" s="666">
        <f>F25</f>
        <v>100</v>
      </c>
      <c r="T25" s="665" t="s">
        <v>14</v>
      </c>
      <c r="U25" s="666">
        <f>H25</f>
        <v>100</v>
      </c>
      <c r="V25" s="665" t="s">
        <v>14</v>
      </c>
      <c r="W25" s="666">
        <f>J25</f>
        <v>100</v>
      </c>
      <c r="X25" s="1263"/>
      <c r="Y25" s="3386"/>
      <c r="Z25" s="1262" t="str">
        <f>Q25</f>
        <v>自然及人文环境状况</v>
      </c>
      <c r="AA25" s="1262">
        <f t="shared" si="3"/>
        <v>1</v>
      </c>
      <c r="AB25" s="1262">
        <f t="shared" si="4"/>
        <v>1</v>
      </c>
      <c r="AC25" s="1262">
        <f t="shared" si="5"/>
        <v>1</v>
      </c>
    </row>
    <row r="26" spans="1:29" ht="15">
      <c r="A26" s="348"/>
      <c r="B26" s="395"/>
      <c r="C26" s="386" t="s">
        <v>5798</v>
      </c>
      <c r="D26" s="387"/>
      <c r="E26" s="1756" t="s">
        <v>5798</v>
      </c>
      <c r="F26" s="387"/>
      <c r="G26" s="1756" t="s">
        <v>5798</v>
      </c>
      <c r="H26" s="387"/>
      <c r="I26" s="386" t="s">
        <v>5798</v>
      </c>
      <c r="J26" s="387"/>
      <c r="K26" s="590"/>
      <c r="L26" s="2489"/>
      <c r="M26" s="2484"/>
      <c r="N26" s="2484"/>
      <c r="O26" s="2539"/>
      <c r="P26" s="3386"/>
      <c r="Q26" s="1261"/>
      <c r="R26" s="665"/>
      <c r="S26" s="666"/>
      <c r="T26" s="665"/>
      <c r="U26" s="666"/>
      <c r="V26" s="665"/>
      <c r="W26" s="666"/>
      <c r="X26" s="1263"/>
      <c r="Y26" s="3386"/>
      <c r="Z26" s="1262"/>
      <c r="AA26" s="1262">
        <v>1</v>
      </c>
      <c r="AB26" s="1262">
        <v>1</v>
      </c>
      <c r="AC26" s="1262">
        <v>1</v>
      </c>
    </row>
    <row r="27" spans="1:29" s="102" customFormat="1" ht="15">
      <c r="A27" s="441"/>
      <c r="B27" s="584" t="s">
        <v>1778</v>
      </c>
      <c r="C27" s="1752">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5"/>
      <c r="M27" s="2436"/>
      <c r="N27" s="2436"/>
      <c r="O27" s="2537"/>
      <c r="P27" s="3386"/>
      <c r="Q27" s="528" t="str">
        <f t="shared" si="8"/>
        <v>公共配套设施</v>
      </c>
      <c r="R27" s="662" t="s">
        <v>14</v>
      </c>
      <c r="S27" s="663">
        <f>F27</f>
        <v>100</v>
      </c>
      <c r="T27" s="662" t="s">
        <v>14</v>
      </c>
      <c r="U27" s="663">
        <f>H27</f>
        <v>100</v>
      </c>
      <c r="V27" s="662" t="s">
        <v>14</v>
      </c>
      <c r="W27" s="663">
        <f>J27</f>
        <v>100</v>
      </c>
      <c r="X27" s="664"/>
      <c r="Y27" s="3386"/>
      <c r="Z27" s="50" t="str">
        <f>Q27</f>
        <v>公共配套设施</v>
      </c>
      <c r="AA27" s="1262">
        <f>D27/F27</f>
        <v>1</v>
      </c>
      <c r="AB27" s="1262">
        <f>D27/H27</f>
        <v>1</v>
      </c>
      <c r="AC27" s="1262">
        <f>D27/J27</f>
        <v>1</v>
      </c>
    </row>
    <row r="28" spans="1:29" s="102" customFormat="1" ht="15">
      <c r="A28" s="441"/>
      <c r="B28" s="395"/>
      <c r="C28" s="1822" t="s">
        <v>5798</v>
      </c>
      <c r="D28" s="387"/>
      <c r="E28" s="1756" t="s">
        <v>5798</v>
      </c>
      <c r="F28" s="387"/>
      <c r="G28" s="1756" t="s">
        <v>5798</v>
      </c>
      <c r="H28" s="387"/>
      <c r="I28" s="386" t="s">
        <v>5798</v>
      </c>
      <c r="J28" s="387"/>
      <c r="K28" s="590"/>
      <c r="L28" s="2485"/>
      <c r="M28" s="2436"/>
      <c r="N28" s="2436"/>
      <c r="O28" s="2537"/>
      <c r="P28" s="3386"/>
      <c r="Q28" s="528"/>
      <c r="R28" s="662"/>
      <c r="S28" s="663"/>
      <c r="T28" s="662"/>
      <c r="U28" s="663"/>
      <c r="V28" s="662"/>
      <c r="W28" s="663"/>
      <c r="X28" s="664"/>
      <c r="Y28" s="3386"/>
      <c r="Z28" s="50"/>
      <c r="AA28" s="1262">
        <v>1</v>
      </c>
      <c r="AB28" s="1262">
        <v>1</v>
      </c>
      <c r="AC28" s="1262">
        <v>1</v>
      </c>
    </row>
    <row r="29" spans="1:29" s="102" customFormat="1" ht="15">
      <c r="A29" s="441"/>
      <c r="B29" s="584" t="s">
        <v>1779</v>
      </c>
      <c r="C29" s="1752">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5"/>
      <c r="M29" s="2436"/>
      <c r="N29" s="2436"/>
      <c r="O29" s="2537"/>
      <c r="P29" s="3386"/>
      <c r="Q29" s="528" t="str">
        <f t="shared" ref="Q29" si="9">B29</f>
        <v>基础设施水平</v>
      </c>
      <c r="R29" s="662" t="s">
        <v>14</v>
      </c>
      <c r="S29" s="663">
        <f>F29</f>
        <v>100</v>
      </c>
      <c r="T29" s="662" t="s">
        <v>14</v>
      </c>
      <c r="U29" s="663">
        <f>H29</f>
        <v>100</v>
      </c>
      <c r="V29" s="662" t="s">
        <v>14</v>
      </c>
      <c r="W29" s="663">
        <f>J29</f>
        <v>100</v>
      </c>
      <c r="X29" s="664"/>
      <c r="Y29" s="3386"/>
      <c r="Z29" s="50" t="str">
        <f>Q29</f>
        <v>基础设施水平</v>
      </c>
      <c r="AA29" s="1262">
        <f>D29/F29</f>
        <v>1</v>
      </c>
      <c r="AB29" s="1262">
        <f>D29/H29</f>
        <v>1</v>
      </c>
      <c r="AC29" s="1262">
        <f>D29/J29</f>
        <v>1</v>
      </c>
    </row>
    <row r="30" spans="1:29" s="102" customFormat="1" ht="15.75" thickBot="1">
      <c r="A30" s="441"/>
      <c r="B30" s="395"/>
      <c r="C30" s="1822" t="s">
        <v>5799</v>
      </c>
      <c r="D30" s="387"/>
      <c r="E30" s="1823" t="s">
        <v>5799</v>
      </c>
      <c r="F30" s="387"/>
      <c r="G30" s="1823" t="s">
        <v>5799</v>
      </c>
      <c r="H30" s="387"/>
      <c r="I30" s="1823" t="s">
        <v>5799</v>
      </c>
      <c r="J30" s="387"/>
      <c r="K30" s="590"/>
      <c r="L30" s="2485"/>
      <c r="M30" s="2436"/>
      <c r="N30" s="2436"/>
      <c r="O30" s="2537"/>
      <c r="P30" s="3386"/>
      <c r="Q30" s="528"/>
      <c r="R30" s="662"/>
      <c r="S30" s="663"/>
      <c r="T30" s="662"/>
      <c r="U30" s="663"/>
      <c r="V30" s="662"/>
      <c r="W30" s="663"/>
      <c r="X30" s="664"/>
      <c r="Y30" s="3386"/>
      <c r="Z30" s="50"/>
      <c r="AA30" s="1262">
        <v>1</v>
      </c>
      <c r="AB30" s="1262">
        <v>1</v>
      </c>
      <c r="AC30" s="1262">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9"/>
      <c r="M31" s="2484"/>
      <c r="N31" s="2484"/>
      <c r="O31" s="2539"/>
      <c r="P31" s="3386"/>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86"/>
      <c r="Z31" s="1262" t="str">
        <f t="shared" ref="Z31:Z45" si="13">Q31</f>
        <v>临街状况</v>
      </c>
      <c r="AA31" s="1262">
        <f t="shared" si="3"/>
        <v>1</v>
      </c>
      <c r="AB31" s="1262">
        <f t="shared" si="4"/>
        <v>1</v>
      </c>
      <c r="AC31" s="1262">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9"/>
      <c r="M32" s="2484"/>
      <c r="N32" s="2484"/>
      <c r="O32" s="2539"/>
      <c r="P32" s="3386"/>
      <c r="Q32" s="1261" t="str">
        <f t="shared" si="8"/>
        <v>毗邻道路的类型与等级</v>
      </c>
      <c r="R32" s="665" t="s">
        <v>14</v>
      </c>
      <c r="S32" s="666">
        <f t="shared" si="10"/>
        <v>100</v>
      </c>
      <c r="T32" s="665" t="s">
        <v>14</v>
      </c>
      <c r="U32" s="666">
        <f t="shared" si="11"/>
        <v>100</v>
      </c>
      <c r="V32" s="665" t="s">
        <v>14</v>
      </c>
      <c r="W32" s="666">
        <f t="shared" si="12"/>
        <v>100</v>
      </c>
      <c r="X32" s="1263"/>
      <c r="Y32" s="3386"/>
      <c r="Z32" s="1262" t="str">
        <f t="shared" si="13"/>
        <v>毗邻道路的类型与等级</v>
      </c>
      <c r="AA32" s="1262">
        <f t="shared" si="3"/>
        <v>1</v>
      </c>
      <c r="AB32" s="1262">
        <f t="shared" si="4"/>
        <v>1</v>
      </c>
      <c r="AC32" s="1262">
        <f t="shared" si="5"/>
        <v>1</v>
      </c>
    </row>
    <row r="33" spans="1:29" ht="15" hidden="1">
      <c r="A33" s="367"/>
      <c r="B33" s="395"/>
      <c r="C33" s="386"/>
      <c r="D33" s="387"/>
      <c r="E33" s="1756"/>
      <c r="F33" s="387"/>
      <c r="G33" s="1756"/>
      <c r="H33" s="387"/>
      <c r="I33" s="386"/>
      <c r="J33" s="387"/>
      <c r="K33" s="537"/>
      <c r="L33" s="2489"/>
      <c r="M33" s="2484"/>
      <c r="N33" s="2484"/>
      <c r="O33" s="2539"/>
      <c r="P33" s="3386"/>
      <c r="Q33" s="1261"/>
      <c r="R33" s="665"/>
      <c r="S33" s="666"/>
      <c r="T33" s="665"/>
      <c r="U33" s="666"/>
      <c r="V33" s="665"/>
      <c r="W33" s="666"/>
      <c r="X33" s="1263"/>
      <c r="Y33" s="3386"/>
      <c r="Z33" s="1262"/>
      <c r="AA33" s="1262">
        <v>1</v>
      </c>
      <c r="AB33" s="1262">
        <v>1</v>
      </c>
      <c r="AC33" s="1262">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9"/>
      <c r="M34" s="2484"/>
      <c r="N34" s="2484"/>
      <c r="O34" s="2539"/>
      <c r="P34" s="3386"/>
      <c r="Q34" s="1261" t="str">
        <f t="shared" si="8"/>
        <v>土地级别</v>
      </c>
      <c r="R34" s="665" t="s">
        <v>14</v>
      </c>
      <c r="S34" s="666">
        <f t="shared" si="10"/>
        <v>100</v>
      </c>
      <c r="T34" s="665" t="s">
        <v>14</v>
      </c>
      <c r="U34" s="666">
        <f t="shared" si="11"/>
        <v>100</v>
      </c>
      <c r="V34" s="665" t="s">
        <v>14</v>
      </c>
      <c r="W34" s="666">
        <f t="shared" si="12"/>
        <v>100</v>
      </c>
      <c r="X34" s="1263"/>
      <c r="Y34" s="3386"/>
      <c r="Z34" s="1262" t="str">
        <f t="shared" si="13"/>
        <v>土地级别</v>
      </c>
      <c r="AA34" s="1262">
        <f t="shared" si="3"/>
        <v>1</v>
      </c>
      <c r="AB34" s="1262">
        <f t="shared" si="4"/>
        <v>1</v>
      </c>
      <c r="AC34" s="1262">
        <f t="shared" si="5"/>
        <v>1</v>
      </c>
    </row>
    <row r="35" spans="1:29" ht="15" hidden="1">
      <c r="A35" s="348"/>
      <c r="B35" s="1064">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9"/>
      <c r="M35" s="2484"/>
      <c r="N35" s="2484"/>
      <c r="O35" s="2539"/>
      <c r="P35" s="3386"/>
      <c r="Q35" s="1261">
        <f t="shared" si="8"/>
        <v>111</v>
      </c>
      <c r="R35" s="665" t="s">
        <v>14</v>
      </c>
      <c r="S35" s="666">
        <f t="shared" si="10"/>
        <v>100</v>
      </c>
      <c r="T35" s="665" t="s">
        <v>14</v>
      </c>
      <c r="U35" s="666">
        <f t="shared" si="11"/>
        <v>100</v>
      </c>
      <c r="V35" s="665" t="s">
        <v>14</v>
      </c>
      <c r="W35" s="666">
        <f t="shared" si="12"/>
        <v>100</v>
      </c>
      <c r="X35" s="1263"/>
      <c r="Y35" s="3386"/>
      <c r="Z35" s="1262">
        <f t="shared" si="13"/>
        <v>111</v>
      </c>
      <c r="AA35" s="1262">
        <f t="shared" si="3"/>
        <v>1</v>
      </c>
      <c r="AB35" s="1262">
        <f t="shared" si="4"/>
        <v>1</v>
      </c>
      <c r="AC35" s="1262">
        <f t="shared" si="5"/>
        <v>1</v>
      </c>
    </row>
    <row r="36" spans="1:29" ht="15" hidden="1">
      <c r="A36" s="593"/>
      <c r="B36" s="1065">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9"/>
      <c r="M36" s="2484"/>
      <c r="N36" s="2484"/>
      <c r="O36" s="2539"/>
      <c r="P36" s="3387" t="s">
        <v>1696</v>
      </c>
      <c r="Q36" s="1261">
        <f t="shared" si="8"/>
        <v>111</v>
      </c>
      <c r="R36" s="665" t="s">
        <v>14</v>
      </c>
      <c r="S36" s="666">
        <f t="shared" si="10"/>
        <v>100</v>
      </c>
      <c r="T36" s="665" t="s">
        <v>14</v>
      </c>
      <c r="U36" s="666">
        <f t="shared" si="11"/>
        <v>100</v>
      </c>
      <c r="V36" s="665" t="s">
        <v>14</v>
      </c>
      <c r="W36" s="666">
        <f t="shared" si="12"/>
        <v>100</v>
      </c>
      <c r="X36" s="1263"/>
      <c r="Y36" s="3388" t="s">
        <v>1696</v>
      </c>
      <c r="Z36" s="1262">
        <f t="shared" si="13"/>
        <v>111</v>
      </c>
      <c r="AA36" s="1262">
        <f t="shared" si="3"/>
        <v>1</v>
      </c>
      <c r="AB36" s="1262">
        <f t="shared" si="4"/>
        <v>1</v>
      </c>
      <c r="AC36" s="1262">
        <f t="shared" si="5"/>
        <v>1</v>
      </c>
    </row>
    <row r="37" spans="1:29" s="408" customFormat="1" ht="15.75" hidden="1" thickBot="1">
      <c r="A37" s="594"/>
      <c r="B37" s="1066">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8"/>
      <c r="M37" s="2490"/>
      <c r="N37" s="2490"/>
      <c r="O37" s="2540"/>
      <c r="P37" s="3388"/>
      <c r="Q37" s="1261">
        <f t="shared" si="8"/>
        <v>111</v>
      </c>
      <c r="R37" s="667" t="s">
        <v>14</v>
      </c>
      <c r="S37" s="668">
        <f t="shared" si="10"/>
        <v>100</v>
      </c>
      <c r="T37" s="667" t="s">
        <v>14</v>
      </c>
      <c r="U37" s="668">
        <f t="shared" si="11"/>
        <v>100</v>
      </c>
      <c r="V37" s="667" t="s">
        <v>14</v>
      </c>
      <c r="W37" s="668">
        <f t="shared" si="12"/>
        <v>100</v>
      </c>
      <c r="X37" s="669"/>
      <c r="Y37" s="3388"/>
      <c r="Z37" s="670">
        <f t="shared" si="13"/>
        <v>111</v>
      </c>
      <c r="AA37" s="1262">
        <f t="shared" si="3"/>
        <v>1</v>
      </c>
      <c r="AB37" s="1262">
        <f t="shared" si="4"/>
        <v>1</v>
      </c>
      <c r="AC37" s="1262">
        <f t="shared" si="5"/>
        <v>1</v>
      </c>
    </row>
    <row r="38" spans="1:29" ht="15">
      <c r="A38" s="409" t="s">
        <v>1694</v>
      </c>
      <c r="B38" s="395" t="s">
        <v>1873</v>
      </c>
      <c r="C38" s="597">
        <f>'数据-基础表'!A3</f>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9"/>
      <c r="M38" s="2484"/>
      <c r="N38" s="2484"/>
      <c r="O38" s="2539"/>
      <c r="P38" s="3388"/>
      <c r="Q38" s="1261" t="str">
        <f>B38</f>
        <v>宗地面积</v>
      </c>
      <c r="R38" s="665" t="s">
        <v>14</v>
      </c>
      <c r="S38" s="666">
        <f t="shared" si="10"/>
        <v>98</v>
      </c>
      <c r="T38" s="665" t="s">
        <v>14</v>
      </c>
      <c r="U38" s="666">
        <f t="shared" si="11"/>
        <v>98</v>
      </c>
      <c r="V38" s="665" t="s">
        <v>14</v>
      </c>
      <c r="W38" s="666">
        <f t="shared" si="12"/>
        <v>98</v>
      </c>
      <c r="X38" s="1263"/>
      <c r="Y38" s="3388"/>
      <c r="Z38" s="1262" t="str">
        <f t="shared" si="13"/>
        <v>宗地面积</v>
      </c>
      <c r="AA38" s="1262">
        <f t="shared" si="3"/>
        <v>1.0204081632653061</v>
      </c>
      <c r="AB38" s="1262">
        <f t="shared" si="4"/>
        <v>1.0204081632653061</v>
      </c>
      <c r="AC38" s="1262">
        <f t="shared" si="5"/>
        <v>1.0204081632653061</v>
      </c>
    </row>
    <row r="39" spans="1:29" ht="15">
      <c r="A39" s="409"/>
      <c r="B39" s="364" t="s">
        <v>1874</v>
      </c>
      <c r="C39" s="1758" t="s">
        <v>5805</v>
      </c>
      <c r="D39" s="374">
        <v>100</v>
      </c>
      <c r="E39" s="1758" t="s">
        <v>5800</v>
      </c>
      <c r="F39" s="374">
        <f>SUMIF(118:118,E39,119:119)-SUMIF(118:118,C39,119:119)+100</f>
        <v>104</v>
      </c>
      <c r="G39" s="1758" t="s">
        <v>5800</v>
      </c>
      <c r="H39" s="374">
        <f>SUMIF(118:118,G39,119:119)-SUMIF(118:118,C39,119:119)+100</f>
        <v>104</v>
      </c>
      <c r="I39" s="1758" t="s">
        <v>5800</v>
      </c>
      <c r="J39" s="374">
        <f>SUMIF(118:118,I39,119:119)-SUMIF(118:118,C39,119:119)+100</f>
        <v>104</v>
      </c>
      <c r="K39" s="536">
        <v>2</v>
      </c>
      <c r="L39" s="2489"/>
      <c r="M39" s="2484"/>
      <c r="N39" s="2484"/>
      <c r="O39" s="2539"/>
      <c r="P39" s="3388"/>
      <c r="Q39" s="1261" t="str">
        <f t="shared" ref="Q39:Q45" si="14">B39</f>
        <v>宗地形状</v>
      </c>
      <c r="R39" s="665" t="s">
        <v>14</v>
      </c>
      <c r="S39" s="666">
        <f t="shared" si="10"/>
        <v>104</v>
      </c>
      <c r="T39" s="665" t="s">
        <v>14</v>
      </c>
      <c r="U39" s="666">
        <f t="shared" si="11"/>
        <v>104</v>
      </c>
      <c r="V39" s="665" t="s">
        <v>14</v>
      </c>
      <c r="W39" s="666">
        <f t="shared" si="12"/>
        <v>104</v>
      </c>
      <c r="X39" s="1263"/>
      <c r="Y39" s="3388"/>
      <c r="Z39" s="1262" t="str">
        <f t="shared" si="13"/>
        <v>宗地形状</v>
      </c>
      <c r="AA39" s="1262">
        <f t="shared" si="3"/>
        <v>0.96153846153846156</v>
      </c>
      <c r="AB39" s="1262">
        <f t="shared" si="4"/>
        <v>0.96153846153846156</v>
      </c>
      <c r="AC39" s="1262">
        <f t="shared" si="5"/>
        <v>0.96153846153846156</v>
      </c>
    </row>
    <row r="40" spans="1:29" ht="15">
      <c r="A40" s="409"/>
      <c r="B40" s="364" t="s">
        <v>1875</v>
      </c>
      <c r="C40" s="1758" t="s">
        <v>5798</v>
      </c>
      <c r="D40" s="374">
        <v>100</v>
      </c>
      <c r="E40" s="1758" t="s">
        <v>5798</v>
      </c>
      <c r="F40" s="374">
        <f>SUMIF(120:120,E40,121:121)-SUMIF(120:120,C40,121:121)+100</f>
        <v>100</v>
      </c>
      <c r="G40" s="1758" t="s">
        <v>5798</v>
      </c>
      <c r="H40" s="374">
        <f>SUMIF(120:120,G40,121:121)-SUMIF(120:120,C40,121:121)+100</f>
        <v>100</v>
      </c>
      <c r="I40" s="1758" t="s">
        <v>5798</v>
      </c>
      <c r="J40" s="374">
        <f>SUMIF(120:120,I40,121:121)-SUMIF(120:120,C40,121:121)+100</f>
        <v>100</v>
      </c>
      <c r="K40" s="536">
        <v>2</v>
      </c>
      <c r="L40" s="2489"/>
      <c r="M40" s="2484"/>
      <c r="N40" s="2484"/>
      <c r="O40" s="2539"/>
      <c r="P40" s="3388"/>
      <c r="Q40" s="1261" t="str">
        <f t="shared" si="14"/>
        <v>临街宽度及深度</v>
      </c>
      <c r="R40" s="665" t="s">
        <v>14</v>
      </c>
      <c r="S40" s="666">
        <f t="shared" si="10"/>
        <v>100</v>
      </c>
      <c r="T40" s="665" t="s">
        <v>14</v>
      </c>
      <c r="U40" s="666">
        <f t="shared" si="11"/>
        <v>100</v>
      </c>
      <c r="V40" s="665" t="s">
        <v>14</v>
      </c>
      <c r="W40" s="666">
        <f t="shared" si="12"/>
        <v>100</v>
      </c>
      <c r="X40" s="1263"/>
      <c r="Y40" s="3388"/>
      <c r="Z40" s="1262" t="str">
        <f t="shared" si="13"/>
        <v>临街宽度及深度</v>
      </c>
      <c r="AA40" s="1262">
        <f t="shared" si="3"/>
        <v>1</v>
      </c>
      <c r="AB40" s="1262">
        <f t="shared" si="4"/>
        <v>1</v>
      </c>
      <c r="AC40" s="1262">
        <f t="shared" si="5"/>
        <v>1</v>
      </c>
    </row>
    <row r="41" spans="1:29" s="102" customFormat="1" ht="15">
      <c r="A41" s="410"/>
      <c r="B41" s="364" t="s">
        <v>1876</v>
      </c>
      <c r="C41" s="3529" t="s">
        <v>5801</v>
      </c>
      <c r="D41" s="119">
        <v>100</v>
      </c>
      <c r="E41" s="1824" t="s">
        <v>5801</v>
      </c>
      <c r="F41" s="374">
        <f>SUMIF(122:122,E41,123:123)-SUMIF(122:122,C41,123:123)+100</f>
        <v>100</v>
      </c>
      <c r="G41" s="1824" t="s">
        <v>5799</v>
      </c>
      <c r="H41" s="374">
        <f>SUMIF(122:122,G41,123:123)-SUMIF(122:122,C41,123:123)+100</f>
        <v>102</v>
      </c>
      <c r="I41" s="1824" t="s">
        <v>5799</v>
      </c>
      <c r="J41" s="374">
        <f>SUMIF(122:122,I41,123:123)-SUMIF(122:122,C41,123:123)+100</f>
        <v>102</v>
      </c>
      <c r="K41" s="536">
        <v>2</v>
      </c>
      <c r="L41" s="2485"/>
      <c r="M41" s="2436"/>
      <c r="N41" s="2436"/>
      <c r="O41" s="2537"/>
      <c r="P41" s="3388"/>
      <c r="Q41" s="1261" t="str">
        <f t="shared" si="14"/>
        <v>宗地开发程度</v>
      </c>
      <c r="R41" s="662" t="s">
        <v>14</v>
      </c>
      <c r="S41" s="663">
        <f t="shared" si="10"/>
        <v>100</v>
      </c>
      <c r="T41" s="662" t="s">
        <v>14</v>
      </c>
      <c r="U41" s="663">
        <f t="shared" si="11"/>
        <v>102</v>
      </c>
      <c r="V41" s="662" t="s">
        <v>14</v>
      </c>
      <c r="W41" s="663">
        <f t="shared" si="12"/>
        <v>102</v>
      </c>
      <c r="X41" s="664"/>
      <c r="Y41" s="3388"/>
      <c r="Z41" s="50" t="str">
        <f t="shared" si="13"/>
        <v>宗地开发程度</v>
      </c>
      <c r="AA41" s="50">
        <f t="shared" si="3"/>
        <v>1</v>
      </c>
      <c r="AB41" s="50">
        <f t="shared" si="4"/>
        <v>0.98039215686274506</v>
      </c>
      <c r="AC41" s="50">
        <f t="shared" si="5"/>
        <v>0.98039215686274506</v>
      </c>
    </row>
    <row r="42" spans="1:29" ht="15.75" thickBot="1">
      <c r="A42" s="409"/>
      <c r="B42" s="364" t="s">
        <v>1877</v>
      </c>
      <c r="C42" s="1758" t="s">
        <v>5798</v>
      </c>
      <c r="D42" s="374">
        <v>100</v>
      </c>
      <c r="E42" s="1758" t="s">
        <v>5798</v>
      </c>
      <c r="F42" s="374">
        <f>SUMIF(124:124,E42,125:125)-SUMIF(124:124,C42,125:125)+100</f>
        <v>100</v>
      </c>
      <c r="G42" s="1758" t="s">
        <v>5798</v>
      </c>
      <c r="H42" s="374">
        <f>SUMIF(124:124,G42,125:125)-SUMIF(124:124,C42,125:125)+100</f>
        <v>100</v>
      </c>
      <c r="I42" s="1758" t="s">
        <v>5798</v>
      </c>
      <c r="J42" s="374">
        <f>SUMIF(124:124,I42,125:125)-SUMIF(124:124,C42,125:125)+100</f>
        <v>100</v>
      </c>
      <c r="K42" s="536">
        <v>2</v>
      </c>
      <c r="L42" s="2489"/>
      <c r="M42" s="2484"/>
      <c r="N42" s="2484"/>
      <c r="O42" s="2539"/>
      <c r="P42" s="3388" t="s">
        <v>1696</v>
      </c>
      <c r="Q42" s="1261" t="str">
        <f t="shared" si="14"/>
        <v>工程地质条件</v>
      </c>
      <c r="R42" s="665" t="s">
        <v>14</v>
      </c>
      <c r="S42" s="666">
        <f t="shared" si="10"/>
        <v>100</v>
      </c>
      <c r="T42" s="665" t="s">
        <v>14</v>
      </c>
      <c r="U42" s="666">
        <f t="shared" si="11"/>
        <v>100</v>
      </c>
      <c r="V42" s="665" t="s">
        <v>14</v>
      </c>
      <c r="W42" s="666">
        <f t="shared" si="12"/>
        <v>100</v>
      </c>
      <c r="X42" s="1263"/>
      <c r="Y42" s="3388" t="s">
        <v>1696</v>
      </c>
      <c r="Z42" s="1262" t="str">
        <f t="shared" si="13"/>
        <v>工程地质条件</v>
      </c>
      <c r="AA42" s="1262">
        <f t="shared" si="3"/>
        <v>1</v>
      </c>
      <c r="AB42" s="1262">
        <f t="shared" si="4"/>
        <v>1</v>
      </c>
      <c r="AC42" s="1262">
        <f t="shared" si="5"/>
        <v>1</v>
      </c>
    </row>
    <row r="43" spans="1:29" ht="15" hidden="1">
      <c r="A43" s="409"/>
      <c r="B43" s="1065">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9"/>
      <c r="M43" s="2484"/>
      <c r="N43" s="2484"/>
      <c r="O43" s="2539"/>
      <c r="P43" s="3388"/>
      <c r="Q43" s="1261">
        <f t="shared" si="14"/>
        <v>111</v>
      </c>
      <c r="R43" s="665" t="s">
        <v>14</v>
      </c>
      <c r="S43" s="666">
        <f t="shared" si="10"/>
        <v>100</v>
      </c>
      <c r="T43" s="665" t="s">
        <v>14</v>
      </c>
      <c r="U43" s="666">
        <f t="shared" si="11"/>
        <v>100</v>
      </c>
      <c r="V43" s="665" t="s">
        <v>14</v>
      </c>
      <c r="W43" s="666">
        <f t="shared" si="12"/>
        <v>100</v>
      </c>
      <c r="X43" s="1263"/>
      <c r="Y43" s="3388"/>
      <c r="Z43" s="1262">
        <f t="shared" si="13"/>
        <v>111</v>
      </c>
      <c r="AA43" s="1262">
        <f t="shared" si="3"/>
        <v>1</v>
      </c>
      <c r="AB43" s="1262">
        <f t="shared" si="4"/>
        <v>1</v>
      </c>
      <c r="AC43" s="1262">
        <f t="shared" si="5"/>
        <v>1</v>
      </c>
    </row>
    <row r="44" spans="1:29" ht="15" hidden="1">
      <c r="A44" s="409"/>
      <c r="B44" s="1065">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9"/>
      <c r="M44" s="2484"/>
      <c r="N44" s="2484"/>
      <c r="O44" s="2539"/>
      <c r="P44" s="3388"/>
      <c r="Q44" s="1261">
        <f t="shared" si="14"/>
        <v>111</v>
      </c>
      <c r="R44" s="665" t="s">
        <v>14</v>
      </c>
      <c r="S44" s="666">
        <f t="shared" si="10"/>
        <v>100</v>
      </c>
      <c r="T44" s="665" t="s">
        <v>14</v>
      </c>
      <c r="U44" s="666">
        <f t="shared" si="11"/>
        <v>100</v>
      </c>
      <c r="V44" s="665" t="s">
        <v>14</v>
      </c>
      <c r="W44" s="666">
        <f t="shared" si="12"/>
        <v>100</v>
      </c>
      <c r="X44" s="1263"/>
      <c r="Y44" s="3388"/>
      <c r="Z44" s="1262">
        <f t="shared" si="13"/>
        <v>111</v>
      </c>
      <c r="AA44" s="1262">
        <f t="shared" si="3"/>
        <v>1</v>
      </c>
      <c r="AB44" s="1262">
        <f t="shared" si="4"/>
        <v>1</v>
      </c>
      <c r="AC44" s="1262">
        <f t="shared" si="5"/>
        <v>1</v>
      </c>
    </row>
    <row r="45" spans="1:29" s="408" customFormat="1" ht="15.75" hidden="1" thickBot="1">
      <c r="A45" s="406"/>
      <c r="B45" s="1065">
        <v>111</v>
      </c>
      <c r="C45" s="1825"/>
      <c r="D45" s="598">
        <v>100</v>
      </c>
      <c r="E45" s="592"/>
      <c r="F45" s="377">
        <f>SUMIF(130:130,E45,131:131)-SUMIF(130:130,C45,131:131)+100</f>
        <v>100</v>
      </c>
      <c r="G45" s="592"/>
      <c r="H45" s="377">
        <f>SUMIF(130:130,G45,131:131)-SUMIF(130:130,C45,131:131)+100</f>
        <v>100</v>
      </c>
      <c r="I45" s="592"/>
      <c r="J45" s="377">
        <f>SUMIF(130:130,I45,131:131)-SUMIF(130:130,C45,131:131)+100</f>
        <v>100</v>
      </c>
      <c r="K45" s="599"/>
      <c r="L45" s="2488"/>
      <c r="M45" s="2490"/>
      <c r="N45" s="2490"/>
      <c r="O45" s="2540"/>
      <c r="P45" s="3388"/>
      <c r="Q45" s="1261">
        <f t="shared" si="14"/>
        <v>111</v>
      </c>
      <c r="R45" s="667" t="s">
        <v>14</v>
      </c>
      <c r="S45" s="668">
        <f t="shared" si="10"/>
        <v>100</v>
      </c>
      <c r="T45" s="667" t="s">
        <v>14</v>
      </c>
      <c r="U45" s="668">
        <f t="shared" si="11"/>
        <v>100</v>
      </c>
      <c r="V45" s="667" t="s">
        <v>14</v>
      </c>
      <c r="W45" s="668">
        <f t="shared" si="12"/>
        <v>100</v>
      </c>
      <c r="X45" s="669"/>
      <c r="Y45" s="3388"/>
      <c r="Z45" s="670">
        <f t="shared" si="13"/>
        <v>111</v>
      </c>
      <c r="AA45" s="1262">
        <f t="shared" si="3"/>
        <v>1</v>
      </c>
      <c r="AB45" s="1262">
        <f t="shared" si="4"/>
        <v>1</v>
      </c>
      <c r="AC45" s="1262">
        <f t="shared" si="5"/>
        <v>1</v>
      </c>
    </row>
    <row r="46" spans="1:29" ht="15">
      <c r="A46" s="414" t="s">
        <v>1844</v>
      </c>
      <c r="B46" s="1826" t="s">
        <v>1878</v>
      </c>
      <c r="C46" s="600" t="s">
        <v>0</v>
      </c>
      <c r="D46" s="416"/>
      <c r="E46" s="417">
        <v>102347</v>
      </c>
      <c r="F46" s="418"/>
      <c r="G46" s="419">
        <v>89234</v>
      </c>
      <c r="H46" s="420"/>
      <c r="I46" s="417">
        <v>95047</v>
      </c>
      <c r="J46" s="420"/>
      <c r="K46" s="672"/>
      <c r="L46" s="2491"/>
      <c r="M46" s="2484"/>
      <c r="N46" s="2484"/>
      <c r="O46" s="2484"/>
      <c r="P46" s="3384" t="str">
        <f>A46</f>
        <v>成交单价</v>
      </c>
      <c r="Q46" s="3384"/>
      <c r="R46" s="3389">
        <f>E46</f>
        <v>102347</v>
      </c>
      <c r="S46" s="3389"/>
      <c r="T46" s="3389">
        <f>G46</f>
        <v>89234</v>
      </c>
      <c r="U46" s="3389"/>
      <c r="V46" s="3389">
        <f>I46</f>
        <v>95047</v>
      </c>
      <c r="W46" s="3389"/>
      <c r="X46" s="385"/>
      <c r="Y46" s="671"/>
      <c r="Z46" s="385"/>
      <c r="AA46" s="385"/>
      <c r="AB46" s="385"/>
      <c r="AC46" s="385"/>
    </row>
    <row r="47" spans="1:29" ht="15.75" thickBot="1">
      <c r="A47" s="421" t="s">
        <v>1793</v>
      </c>
      <c r="B47" s="601"/>
      <c r="C47" s="424">
        <f>R48</f>
        <v>85060</v>
      </c>
      <c r="D47" s="2137" t="s">
        <v>2137</v>
      </c>
      <c r="E47" s="424">
        <f>R47</f>
        <v>88720</v>
      </c>
      <c r="F47" s="2138"/>
      <c r="G47" s="423">
        <f>T47</f>
        <v>80604</v>
      </c>
      <c r="H47" s="2138"/>
      <c r="I47" s="424">
        <f>V47</f>
        <v>85855</v>
      </c>
      <c r="J47" s="2138"/>
      <c r="K47" s="2140">
        <f>F47+H47+J47</f>
        <v>0</v>
      </c>
      <c r="L47" s="2491"/>
      <c r="M47" s="2484"/>
      <c r="N47" s="2484"/>
      <c r="O47" s="2484"/>
      <c r="P47" s="3384" t="str">
        <f>A47</f>
        <v>比较价值（元/平方米）</v>
      </c>
      <c r="Q47" s="3384"/>
      <c r="R47" s="3377">
        <f>ROUND(PRODUCT(R46,AA7:AA45),0)</f>
        <v>88720</v>
      </c>
      <c r="S47" s="3377"/>
      <c r="T47" s="3377">
        <f>ROUND(PRODUCT(T46,AB7:AB45),0)</f>
        <v>80604</v>
      </c>
      <c r="U47" s="3377"/>
      <c r="V47" s="3377">
        <f>ROUND(PRODUCT(V46,AC7:AC45),0)</f>
        <v>85855</v>
      </c>
      <c r="W47" s="3377"/>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1"/>
      <c r="M48" s="2484"/>
      <c r="N48" s="2484"/>
      <c r="O48" s="2484"/>
      <c r="P48" s="3378" t="str">
        <f>A48</f>
        <v>估价对象XX用房的比较价值（楼面单价，元/平方米）</v>
      </c>
      <c r="Q48" s="3379"/>
      <c r="R48" s="3380">
        <f>ROUND(IF(D47="简单平均",AVERAGE(R47:W47),R47*F47+T47*H47+V47*J47),0)</f>
        <v>85060</v>
      </c>
      <c r="S48" s="3380"/>
      <c r="T48" s="3380"/>
      <c r="U48" s="3380"/>
      <c r="V48" s="3380"/>
      <c r="W48" s="3380"/>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5">
      <c r="A51" s="2484"/>
      <c r="B51" s="2484"/>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5">
      <c r="A52" s="2484"/>
      <c r="B52" s="2484"/>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5" customFormat="1" ht="15">
      <c r="A53" s="2494"/>
      <c r="B53" s="2494"/>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5"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 r="A55" s="602" t="s">
        <v>1880</v>
      </c>
      <c r="B55" s="603" t="s">
        <v>1881</v>
      </c>
      <c r="C55" s="1827" t="s">
        <v>1882</v>
      </c>
      <c r="D55" s="1828" t="s">
        <v>1883</v>
      </c>
      <c r="E55" s="604" t="s">
        <v>1884</v>
      </c>
      <c r="F55" s="835" t="s">
        <v>1885</v>
      </c>
      <c r="G55" s="3381" t="s">
        <v>1886</v>
      </c>
      <c r="H55" s="3382"/>
      <c r="I55" s="127" t="s">
        <v>1887</v>
      </c>
      <c r="J55" s="1829">
        <f>项目基本情况!F35</f>
        <v>0</v>
      </c>
      <c r="K55" s="1830" t="s">
        <v>1888</v>
      </c>
      <c r="L55" s="2492"/>
      <c r="M55" s="2484"/>
      <c r="N55" s="2484"/>
      <c r="O55" s="2484"/>
      <c r="P55" s="2484"/>
      <c r="Q55" s="2484"/>
      <c r="R55" s="2484"/>
      <c r="S55" s="2484"/>
      <c r="T55" s="2484"/>
      <c r="U55" s="2484"/>
      <c r="V55" s="2484"/>
      <c r="W55" s="2484"/>
      <c r="X55" s="2484"/>
      <c r="Y55" s="2484"/>
      <c r="Z55" s="2484"/>
      <c r="AA55" s="2484"/>
      <c r="AB55" s="2484"/>
      <c r="AC55" s="2484"/>
    </row>
    <row r="56" spans="1:29" s="610" customFormat="1">
      <c r="A56" s="606" t="s">
        <v>1889</v>
      </c>
      <c r="B56" s="607">
        <f>C48</f>
        <v>85060</v>
      </c>
      <c r="C56" s="608">
        <v>1</v>
      </c>
      <c r="D56" s="888">
        <v>1</v>
      </c>
      <c r="E56" s="608">
        <f>'数据-汇总表'!E8+'数据-汇总表'!E9</f>
        <v>40881.349999999984</v>
      </c>
      <c r="F56" s="831">
        <f t="shared" ref="F56:F64" si="15">ROUND(B56*E56/10000,0)</f>
        <v>347737</v>
      </c>
      <c r="G56" s="3383"/>
      <c r="H56" s="3384"/>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0" customFormat="1">
      <c r="A57" s="611" t="s">
        <v>1890</v>
      </c>
      <c r="B57" s="210">
        <f>ROUND($C$48*C57*D57,0)</f>
        <v>12759</v>
      </c>
      <c r="C57" s="163">
        <f t="shared" ref="C57:C64" si="16">IF($C$55="北京市系数",I57,J57)</f>
        <v>0.6</v>
      </c>
      <c r="D57" s="889">
        <v>0.25</v>
      </c>
      <c r="E57" s="612"/>
      <c r="F57" s="831">
        <f t="shared" si="15"/>
        <v>0</v>
      </c>
      <c r="G57" s="2747" t="s">
        <v>1891</v>
      </c>
      <c r="H57" s="832" t="str">
        <f>项目基本情况!B37</f>
        <v>六级</v>
      </c>
      <c r="I57" s="836">
        <f>SUMIF(修正!A57:A68,H57,修正!B57:B68)</f>
        <v>0.6</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0" customFormat="1">
      <c r="A58" s="611" t="s">
        <v>1892</v>
      </c>
      <c r="B58" s="210">
        <f t="shared" ref="B58:B64" si="17">ROUND($C$48*C58*D58,0)</f>
        <v>6380</v>
      </c>
      <c r="C58" s="163">
        <f t="shared" si="16"/>
        <v>0.3</v>
      </c>
      <c r="D58" s="889">
        <v>0.25</v>
      </c>
      <c r="E58" s="612"/>
      <c r="F58" s="831">
        <f t="shared" si="15"/>
        <v>0</v>
      </c>
      <c r="G58" s="2748"/>
      <c r="H58" s="832" t="str">
        <f>项目基本情况!B37</f>
        <v>六级</v>
      </c>
      <c r="I58" s="836">
        <f>SUMIF(修正!A57:A68,H58,修正!C57:C68)</f>
        <v>0.3</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0" customFormat="1">
      <c r="A59" s="611" t="s">
        <v>1893</v>
      </c>
      <c r="B59" s="210">
        <f t="shared" si="17"/>
        <v>5316</v>
      </c>
      <c r="C59" s="163">
        <f t="shared" si="16"/>
        <v>0.25</v>
      </c>
      <c r="D59" s="889">
        <v>0.25</v>
      </c>
      <c r="E59" s="612"/>
      <c r="F59" s="831">
        <f t="shared" si="15"/>
        <v>0</v>
      </c>
      <c r="G59" s="2748"/>
      <c r="H59" s="832" t="str">
        <f>项目基本情况!B37</f>
        <v>六级</v>
      </c>
      <c r="I59" s="836">
        <f>SUMIF(修正!A57:A68,H59,修正!D57:D68)</f>
        <v>0.25</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0" customFormat="1">
      <c r="A60" s="611" t="s">
        <v>1894</v>
      </c>
      <c r="B60" s="210">
        <f t="shared" si="17"/>
        <v>5316</v>
      </c>
      <c r="C60" s="163">
        <f t="shared" si="16"/>
        <v>0.25</v>
      </c>
      <c r="D60" s="889">
        <v>0.25</v>
      </c>
      <c r="E60" s="209">
        <f>'数据-汇总表'!E11</f>
        <v>0</v>
      </c>
      <c r="F60" s="831">
        <f t="shared" si="15"/>
        <v>0</v>
      </c>
      <c r="G60" s="1831" t="s">
        <v>1895</v>
      </c>
      <c r="H60" s="832" t="str">
        <f>项目基本情况!C37</f>
        <v>六级</v>
      </c>
      <c r="I60" s="836">
        <f>SUMIF(修正!A57:A68,H60,修正!E57:E68)</f>
        <v>0.25</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0" customFormat="1">
      <c r="A61" s="611" t="s">
        <v>1896</v>
      </c>
      <c r="B61" s="210">
        <f t="shared" si="17"/>
        <v>5316</v>
      </c>
      <c r="C61" s="163">
        <f t="shared" si="16"/>
        <v>0.25</v>
      </c>
      <c r="D61" s="889">
        <v>0.25</v>
      </c>
      <c r="E61" s="209">
        <f>'数据-汇总表'!E12</f>
        <v>16546.309999999998</v>
      </c>
      <c r="F61" s="831">
        <f t="shared" si="15"/>
        <v>8796</v>
      </c>
      <c r="G61" s="837" t="s">
        <v>1897</v>
      </c>
      <c r="H61" s="832" t="str">
        <f>IF(G61="商业",项目基本情况!B37,IF(G61="办公",项目基本情况!C37,IF(G61="住宅",项目基本情况!D37,项目基本情况!E37)))</f>
        <v>六级</v>
      </c>
      <c r="I61" s="836">
        <f>SUMIF(修正!A57:A68,H61,修正!F57:F68)</f>
        <v>0.25</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0" customFormat="1">
      <c r="A62" s="611" t="s">
        <v>1898</v>
      </c>
      <c r="B62" s="210">
        <f t="shared" si="17"/>
        <v>3190</v>
      </c>
      <c r="C62" s="163">
        <f t="shared" si="16"/>
        <v>0.15</v>
      </c>
      <c r="D62" s="889">
        <v>0.25</v>
      </c>
      <c r="E62" s="209">
        <f>'数据-汇总表'!E13</f>
        <v>16849.759999999893</v>
      </c>
      <c r="F62" s="831">
        <f t="shared" si="15"/>
        <v>5375</v>
      </c>
      <c r="G62" s="837" t="s">
        <v>1899</v>
      </c>
      <c r="H62" s="832" t="str">
        <f>IF(G62="商业",项目基本情况!B37,IF(G62="办公",项目基本情况!C37,IF(G62="住宅",项目基本情况!D37,项目基本情况!E37)))</f>
        <v>六级</v>
      </c>
      <c r="I62" s="836">
        <f>SUMIF(修正!A57:A68,H62,修正!G57:G68)</f>
        <v>0.15</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0" customFormat="1">
      <c r="A63" s="611" t="s">
        <v>1900</v>
      </c>
      <c r="B63" s="210">
        <f t="shared" si="17"/>
        <v>3190</v>
      </c>
      <c r="C63" s="163">
        <f t="shared" si="16"/>
        <v>0.15</v>
      </c>
      <c r="D63" s="889">
        <v>0.25</v>
      </c>
      <c r="E63" s="209">
        <f>'数据-汇总表'!E14</f>
        <v>0</v>
      </c>
      <c r="F63" s="831">
        <f t="shared" si="15"/>
        <v>0</v>
      </c>
      <c r="G63" s="1831" t="s">
        <v>1891</v>
      </c>
      <c r="H63" s="832" t="str">
        <f>项目基本情况!B37</f>
        <v>六级</v>
      </c>
      <c r="I63" s="836">
        <f>SUMIF(修正!A57:A68,H63,修正!G57:G68)</f>
        <v>0.15</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0" customFormat="1" ht="15" thickBot="1">
      <c r="A64" s="611" t="s">
        <v>1901</v>
      </c>
      <c r="B64" s="210">
        <f t="shared" si="17"/>
        <v>3190</v>
      </c>
      <c r="C64" s="163">
        <f t="shared" si="16"/>
        <v>0.15</v>
      </c>
      <c r="D64" s="889">
        <v>0.25</v>
      </c>
      <c r="E64" s="209">
        <f>'数据-汇总表'!E15</f>
        <v>0</v>
      </c>
      <c r="F64" s="831">
        <f t="shared" si="15"/>
        <v>0</v>
      </c>
      <c r="G64" s="1832" t="s">
        <v>1895</v>
      </c>
      <c r="H64" s="842" t="str">
        <f>项目基本情况!C37</f>
        <v>六级</v>
      </c>
      <c r="I64" s="838">
        <f>SUMIF(修正!A57:A68,H64,修正!G57:G68)</f>
        <v>0.15</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0" customFormat="1" ht="13.5" thickBot="1">
      <c r="A65" s="613" t="s">
        <v>1902</v>
      </c>
      <c r="B65" s="614" t="s">
        <v>22</v>
      </c>
      <c r="C65" s="614" t="s">
        <v>23</v>
      </c>
      <c r="D65" s="614" t="s">
        <v>392</v>
      </c>
      <c r="E65" s="614">
        <f>IF(B46="楼面地价",SUM(E56:E64),'数据-汇总表'!D3)</f>
        <v>74277.419999999867</v>
      </c>
      <c r="F65" s="615">
        <f>IF(B46="楼面地价",SUM(F56:F64),ROUND(C48*E65/10000,0))</f>
        <v>361908</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4"/>
      <c r="C66" s="655"/>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4"/>
      <c r="Q67" s="2484"/>
      <c r="R67" s="2484"/>
      <c r="S67" s="2484"/>
      <c r="T67" s="2484"/>
      <c r="U67" s="2484"/>
      <c r="V67" s="2484"/>
      <c r="W67" s="2484"/>
      <c r="X67" s="2484"/>
      <c r="Y67" s="2484"/>
      <c r="Z67" s="2484"/>
      <c r="AA67" s="2484"/>
      <c r="AB67" s="2484"/>
      <c r="AC67" s="2484"/>
    </row>
    <row r="68" spans="1:29" ht="21.75" thickBot="1">
      <c r="A68" s="656" t="s">
        <v>1798</v>
      </c>
      <c r="B68" s="385"/>
      <c r="C68" s="657"/>
      <c r="D68" s="657"/>
      <c r="E68" s="657"/>
      <c r="F68" s="658"/>
      <c r="G68" s="658"/>
      <c r="H68" s="657"/>
      <c r="I68" s="657"/>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0" customFormat="1" ht="15">
      <c r="A69" s="1628" t="s">
        <v>1903</v>
      </c>
      <c r="B69" s="1044"/>
      <c r="C69" s="1099" t="str">
        <f>YEAR(C67)&amp;"-"&amp;ROUNDUP(MONTH(C67)/3,0)</f>
        <v>2025-2</v>
      </c>
      <c r="D69" s="1099" t="str">
        <f>YEAR(D67)&amp;"-"&amp;ROUNDUP(MONTH(D67)/3,0)</f>
        <v>2025-1</v>
      </c>
      <c r="E69" s="1099" t="str">
        <f t="shared" ref="E69:O69" si="19">YEAR(E67)&amp;"-"&amp;ROUNDUP(MONTH(E67)/3,0)</f>
        <v>2024-4</v>
      </c>
      <c r="F69" s="1099" t="str">
        <f t="shared" si="19"/>
        <v>2024-3</v>
      </c>
      <c r="G69" s="1099" t="str">
        <f t="shared" si="19"/>
        <v>2024-2</v>
      </c>
      <c r="H69" s="1099" t="str">
        <f t="shared" si="19"/>
        <v>2024-1</v>
      </c>
      <c r="I69" s="1099" t="str">
        <f t="shared" si="19"/>
        <v>2023-4</v>
      </c>
      <c r="J69" s="1099" t="str">
        <f t="shared" si="19"/>
        <v>2023-3</v>
      </c>
      <c r="K69" s="1099" t="str">
        <f t="shared" si="19"/>
        <v>2023-2</v>
      </c>
      <c r="L69" s="1099" t="str">
        <f t="shared" si="19"/>
        <v>2023-1</v>
      </c>
      <c r="M69" s="1099" t="str">
        <f t="shared" si="19"/>
        <v>2022-4</v>
      </c>
      <c r="N69" s="1099" t="str">
        <f t="shared" si="19"/>
        <v>2022-3</v>
      </c>
      <c r="O69" s="1099" t="str">
        <f t="shared" si="19"/>
        <v>2022-2</v>
      </c>
      <c r="P69" s="2507"/>
      <c r="Q69" s="2507"/>
      <c r="R69" s="2507"/>
      <c r="S69" s="2507"/>
      <c r="T69" s="2507"/>
      <c r="U69" s="2507"/>
      <c r="V69" s="2507"/>
      <c r="W69" s="2507"/>
      <c r="X69" s="2507"/>
      <c r="Y69" s="2507"/>
      <c r="Z69" s="2507"/>
      <c r="AA69" s="2507"/>
      <c r="AB69" s="2507"/>
      <c r="AC69" s="2507"/>
    </row>
    <row r="70" spans="1:29" s="102" customFormat="1" ht="30" customHeight="1">
      <c r="A70" s="1833"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4"/>
      <c r="N70" s="6"/>
      <c r="O70" s="1096"/>
      <c r="P70" s="2505"/>
      <c r="Q70" s="2436"/>
      <c r="R70" s="2436"/>
      <c r="S70" s="2436"/>
      <c r="T70" s="2436"/>
      <c r="U70" s="2436"/>
      <c r="V70" s="2436"/>
      <c r="W70" s="2436"/>
      <c r="X70" s="2436"/>
      <c r="Y70" s="2436"/>
      <c r="Z70" s="2436"/>
      <c r="AA70" s="2436"/>
      <c r="AB70" s="2436"/>
      <c r="AC70" s="2436"/>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7"/>
      <c r="P71" s="2505"/>
      <c r="Q71" s="2505"/>
      <c r="R71" s="2436"/>
      <c r="S71" s="2436"/>
      <c r="T71" s="2436"/>
      <c r="U71" s="2436"/>
      <c r="V71" s="2436"/>
      <c r="W71" s="2436"/>
      <c r="X71" s="2436"/>
      <c r="Y71" s="2436"/>
      <c r="Z71" s="2436"/>
      <c r="AA71" s="2436"/>
      <c r="AB71" s="2436"/>
      <c r="AC71" s="2436"/>
    </row>
    <row r="72" spans="1:29" s="102" customFormat="1" ht="15">
      <c r="A72" s="453" t="s">
        <v>1681</v>
      </c>
      <c r="B72" s="442"/>
      <c r="C72" s="454" t="s">
        <v>1776</v>
      </c>
      <c r="D72" s="31"/>
      <c r="E72" s="31"/>
      <c r="F72" s="31"/>
      <c r="G72" s="31"/>
      <c r="H72" s="31"/>
      <c r="I72" s="31"/>
      <c r="J72" s="31"/>
      <c r="K72" s="31"/>
      <c r="L72" s="455"/>
      <c r="M72" s="456"/>
      <c r="N72" s="2517"/>
      <c r="O72" s="2517"/>
      <c r="P72" s="2541"/>
      <c r="Q72" s="2505"/>
      <c r="R72" s="2436"/>
      <c r="S72" s="2436"/>
      <c r="T72" s="2436"/>
      <c r="U72" s="2436"/>
      <c r="V72" s="2436"/>
      <c r="W72" s="2436"/>
      <c r="X72" s="2436"/>
      <c r="Y72" s="2436"/>
      <c r="Z72" s="2436"/>
      <c r="AA72" s="2436"/>
      <c r="AB72" s="2436"/>
      <c r="AC72" s="2436"/>
    </row>
    <row r="73" spans="1:29" s="102" customFormat="1" ht="15.75" thickBot="1">
      <c r="A73" s="453"/>
      <c r="B73" s="442"/>
      <c r="C73" s="561">
        <v>100</v>
      </c>
      <c r="D73" s="444"/>
      <c r="E73" s="444"/>
      <c r="F73" s="444"/>
      <c r="G73" s="444"/>
      <c r="H73" s="444"/>
      <c r="I73" s="444"/>
      <c r="J73" s="444"/>
      <c r="K73" s="444"/>
      <c r="L73" s="444"/>
      <c r="M73" s="446"/>
      <c r="N73" s="2517"/>
      <c r="O73" s="2517"/>
      <c r="P73" s="2505"/>
      <c r="Q73" s="2505"/>
      <c r="R73" s="2436"/>
      <c r="S73" s="2436"/>
      <c r="T73" s="2436"/>
      <c r="U73" s="2436"/>
      <c r="V73" s="2436"/>
      <c r="W73" s="2436"/>
      <c r="X73" s="2436"/>
      <c r="Y73" s="2436"/>
      <c r="Z73" s="2436"/>
      <c r="AA73" s="2436"/>
      <c r="AB73" s="2436"/>
      <c r="AC73" s="2436"/>
    </row>
    <row r="74" spans="1:29">
      <c r="A74" s="379" t="s">
        <v>1719</v>
      </c>
      <c r="B74" s="458" t="s">
        <v>1685</v>
      </c>
      <c r="C74" s="3184" t="s">
        <v>5806</v>
      </c>
      <c r="D74" s="460"/>
      <c r="E74" s="460"/>
      <c r="F74" s="460"/>
      <c r="G74" s="460"/>
      <c r="H74" s="460"/>
      <c r="I74" s="460"/>
      <c r="J74" s="460"/>
      <c r="K74" s="461"/>
      <c r="L74" s="462"/>
      <c r="M74" s="463"/>
      <c r="N74" s="2518"/>
      <c r="O74" s="2518"/>
      <c r="P74" s="2517"/>
      <c r="Q74" s="2505"/>
      <c r="R74" s="2484"/>
      <c r="S74" s="2484"/>
      <c r="T74" s="2484"/>
      <c r="U74" s="2484"/>
      <c r="V74" s="2484"/>
      <c r="W74" s="2484"/>
      <c r="X74" s="2484"/>
      <c r="Y74" s="2484"/>
      <c r="Z74" s="2484"/>
      <c r="AA74" s="2484"/>
      <c r="AB74" s="2484"/>
      <c r="AC74" s="2484"/>
    </row>
    <row r="75" spans="1:29" ht="15.75" thickBot="1">
      <c r="A75" s="367"/>
      <c r="B75" s="464"/>
      <c r="C75" s="465">
        <v>100</v>
      </c>
      <c r="D75" s="465"/>
      <c r="E75" s="465"/>
      <c r="F75" s="465"/>
      <c r="G75" s="465"/>
      <c r="H75" s="465"/>
      <c r="I75" s="465"/>
      <c r="J75" s="465"/>
      <c r="K75" s="465"/>
      <c r="L75" s="465"/>
      <c r="M75" s="466"/>
      <c r="N75" s="2519"/>
      <c r="O75" s="2519"/>
      <c r="P75" s="2517"/>
      <c r="Q75" s="2505"/>
      <c r="R75" s="2484"/>
      <c r="S75" s="2484"/>
      <c r="T75" s="2484"/>
      <c r="U75" s="2484"/>
      <c r="V75" s="2484"/>
      <c r="W75" s="2484"/>
      <c r="X75" s="2484"/>
      <c r="Y75" s="2484"/>
      <c r="Z75" s="2484"/>
      <c r="AA75" s="2484"/>
      <c r="AB75" s="2484"/>
      <c r="AC75" s="2484"/>
    </row>
    <row r="76" spans="1:29" ht="27.75" thickTop="1">
      <c r="A76" s="367"/>
      <c r="B76" s="467" t="s">
        <v>1688</v>
      </c>
      <c r="C76" s="468"/>
      <c r="D76" s="468"/>
      <c r="E76" s="468"/>
      <c r="F76" s="468"/>
      <c r="G76" s="468"/>
      <c r="H76" s="468"/>
      <c r="I76" s="468"/>
      <c r="J76" s="468"/>
      <c r="K76" s="469"/>
      <c r="L76" s="470"/>
      <c r="M76" s="471"/>
      <c r="N76" s="2518"/>
      <c r="O76" s="2518"/>
      <c r="P76" s="2517"/>
      <c r="Q76" s="2505"/>
      <c r="R76" s="2484"/>
      <c r="S76" s="2484"/>
      <c r="T76" s="2484"/>
      <c r="U76" s="2484"/>
      <c r="V76" s="2484"/>
      <c r="W76" s="2484"/>
      <c r="X76" s="2484"/>
      <c r="Y76" s="2484"/>
      <c r="Z76" s="2484"/>
      <c r="AA76" s="2484"/>
      <c r="AB76" s="2484"/>
      <c r="AC76" s="2484"/>
    </row>
    <row r="77" spans="1:29" ht="15.75" thickBot="1">
      <c r="A77" s="367"/>
      <c r="B77" s="472"/>
      <c r="C77" s="473"/>
      <c r="D77" s="473"/>
      <c r="E77" s="473"/>
      <c r="F77" s="473"/>
      <c r="G77" s="473"/>
      <c r="H77" s="473"/>
      <c r="I77" s="473"/>
      <c r="J77" s="473"/>
      <c r="K77" s="473"/>
      <c r="L77" s="473"/>
      <c r="M77" s="474"/>
      <c r="N77" s="2519"/>
      <c r="O77" s="2519"/>
      <c r="P77" s="2517"/>
      <c r="Q77" s="2505"/>
      <c r="R77" s="2484"/>
      <c r="S77" s="2484"/>
      <c r="T77" s="2484"/>
      <c r="U77" s="2484"/>
      <c r="V77" s="2484"/>
      <c r="W77" s="2484"/>
      <c r="X77" s="2484"/>
      <c r="Y77" s="2484"/>
      <c r="Z77" s="2484"/>
      <c r="AA77" s="2484"/>
      <c r="AB77" s="2484"/>
      <c r="AC77" s="2484"/>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7"/>
      <c r="C79" s="478">
        <v>0</v>
      </c>
      <c r="D79" s="478">
        <v>1</v>
      </c>
      <c r="E79" s="478">
        <v>1.5</v>
      </c>
      <c r="F79" s="478">
        <v>2</v>
      </c>
      <c r="G79" s="478">
        <v>2.5</v>
      </c>
      <c r="H79" s="478"/>
      <c r="I79" s="478"/>
      <c r="J79" s="478"/>
      <c r="K79" s="479"/>
      <c r="L79" s="480"/>
      <c r="M79" s="481"/>
      <c r="N79" s="2518"/>
      <c r="O79" s="2518"/>
      <c r="P79" s="2517"/>
      <c r="Q79" s="2505"/>
      <c r="R79" s="2484"/>
      <c r="S79" s="2484"/>
      <c r="T79" s="2484"/>
      <c r="U79" s="2484"/>
      <c r="V79" s="2484"/>
      <c r="W79" s="2484"/>
      <c r="X79" s="2484"/>
      <c r="Y79" s="2484"/>
      <c r="Z79" s="2484"/>
      <c r="AA79" s="2484"/>
      <c r="AB79" s="2484"/>
      <c r="AC79" s="2484"/>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2"/>
      <c r="B81" s="467" t="str">
        <f>B12</f>
        <v>限价</v>
      </c>
      <c r="C81" s="483">
        <v>120000</v>
      </c>
      <c r="D81" s="483" t="s">
        <v>5797</v>
      </c>
      <c r="E81" s="483"/>
      <c r="F81" s="483"/>
      <c r="G81" s="483"/>
      <c r="H81" s="484"/>
      <c r="I81" s="484"/>
      <c r="J81" s="484"/>
      <c r="K81" s="484"/>
      <c r="L81" s="485"/>
      <c r="M81" s="486"/>
      <c r="N81" s="2520"/>
      <c r="O81" s="2520"/>
      <c r="P81" s="2520"/>
      <c r="Q81" s="2512"/>
      <c r="R81" s="2490"/>
      <c r="S81" s="2490"/>
      <c r="T81" s="2490"/>
      <c r="U81" s="2490"/>
      <c r="V81" s="2490"/>
      <c r="W81" s="2490"/>
      <c r="X81" s="2490"/>
      <c r="Y81" s="2490"/>
      <c r="Z81" s="2490"/>
      <c r="AA81" s="2490"/>
      <c r="AB81" s="2490"/>
      <c r="AC81" s="2490"/>
    </row>
    <row r="82" spans="1:29" s="408" customFormat="1" ht="15.75" thickBot="1">
      <c r="A82" s="482"/>
      <c r="B82" s="472"/>
      <c r="C82" s="489">
        <v>100</v>
      </c>
      <c r="D82" s="465">
        <v>110</v>
      </c>
      <c r="E82" s="465"/>
      <c r="F82" s="465"/>
      <c r="G82" s="465"/>
      <c r="H82" s="465"/>
      <c r="I82" s="465"/>
      <c r="J82" s="465"/>
      <c r="K82" s="465"/>
      <c r="L82" s="465"/>
      <c r="M82" s="466"/>
      <c r="N82" s="2519"/>
      <c r="O82" s="2519"/>
      <c r="P82" s="2520"/>
      <c r="Q82" s="2512"/>
      <c r="R82" s="2490"/>
      <c r="S82" s="2490"/>
      <c r="T82" s="2490"/>
      <c r="U82" s="2490"/>
      <c r="V82" s="2490"/>
      <c r="W82" s="2490"/>
      <c r="X82" s="2490"/>
      <c r="Y82" s="2490"/>
      <c r="Z82" s="2490"/>
      <c r="AA82" s="2490"/>
      <c r="AB82" s="2490"/>
      <c r="AC82" s="2490"/>
    </row>
    <row r="83" spans="1:29" s="408" customFormat="1" ht="15.75" thickTop="1">
      <c r="A83" s="482"/>
      <c r="B83" s="467">
        <f>B13</f>
        <v>111</v>
      </c>
      <c r="C83" s="483"/>
      <c r="D83" s="483"/>
      <c r="E83" s="483"/>
      <c r="F83" s="483"/>
      <c r="G83" s="483"/>
      <c r="H83" s="484"/>
      <c r="I83" s="484"/>
      <c r="J83" s="484"/>
      <c r="K83" s="484"/>
      <c r="L83" s="485"/>
      <c r="M83" s="486"/>
      <c r="N83" s="2520"/>
      <c r="O83" s="2520"/>
      <c r="P83" s="2490"/>
      <c r="Q83" s="2514"/>
      <c r="R83" s="2490"/>
      <c r="S83" s="2490"/>
      <c r="T83" s="2490"/>
      <c r="U83" s="2490"/>
      <c r="V83" s="2490"/>
      <c r="W83" s="2490"/>
      <c r="X83" s="2490"/>
      <c r="Y83" s="2490"/>
      <c r="Z83" s="2490"/>
      <c r="AA83" s="2490"/>
      <c r="AB83" s="2490"/>
      <c r="AC83" s="2490"/>
    </row>
    <row r="84" spans="1:29" s="408" customFormat="1" ht="15.75" thickBot="1">
      <c r="A84" s="482"/>
      <c r="B84" s="472"/>
      <c r="C84" s="489"/>
      <c r="D84" s="489"/>
      <c r="E84" s="489"/>
      <c r="F84" s="489"/>
      <c r="G84" s="489"/>
      <c r="H84" s="491"/>
      <c r="I84" s="491"/>
      <c r="J84" s="491"/>
      <c r="K84" s="491"/>
      <c r="L84" s="491"/>
      <c r="M84" s="492"/>
      <c r="N84" s="2520"/>
      <c r="O84" s="2520"/>
      <c r="P84" s="2520"/>
      <c r="Q84" s="2512"/>
      <c r="R84" s="2490"/>
      <c r="S84" s="2490"/>
      <c r="T84" s="2490"/>
      <c r="U84" s="2490"/>
      <c r="V84" s="2490"/>
      <c r="W84" s="2490"/>
      <c r="X84" s="2490"/>
      <c r="Y84" s="2490"/>
      <c r="Z84" s="2490"/>
      <c r="AA84" s="2490"/>
      <c r="AB84" s="2490"/>
      <c r="AC84" s="2490"/>
    </row>
    <row r="85" spans="1:29" s="408" customFormat="1" ht="15.75" thickTop="1">
      <c r="A85" s="482"/>
      <c r="B85" s="475">
        <f>B14</f>
        <v>111</v>
      </c>
      <c r="C85" s="31"/>
      <c r="D85" s="31"/>
      <c r="E85" s="31"/>
      <c r="F85" s="31"/>
      <c r="G85" s="31"/>
      <c r="H85" s="493"/>
      <c r="I85" s="493"/>
      <c r="J85" s="493"/>
      <c r="K85" s="493"/>
      <c r="L85" s="494"/>
      <c r="M85" s="495"/>
      <c r="N85" s="2520"/>
      <c r="O85" s="2520"/>
      <c r="P85" s="2545"/>
      <c r="Q85" s="2512"/>
      <c r="R85" s="2490"/>
      <c r="S85" s="2490"/>
      <c r="T85" s="2490"/>
      <c r="U85" s="2490"/>
      <c r="V85" s="2490"/>
      <c r="W85" s="2490"/>
      <c r="X85" s="2490"/>
      <c r="Y85" s="2490"/>
      <c r="Z85" s="2490"/>
      <c r="AA85" s="2490"/>
      <c r="AB85" s="2490"/>
      <c r="AC85" s="2490"/>
    </row>
    <row r="86" spans="1:29" s="408" customFormat="1" ht="15.75" thickBot="1">
      <c r="A86" s="497"/>
      <c r="B86" s="498"/>
      <c r="C86" s="499"/>
      <c r="D86" s="499"/>
      <c r="E86" s="499"/>
      <c r="F86" s="499"/>
      <c r="G86" s="499"/>
      <c r="H86" s="500"/>
      <c r="I86" s="500"/>
      <c r="J86" s="500"/>
      <c r="K86" s="500"/>
      <c r="L86" s="500"/>
      <c r="M86" s="501"/>
      <c r="N86" s="2520"/>
      <c r="O86" s="2520"/>
      <c r="P86" s="2520"/>
      <c r="Q86" s="2512"/>
      <c r="R86" s="2490"/>
      <c r="S86" s="2490"/>
      <c r="T86" s="2490"/>
      <c r="U86" s="2490"/>
      <c r="V86" s="2490"/>
      <c r="W86" s="2490"/>
      <c r="X86" s="2490"/>
      <c r="Y86" s="2490"/>
      <c r="Z86" s="2490"/>
      <c r="AA86" s="2490"/>
      <c r="AB86" s="2490"/>
      <c r="AC86" s="2490"/>
    </row>
    <row r="87" spans="1:29">
      <c r="A87" s="379" t="s">
        <v>1690</v>
      </c>
      <c r="B87" s="458" t="s">
        <v>1720</v>
      </c>
      <c r="C87" s="502" t="s">
        <v>1721</v>
      </c>
      <c r="D87" s="502" t="s">
        <v>1722</v>
      </c>
      <c r="E87" s="502" t="s">
        <v>1723</v>
      </c>
      <c r="F87" s="502" t="s">
        <v>1724</v>
      </c>
      <c r="G87" s="502" t="s">
        <v>1725</v>
      </c>
      <c r="H87" s="459"/>
      <c r="I87" s="459"/>
      <c r="J87" s="459"/>
      <c r="K87" s="503"/>
      <c r="L87" s="504"/>
      <c r="M87" s="505"/>
      <c r="N87" s="2518"/>
      <c r="O87" s="2518"/>
      <c r="P87" s="2542"/>
      <c r="Q87" s="2505"/>
      <c r="R87" s="2484"/>
      <c r="S87" s="2484"/>
      <c r="T87" s="2484"/>
      <c r="U87" s="2484"/>
      <c r="V87" s="2484"/>
      <c r="W87" s="2484"/>
      <c r="X87" s="2484"/>
      <c r="Y87" s="2484"/>
      <c r="Z87" s="2484"/>
      <c r="AA87" s="2484"/>
      <c r="AB87" s="2484"/>
      <c r="AC87" s="2484"/>
    </row>
    <row r="88" spans="1:29" ht="15.75" thickBot="1">
      <c r="A88" s="367"/>
      <c r="B88" s="472"/>
      <c r="C88" s="473">
        <v>100</v>
      </c>
      <c r="D88" s="473">
        <f>C88-$K15</f>
        <v>97</v>
      </c>
      <c r="E88" s="473">
        <f>D88-$K15</f>
        <v>94</v>
      </c>
      <c r="F88" s="473">
        <f>E88-$K15</f>
        <v>91</v>
      </c>
      <c r="G88" s="473">
        <f>F88-$K15</f>
        <v>88</v>
      </c>
      <c r="H88" s="473"/>
      <c r="I88" s="473"/>
      <c r="J88" s="473"/>
      <c r="K88" s="473"/>
      <c r="L88" s="473"/>
      <c r="M88" s="474"/>
      <c r="N88" s="2519"/>
      <c r="O88" s="2519"/>
      <c r="P88" s="2517"/>
      <c r="Q88" s="2505"/>
      <c r="R88" s="2484"/>
      <c r="S88" s="2484"/>
      <c r="T88" s="2484"/>
      <c r="U88" s="2484"/>
      <c r="V88" s="2484"/>
      <c r="W88" s="2484"/>
      <c r="X88" s="2484"/>
      <c r="Y88" s="2484"/>
      <c r="Z88" s="2484"/>
      <c r="AA88" s="2484"/>
      <c r="AB88" s="2484"/>
      <c r="AC88" s="2484"/>
    </row>
    <row r="89" spans="1:29" ht="15.75" thickTop="1">
      <c r="A89" s="367"/>
      <c r="B89" s="467" t="s">
        <v>1905</v>
      </c>
      <c r="C89" s="507" t="s">
        <v>1721</v>
      </c>
      <c r="D89" s="507" t="s">
        <v>1722</v>
      </c>
      <c r="E89" s="507" t="s">
        <v>1723</v>
      </c>
      <c r="F89" s="507" t="s">
        <v>1724</v>
      </c>
      <c r="G89" s="507" t="s">
        <v>1725</v>
      </c>
      <c r="H89" s="468"/>
      <c r="I89" s="468"/>
      <c r="J89" s="468"/>
      <c r="K89" s="469"/>
      <c r="L89" s="470"/>
      <c r="M89" s="471"/>
      <c r="N89" s="2518"/>
      <c r="O89" s="2518"/>
      <c r="P89" s="2517"/>
      <c r="Q89" s="2505"/>
      <c r="R89" s="2484"/>
      <c r="S89" s="2484"/>
      <c r="T89" s="2484"/>
      <c r="U89" s="2484"/>
      <c r="V89" s="2484"/>
      <c r="W89" s="2484"/>
      <c r="X89" s="2484"/>
      <c r="Y89" s="2484"/>
      <c r="Z89" s="2484"/>
      <c r="AA89" s="2484"/>
      <c r="AB89" s="2484"/>
      <c r="AC89" s="2484"/>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9"/>
      <c r="O90" s="2519"/>
      <c r="P90" s="2517"/>
      <c r="Q90" s="2505"/>
      <c r="R90" s="2484"/>
      <c r="S90" s="2484"/>
      <c r="T90" s="2484"/>
      <c r="U90" s="2484"/>
      <c r="V90" s="2484"/>
      <c r="W90" s="2484"/>
      <c r="X90" s="2484"/>
      <c r="Y90" s="2484"/>
      <c r="Z90" s="2484"/>
      <c r="AA90" s="2484"/>
      <c r="AB90" s="2484"/>
      <c r="AC90" s="2484"/>
    </row>
    <row r="91" spans="1:29" ht="15.75" thickTop="1">
      <c r="A91" s="367"/>
      <c r="B91" s="467" t="s">
        <v>1821</v>
      </c>
      <c r="C91" s="507" t="s">
        <v>1721</v>
      </c>
      <c r="D91" s="507" t="s">
        <v>1722</v>
      </c>
      <c r="E91" s="507" t="s">
        <v>1723</v>
      </c>
      <c r="F91" s="507" t="s">
        <v>1724</v>
      </c>
      <c r="G91" s="507" t="s">
        <v>1725</v>
      </c>
      <c r="H91" s="468"/>
      <c r="I91" s="468"/>
      <c r="J91" s="468"/>
      <c r="K91" s="469"/>
      <c r="L91" s="470"/>
      <c r="M91" s="471"/>
      <c r="N91" s="2518"/>
      <c r="O91" s="2518"/>
      <c r="P91" s="2517"/>
      <c r="Q91" s="2505"/>
      <c r="R91" s="2484"/>
      <c r="S91" s="2484"/>
      <c r="T91" s="2484"/>
      <c r="U91" s="2484"/>
      <c r="V91" s="2484"/>
      <c r="W91" s="2484"/>
      <c r="X91" s="2484"/>
      <c r="Y91" s="2484"/>
      <c r="Z91" s="2484"/>
      <c r="AA91" s="2484"/>
      <c r="AB91" s="2484"/>
      <c r="AC91" s="2484"/>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9"/>
      <c r="O92" s="2519"/>
      <c r="P92" s="2517"/>
      <c r="Q92" s="2505"/>
      <c r="R92" s="2484"/>
      <c r="S92" s="2484"/>
      <c r="T92" s="2484"/>
      <c r="U92" s="2484"/>
      <c r="V92" s="2484"/>
      <c r="W92" s="2484"/>
      <c r="X92" s="2484"/>
      <c r="Y92" s="2484"/>
      <c r="Z92" s="2484"/>
      <c r="AA92" s="2484"/>
      <c r="AB92" s="2484"/>
      <c r="AC92" s="2484"/>
    </row>
    <row r="93" spans="1:29" ht="15.75" thickTop="1">
      <c r="A93" s="367"/>
      <c r="B93" s="467" t="s">
        <v>1726</v>
      </c>
      <c r="C93" s="507" t="s">
        <v>1721</v>
      </c>
      <c r="D93" s="507" t="s">
        <v>1722</v>
      </c>
      <c r="E93" s="507" t="s">
        <v>1723</v>
      </c>
      <c r="F93" s="507" t="s">
        <v>1724</v>
      </c>
      <c r="G93" s="507" t="s">
        <v>1725</v>
      </c>
      <c r="H93" s="468"/>
      <c r="I93" s="468"/>
      <c r="J93" s="468"/>
      <c r="K93" s="469"/>
      <c r="L93" s="470"/>
      <c r="M93" s="471"/>
      <c r="N93" s="2518"/>
      <c r="O93" s="2518"/>
      <c r="P93" s="2517"/>
      <c r="Q93" s="2505"/>
      <c r="R93" s="2484"/>
      <c r="S93" s="2484"/>
      <c r="T93" s="2484"/>
      <c r="U93" s="2484"/>
      <c r="V93" s="2484"/>
      <c r="W93" s="2484"/>
      <c r="X93" s="2484"/>
      <c r="Y93" s="2484"/>
      <c r="Z93" s="2484"/>
      <c r="AA93" s="2484"/>
      <c r="AB93" s="2484"/>
      <c r="AC93" s="2484"/>
    </row>
    <row r="94" spans="1:29" ht="15.75" thickBot="1">
      <c r="A94" s="367"/>
      <c r="B94" s="472"/>
      <c r="C94" s="473">
        <v>100</v>
      </c>
      <c r="D94" s="473">
        <f>C94-$K21</f>
        <v>97</v>
      </c>
      <c r="E94" s="473">
        <f>D94-$K21</f>
        <v>94</v>
      </c>
      <c r="F94" s="473">
        <f>E94-$K21</f>
        <v>91</v>
      </c>
      <c r="G94" s="473">
        <f>F94-$K21</f>
        <v>88</v>
      </c>
      <c r="H94" s="473"/>
      <c r="I94" s="473"/>
      <c r="J94" s="473"/>
      <c r="K94" s="473"/>
      <c r="L94" s="473"/>
      <c r="M94" s="474"/>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9"/>
      <c r="O98" s="2519"/>
      <c r="P98" s="2517"/>
      <c r="Q98" s="2505"/>
      <c r="R98" s="2436"/>
      <c r="S98" s="2436"/>
      <c r="T98" s="2436"/>
      <c r="U98" s="2436"/>
      <c r="V98" s="2436"/>
      <c r="W98" s="2436"/>
      <c r="X98" s="2436"/>
      <c r="Y98" s="2436"/>
      <c r="Z98" s="2436"/>
      <c r="AA98" s="2436"/>
      <c r="AB98" s="2436"/>
      <c r="AC98" s="2436"/>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3"/>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7" t="s">
        <v>1815</v>
      </c>
      <c r="C105" s="483"/>
      <c r="D105" s="483"/>
      <c r="E105" s="483"/>
      <c r="F105" s="483"/>
      <c r="G105" s="483"/>
      <c r="H105" s="511"/>
      <c r="I105" s="511"/>
      <c r="J105" s="511"/>
      <c r="K105" s="512"/>
      <c r="L105" s="513"/>
      <c r="M105" s="514"/>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7" t="s">
        <v>1872</v>
      </c>
      <c r="C107" s="511"/>
      <c r="D107" s="511"/>
      <c r="E107" s="511"/>
      <c r="F107" s="511"/>
      <c r="G107" s="511"/>
      <c r="H107" s="511"/>
      <c r="I107" s="511"/>
      <c r="J107" s="511"/>
      <c r="K107" s="512"/>
      <c r="L107" s="513"/>
      <c r="M107" s="514"/>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5">
        <f>B35</f>
        <v>111</v>
      </c>
      <c r="C109" s="483"/>
      <c r="D109" s="483"/>
      <c r="E109" s="483"/>
      <c r="F109" s="483"/>
      <c r="G109" s="515"/>
      <c r="H109" s="515"/>
      <c r="I109" s="515"/>
      <c r="J109" s="515"/>
      <c r="K109" s="516"/>
      <c r="L109" s="517"/>
      <c r="M109" s="518"/>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498"/>
      <c r="C110" s="489"/>
      <c r="D110" s="489"/>
      <c r="E110" s="489"/>
      <c r="F110" s="489"/>
      <c r="G110" s="519"/>
      <c r="H110" s="519"/>
      <c r="I110" s="519"/>
      <c r="J110" s="519"/>
      <c r="K110" s="519"/>
      <c r="L110" s="519"/>
      <c r="M110" s="520"/>
      <c r="N110" s="2519"/>
      <c r="O110" s="2519"/>
      <c r="P110" s="2517"/>
      <c r="Q110" s="2505"/>
      <c r="R110" s="2484"/>
      <c r="S110" s="2484"/>
      <c r="T110" s="2484"/>
      <c r="U110" s="2484"/>
      <c r="V110" s="2484"/>
      <c r="W110" s="2484"/>
      <c r="X110" s="2484"/>
      <c r="Y110" s="2484"/>
      <c r="Z110" s="2484"/>
      <c r="AA110" s="2484"/>
      <c r="AB110" s="2484"/>
      <c r="AC110" s="2484"/>
    </row>
    <row r="111" spans="1:29" ht="15" thickTop="1">
      <c r="A111" s="593"/>
      <c r="B111" s="467">
        <f>B36</f>
        <v>111</v>
      </c>
      <c r="C111" s="31"/>
      <c r="D111" s="31"/>
      <c r="E111" s="31"/>
      <c r="F111" s="31"/>
      <c r="G111" s="511"/>
      <c r="H111" s="511"/>
      <c r="I111" s="511"/>
      <c r="J111" s="511"/>
      <c r="K111" s="512"/>
      <c r="L111" s="513"/>
      <c r="M111" s="514"/>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2"/>
      <c r="C112" s="499"/>
      <c r="D112" s="499"/>
      <c r="E112" s="499"/>
      <c r="F112" s="499"/>
      <c r="G112" s="465"/>
      <c r="H112" s="465"/>
      <c r="I112" s="465"/>
      <c r="J112" s="465"/>
      <c r="K112" s="465"/>
      <c r="L112" s="465"/>
      <c r="M112" s="466"/>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1">
        <f>B37</f>
        <v>111</v>
      </c>
      <c r="C113" s="6"/>
      <c r="D113" s="6"/>
      <c r="E113" s="6"/>
      <c r="F113" s="6"/>
      <c r="G113" s="6"/>
      <c r="H113" s="6"/>
      <c r="I113" s="6"/>
      <c r="J113" s="522"/>
      <c r="K113" s="522"/>
      <c r="L113" s="523"/>
      <c r="M113" s="524"/>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2"/>
      <c r="B114" s="475"/>
      <c r="C114" s="444"/>
      <c r="D114" s="595"/>
      <c r="E114" s="595"/>
      <c r="F114" s="595"/>
      <c r="G114" s="595"/>
      <c r="H114" s="595"/>
      <c r="I114" s="595"/>
      <c r="J114" s="595"/>
      <c r="K114" s="595"/>
      <c r="L114" s="595"/>
      <c r="M114" s="617"/>
      <c r="N114" s="2519"/>
      <c r="O114" s="2519"/>
      <c r="P114" s="2520"/>
      <c r="Q114" s="2512"/>
      <c r="R114" s="2490"/>
      <c r="S114" s="2490"/>
      <c r="T114" s="2490"/>
      <c r="U114" s="2490"/>
      <c r="V114" s="2490"/>
      <c r="W114" s="2490"/>
      <c r="X114" s="2490"/>
      <c r="Y114" s="2490"/>
      <c r="Z114" s="2490"/>
      <c r="AA114" s="2490"/>
      <c r="AB114" s="2490"/>
      <c r="AC114" s="2490"/>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5"/>
      <c r="C116" s="6">
        <v>0</v>
      </c>
      <c r="D116" s="6">
        <v>20000</v>
      </c>
      <c r="E116" s="6">
        <v>50000</v>
      </c>
      <c r="F116" s="6">
        <v>100000</v>
      </c>
      <c r="G116" s="6"/>
      <c r="H116" s="6"/>
      <c r="I116" s="6"/>
      <c r="J116" s="522"/>
      <c r="K116" s="522"/>
      <c r="L116" s="523"/>
      <c r="M116" s="524"/>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2"/>
      <c r="C117" s="499">
        <v>100</v>
      </c>
      <c r="D117" s="519">
        <v>102</v>
      </c>
      <c r="E117" s="519">
        <v>104</v>
      </c>
      <c r="F117" s="519">
        <v>106</v>
      </c>
      <c r="G117" s="519"/>
      <c r="H117" s="519"/>
      <c r="I117" s="519"/>
      <c r="J117" s="519"/>
      <c r="K117" s="519"/>
      <c r="L117" s="519"/>
      <c r="M117" s="520"/>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7" t="s">
        <v>1913</v>
      </c>
      <c r="C118" s="511" t="s">
        <v>5800</v>
      </c>
      <c r="D118" s="511" t="s">
        <v>5807</v>
      </c>
      <c r="E118" s="511" t="s">
        <v>5805</v>
      </c>
      <c r="F118" s="511" t="s">
        <v>5808</v>
      </c>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7" t="s">
        <v>1914</v>
      </c>
      <c r="C120" s="483"/>
      <c r="D120" s="483"/>
      <c r="E120" s="483"/>
      <c r="F120" s="511"/>
      <c r="G120" s="511"/>
      <c r="H120" s="511"/>
      <c r="I120" s="511"/>
      <c r="J120" s="511"/>
      <c r="K120" s="512"/>
      <c r="L120" s="513"/>
      <c r="M120" s="514"/>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7" t="s">
        <v>1915</v>
      </c>
      <c r="C122" s="483" t="s">
        <v>5799</v>
      </c>
      <c r="D122" s="483" t="s">
        <v>5801</v>
      </c>
      <c r="E122" s="483" t="s">
        <v>5809</v>
      </c>
      <c r="F122" s="483"/>
      <c r="G122" s="483"/>
      <c r="H122" s="511"/>
      <c r="I122" s="511"/>
      <c r="J122" s="511"/>
      <c r="K122" s="512"/>
      <c r="L122" s="513"/>
      <c r="M122" s="514"/>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7" t="s">
        <v>1916</v>
      </c>
      <c r="C124" s="483"/>
      <c r="D124" s="483"/>
      <c r="E124" s="511"/>
      <c r="F124" s="511"/>
      <c r="G124" s="511"/>
      <c r="H124" s="511"/>
      <c r="I124" s="511"/>
      <c r="J124" s="511"/>
      <c r="K124" s="512"/>
      <c r="L124" s="513"/>
      <c r="M124" s="514"/>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7">
        <f>B43</f>
        <v>111</v>
      </c>
      <c r="C126" s="483"/>
      <c r="D126" s="483"/>
      <c r="E126" s="483"/>
      <c r="F126" s="483"/>
      <c r="G126" s="483"/>
      <c r="H126" s="511"/>
      <c r="I126" s="511"/>
      <c r="J126" s="511"/>
      <c r="K126" s="512"/>
      <c r="L126" s="513"/>
      <c r="M126" s="514"/>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2"/>
      <c r="C127" s="489"/>
      <c r="D127" s="489"/>
      <c r="E127" s="489"/>
      <c r="F127" s="489"/>
      <c r="G127" s="465"/>
      <c r="H127" s="465"/>
      <c r="I127" s="465"/>
      <c r="J127" s="465"/>
      <c r="K127" s="465"/>
      <c r="L127" s="465"/>
      <c r="M127" s="466"/>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7">
        <f>B44</f>
        <v>111</v>
      </c>
      <c r="C128" s="31"/>
      <c r="D128" s="31"/>
      <c r="E128" s="31"/>
      <c r="F128" s="31"/>
      <c r="G128" s="511"/>
      <c r="H128" s="511"/>
      <c r="I128" s="511"/>
      <c r="J128" s="511"/>
      <c r="K128" s="512"/>
      <c r="L128" s="513"/>
      <c r="M128" s="514"/>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2"/>
      <c r="C129" s="499"/>
      <c r="D129" s="499"/>
      <c r="E129" s="499"/>
      <c r="F129" s="499"/>
      <c r="G129" s="465"/>
      <c r="H129" s="465"/>
      <c r="I129" s="465"/>
      <c r="J129" s="465"/>
      <c r="K129" s="465"/>
      <c r="L129" s="465"/>
      <c r="M129" s="466"/>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7">
        <f>B45</f>
        <v>111</v>
      </c>
      <c r="C130" s="31"/>
      <c r="D130" s="31"/>
      <c r="E130" s="31"/>
      <c r="F130" s="31"/>
      <c r="G130" s="484"/>
      <c r="H130" s="484"/>
      <c r="I130" s="484"/>
      <c r="J130" s="484"/>
      <c r="K130" s="484"/>
      <c r="L130" s="485"/>
      <c r="M130" s="486"/>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7"/>
      <c r="B131" s="618"/>
      <c r="C131" s="499"/>
      <c r="D131" s="499"/>
      <c r="E131" s="499"/>
      <c r="F131" s="499"/>
      <c r="G131" s="519"/>
      <c r="H131" s="519"/>
      <c r="I131" s="519"/>
      <c r="J131" s="519"/>
      <c r="K131" s="519"/>
      <c r="L131" s="519"/>
      <c r="M131" s="520"/>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A16" zoomScaleNormal="100" workbookViewId="0">
      <selection activeCell="A10" sqref="A10:XFD10"/>
    </sheetView>
  </sheetViews>
  <sheetFormatPr defaultRowHeight="13.5"/>
  <cols>
    <col min="1" max="1" width="25.25" style="3159" customWidth="1"/>
    <col min="2" max="2" width="9" style="3159"/>
    <col min="3" max="3" width="21" style="3159" customWidth="1"/>
    <col min="4" max="16384" width="9" style="3159"/>
  </cols>
  <sheetData>
    <row r="1" spans="1:16">
      <c r="A1" s="3180" t="s">
        <v>5709</v>
      </c>
      <c r="B1" s="3180" t="s">
        <v>5710</v>
      </c>
      <c r="C1" s="3180" t="s">
        <v>5711</v>
      </c>
      <c r="D1" s="3180" t="s">
        <v>5712</v>
      </c>
      <c r="E1" s="3180" t="s">
        <v>5713</v>
      </c>
      <c r="F1" s="3180" t="s">
        <v>5714</v>
      </c>
      <c r="G1" s="3180" t="s">
        <v>5715</v>
      </c>
      <c r="H1" s="3180" t="s">
        <v>5716</v>
      </c>
      <c r="I1" s="3180" t="s">
        <v>5717</v>
      </c>
      <c r="J1" s="3180" t="s">
        <v>5718</v>
      </c>
      <c r="K1" s="3180" t="s">
        <v>5719</v>
      </c>
      <c r="L1" s="3180" t="s">
        <v>5720</v>
      </c>
      <c r="M1" s="3180" t="s">
        <v>5721</v>
      </c>
      <c r="N1" s="3180" t="s">
        <v>5722</v>
      </c>
      <c r="O1" s="3180" t="s">
        <v>5723</v>
      </c>
      <c r="P1" s="3180" t="s">
        <v>5724</v>
      </c>
    </row>
    <row r="2" spans="1:16">
      <c r="A2" s="3181" t="s">
        <v>5725</v>
      </c>
      <c r="B2" s="3181" t="s">
        <v>5694</v>
      </c>
      <c r="C2" s="3181" t="s">
        <v>5726</v>
      </c>
      <c r="D2" s="3181" t="s">
        <v>5727</v>
      </c>
      <c r="E2" s="3181">
        <v>39737.800000000003</v>
      </c>
      <c r="F2" s="3181">
        <v>73299.740000000005</v>
      </c>
      <c r="G2" s="3181" t="s">
        <v>5728</v>
      </c>
      <c r="H2" s="3181" t="s">
        <v>5729</v>
      </c>
      <c r="I2" s="3181" t="s">
        <v>5730</v>
      </c>
      <c r="J2" s="3181" t="s">
        <v>5731</v>
      </c>
      <c r="K2" s="3181" t="s">
        <v>5732</v>
      </c>
      <c r="L2" s="3181" t="s">
        <v>5733</v>
      </c>
      <c r="M2" s="3181" t="s">
        <v>5734</v>
      </c>
      <c r="N2" s="3181">
        <v>750200</v>
      </c>
      <c r="O2" s="3181">
        <v>102347</v>
      </c>
      <c r="P2" s="3181">
        <v>27.93</v>
      </c>
    </row>
    <row r="3" spans="1:16">
      <c r="A3" s="3181" t="s">
        <v>5735</v>
      </c>
      <c r="B3" s="3181" t="s">
        <v>5694</v>
      </c>
      <c r="C3" s="3181" t="s">
        <v>5736</v>
      </c>
      <c r="D3" s="3181" t="s">
        <v>5727</v>
      </c>
      <c r="E3" s="3181">
        <v>42734.16</v>
      </c>
      <c r="F3" s="3181">
        <v>102561.97</v>
      </c>
      <c r="G3" s="3181" t="s">
        <v>5737</v>
      </c>
      <c r="H3" s="3181" t="s">
        <v>5729</v>
      </c>
      <c r="I3" s="3181" t="s">
        <v>5730</v>
      </c>
      <c r="J3" s="3181" t="s">
        <v>5731</v>
      </c>
      <c r="K3" s="3181" t="s">
        <v>5738</v>
      </c>
      <c r="L3" s="3181" t="s">
        <v>5733</v>
      </c>
      <c r="M3" s="3181" t="s">
        <v>5739</v>
      </c>
      <c r="N3" s="3181">
        <v>915200</v>
      </c>
      <c r="O3" s="3181">
        <v>89234</v>
      </c>
      <c r="P3" s="3181">
        <v>17.329999999999998</v>
      </c>
    </row>
    <row r="4" spans="1:16">
      <c r="A4" s="3181" t="s">
        <v>5740</v>
      </c>
      <c r="B4" s="3181" t="s">
        <v>5694</v>
      </c>
      <c r="C4" s="3181" t="s">
        <v>5741</v>
      </c>
      <c r="D4" s="3181" t="s">
        <v>5727</v>
      </c>
      <c r="E4" s="3181">
        <v>39303.71</v>
      </c>
      <c r="F4" s="3181">
        <v>95114.98</v>
      </c>
      <c r="G4" s="3181" t="s">
        <v>5742</v>
      </c>
      <c r="H4" s="3181" t="s">
        <v>5729</v>
      </c>
      <c r="I4" s="3181" t="s">
        <v>5730</v>
      </c>
      <c r="J4" s="3181" t="s">
        <v>5731</v>
      </c>
      <c r="K4" s="3181" t="s">
        <v>5738</v>
      </c>
      <c r="L4" s="3181" t="s">
        <v>5733</v>
      </c>
      <c r="M4" s="3181" t="s">
        <v>5743</v>
      </c>
      <c r="N4" s="3181">
        <v>904040</v>
      </c>
      <c r="O4" s="3181">
        <v>95047</v>
      </c>
      <c r="P4" s="3181">
        <v>25.04</v>
      </c>
    </row>
    <row r="5" spans="1:16">
      <c r="A5" s="3180" t="s">
        <v>5744</v>
      </c>
      <c r="B5" s="3180" t="s">
        <v>5694</v>
      </c>
      <c r="C5" s="3180" t="s">
        <v>5745</v>
      </c>
      <c r="D5" s="3180" t="s">
        <v>5727</v>
      </c>
      <c r="E5" s="3180">
        <v>34678.620000000003</v>
      </c>
      <c r="F5" s="3180">
        <v>72825.100000000006</v>
      </c>
      <c r="G5" s="3180" t="s">
        <v>5746</v>
      </c>
      <c r="H5" s="3180" t="s">
        <v>5729</v>
      </c>
      <c r="I5" s="3180" t="s">
        <v>5730</v>
      </c>
      <c r="J5" s="3180" t="s">
        <v>5731</v>
      </c>
      <c r="K5" s="3180" t="s">
        <v>5747</v>
      </c>
      <c r="L5" s="3180" t="s">
        <v>5733</v>
      </c>
      <c r="M5" s="3180" t="s">
        <v>5748</v>
      </c>
      <c r="N5" s="3180">
        <v>517500</v>
      </c>
      <c r="O5" s="3180">
        <v>71061</v>
      </c>
      <c r="P5" s="3180">
        <v>15</v>
      </c>
    </row>
    <row r="6" spans="1:16">
      <c r="A6" s="3180" t="s">
        <v>5749</v>
      </c>
      <c r="B6" s="3180" t="s">
        <v>5694</v>
      </c>
      <c r="C6" s="3180" t="s">
        <v>5750</v>
      </c>
      <c r="D6" s="3180" t="s">
        <v>5727</v>
      </c>
      <c r="E6" s="3180">
        <v>42463.44</v>
      </c>
      <c r="F6" s="3180">
        <v>89173.23</v>
      </c>
      <c r="G6" s="3180" t="s">
        <v>5746</v>
      </c>
      <c r="H6" s="3180" t="s">
        <v>5729</v>
      </c>
      <c r="I6" s="3180" t="s">
        <v>5730</v>
      </c>
      <c r="J6" s="3180" t="s">
        <v>5731</v>
      </c>
      <c r="K6" s="3180" t="s">
        <v>5747</v>
      </c>
      <c r="L6" s="3180" t="s">
        <v>5733</v>
      </c>
      <c r="M6" s="3180" t="s">
        <v>5751</v>
      </c>
      <c r="N6" s="3180">
        <v>638250</v>
      </c>
      <c r="O6" s="3180">
        <v>71574</v>
      </c>
      <c r="P6" s="3180">
        <v>15</v>
      </c>
    </row>
    <row r="7" spans="1:16">
      <c r="A7" s="3180" t="s">
        <v>5752</v>
      </c>
      <c r="B7" s="3180" t="s">
        <v>5694</v>
      </c>
      <c r="C7" s="3180" t="s">
        <v>5753</v>
      </c>
      <c r="D7" s="3180" t="s">
        <v>5754</v>
      </c>
      <c r="E7" s="3180">
        <v>85584.57</v>
      </c>
      <c r="F7" s="3180">
        <v>162894.59</v>
      </c>
      <c r="G7" s="3180" t="s">
        <v>5755</v>
      </c>
      <c r="H7" s="3180" t="s">
        <v>5729</v>
      </c>
      <c r="I7" s="3180" t="s">
        <v>5756</v>
      </c>
      <c r="J7" s="3180" t="s">
        <v>5731</v>
      </c>
      <c r="K7" s="3180" t="s">
        <v>5757</v>
      </c>
      <c r="L7" s="3180" t="s">
        <v>5733</v>
      </c>
      <c r="M7" s="3180" t="s">
        <v>5758</v>
      </c>
      <c r="N7" s="3180">
        <v>890100</v>
      </c>
      <c r="O7" s="3180">
        <v>54643</v>
      </c>
      <c r="P7" s="3180">
        <v>3.5</v>
      </c>
    </row>
    <row r="8" spans="1:16">
      <c r="A8" s="3180" t="s">
        <v>5759</v>
      </c>
      <c r="B8" s="3180" t="s">
        <v>5694</v>
      </c>
      <c r="C8" s="3180" t="s">
        <v>5760</v>
      </c>
      <c r="D8" s="3180" t="s">
        <v>5754</v>
      </c>
      <c r="E8" s="3180">
        <v>89529.8</v>
      </c>
      <c r="F8" s="3180">
        <v>222463.3</v>
      </c>
      <c r="G8" s="3180" t="s">
        <v>5761</v>
      </c>
      <c r="H8" s="3180" t="s">
        <v>5729</v>
      </c>
      <c r="I8" s="3180" t="s">
        <v>5762</v>
      </c>
      <c r="J8" s="3180" t="s">
        <v>5731</v>
      </c>
      <c r="K8" s="3180" t="s">
        <v>5763</v>
      </c>
      <c r="L8" s="3180" t="s">
        <v>5733</v>
      </c>
      <c r="M8" s="3180" t="s">
        <v>5764</v>
      </c>
      <c r="N8" s="3180">
        <v>791700</v>
      </c>
      <c r="O8" s="3180">
        <v>35588</v>
      </c>
      <c r="P8" s="3180">
        <v>1.5</v>
      </c>
    </row>
    <row r="9" spans="1:16">
      <c r="A9" s="3180" t="s">
        <v>5765</v>
      </c>
      <c r="B9" s="3180" t="s">
        <v>5694</v>
      </c>
      <c r="C9" s="3180" t="s">
        <v>5766</v>
      </c>
      <c r="D9" s="3180" t="s">
        <v>5727</v>
      </c>
      <c r="E9" s="3180">
        <v>25268.17</v>
      </c>
      <c r="F9" s="3180">
        <v>45482.71</v>
      </c>
      <c r="G9" s="3180" t="s">
        <v>5767</v>
      </c>
      <c r="H9" s="3180" t="s">
        <v>5729</v>
      </c>
      <c r="I9" s="3180" t="s">
        <v>5768</v>
      </c>
      <c r="J9" s="3180" t="s">
        <v>5731</v>
      </c>
      <c r="K9" s="3180" t="s">
        <v>5769</v>
      </c>
      <c r="L9" s="3180" t="s">
        <v>5733</v>
      </c>
      <c r="M9" s="3180" t="s">
        <v>5770</v>
      </c>
      <c r="N9" s="3180">
        <v>288650</v>
      </c>
      <c r="O9" s="3180">
        <v>63464</v>
      </c>
      <c r="P9" s="3180">
        <v>15</v>
      </c>
    </row>
    <row r="10" spans="1:16">
      <c r="A10" s="3180" t="s">
        <v>5771</v>
      </c>
      <c r="B10" s="3180" t="s">
        <v>5694</v>
      </c>
      <c r="C10" s="3180" t="s">
        <v>5772</v>
      </c>
      <c r="D10" s="3180" t="s">
        <v>5727</v>
      </c>
      <c r="E10" s="3180">
        <v>73887.38</v>
      </c>
      <c r="F10" s="3180">
        <v>89552.29</v>
      </c>
      <c r="G10" s="3180" t="s">
        <v>5773</v>
      </c>
      <c r="H10" s="3180" t="s">
        <v>5729</v>
      </c>
      <c r="I10" s="3180" t="s">
        <v>5768</v>
      </c>
      <c r="J10" s="3180" t="s">
        <v>5731</v>
      </c>
      <c r="K10" s="3180" t="s">
        <v>5774</v>
      </c>
      <c r="L10" s="3180" t="s">
        <v>5733</v>
      </c>
      <c r="M10" s="3180" t="s">
        <v>5775</v>
      </c>
      <c r="N10" s="3180">
        <v>793500</v>
      </c>
      <c r="O10" s="3180">
        <v>88607</v>
      </c>
      <c r="P10" s="3180">
        <v>15</v>
      </c>
    </row>
    <row r="11" spans="1:16">
      <c r="A11" s="3180" t="s">
        <v>5776</v>
      </c>
      <c r="B11" s="3180" t="s">
        <v>5694</v>
      </c>
      <c r="C11" s="3180" t="s">
        <v>5777</v>
      </c>
      <c r="D11" s="3180" t="s">
        <v>5727</v>
      </c>
      <c r="E11" s="3180">
        <v>18388.669999999998</v>
      </c>
      <c r="F11" s="3180">
        <v>21809.34</v>
      </c>
      <c r="G11" s="3180" t="s">
        <v>5773</v>
      </c>
      <c r="H11" s="3180" t="s">
        <v>5729</v>
      </c>
      <c r="I11" s="3180" t="s">
        <v>5768</v>
      </c>
      <c r="J11" s="3180" t="s">
        <v>5731</v>
      </c>
      <c r="K11" s="3180" t="s">
        <v>5774</v>
      </c>
      <c r="L11" s="3180" t="s">
        <v>5733</v>
      </c>
      <c r="M11" s="3180" t="s">
        <v>5778</v>
      </c>
      <c r="N11" s="3180">
        <v>195500</v>
      </c>
      <c r="O11" s="3180">
        <v>89640</v>
      </c>
      <c r="P11" s="3180">
        <v>15</v>
      </c>
    </row>
    <row r="12" spans="1:16">
      <c r="A12" s="3180" t="s">
        <v>5779</v>
      </c>
      <c r="B12" s="3180" t="s">
        <v>5694</v>
      </c>
      <c r="C12" s="3180" t="s">
        <v>5780</v>
      </c>
      <c r="D12" s="3180" t="s">
        <v>5754</v>
      </c>
      <c r="E12" s="3180">
        <v>46313.85</v>
      </c>
      <c r="F12" s="3180">
        <v>104753.24</v>
      </c>
      <c r="G12" s="3180" t="s">
        <v>5781</v>
      </c>
      <c r="H12" s="3180" t="s">
        <v>5729</v>
      </c>
      <c r="I12" s="3180" t="s">
        <v>5782</v>
      </c>
      <c r="J12" s="3180" t="s">
        <v>5783</v>
      </c>
      <c r="K12" s="3180" t="s">
        <v>5784</v>
      </c>
      <c r="L12" s="3180" t="s">
        <v>5733</v>
      </c>
      <c r="M12" s="3180" t="s">
        <v>5734</v>
      </c>
      <c r="N12" s="3180">
        <v>557750</v>
      </c>
      <c r="O12" s="3180">
        <v>53244</v>
      </c>
      <c r="P12" s="3180">
        <v>15</v>
      </c>
    </row>
    <row r="13" spans="1:16">
      <c r="A13" s="3180" t="s">
        <v>5785</v>
      </c>
      <c r="B13" s="3180" t="s">
        <v>5694</v>
      </c>
      <c r="C13" s="3180" t="s">
        <v>5786</v>
      </c>
      <c r="D13" s="3180" t="s">
        <v>5727</v>
      </c>
      <c r="E13" s="3180">
        <v>47827.06</v>
      </c>
      <c r="F13" s="3180">
        <v>71740.59</v>
      </c>
      <c r="G13" s="3180" t="s">
        <v>5787</v>
      </c>
      <c r="H13" s="3180" t="s">
        <v>5729</v>
      </c>
      <c r="I13" s="3180" t="s">
        <v>5730</v>
      </c>
      <c r="J13" s="3180" t="s">
        <v>5783</v>
      </c>
      <c r="K13" s="3180" t="s">
        <v>5784</v>
      </c>
      <c r="L13" s="3180" t="s">
        <v>5733</v>
      </c>
      <c r="M13" s="3180" t="s">
        <v>5734</v>
      </c>
      <c r="N13" s="3180">
        <v>419750</v>
      </c>
      <c r="O13" s="3180">
        <v>58509</v>
      </c>
      <c r="P13" s="3180">
        <v>15</v>
      </c>
    </row>
    <row r="14" spans="1:16">
      <c r="A14" s="3180" t="s">
        <v>5788</v>
      </c>
      <c r="B14" s="3180" t="s">
        <v>5694</v>
      </c>
      <c r="C14" s="3180" t="s">
        <v>5789</v>
      </c>
      <c r="D14" s="3180" t="s">
        <v>5754</v>
      </c>
      <c r="E14" s="3180">
        <v>52463.4</v>
      </c>
      <c r="F14" s="3180">
        <v>123492.16</v>
      </c>
      <c r="G14" s="3180" t="s">
        <v>5790</v>
      </c>
      <c r="H14" s="3180" t="s">
        <v>5729</v>
      </c>
      <c r="I14" s="3180" t="s">
        <v>5791</v>
      </c>
      <c r="J14" s="3180" t="s">
        <v>5783</v>
      </c>
      <c r="K14" s="3180" t="s">
        <v>5784</v>
      </c>
      <c r="L14" s="3180" t="s">
        <v>5733</v>
      </c>
      <c r="M14" s="3180" t="s">
        <v>5792</v>
      </c>
      <c r="N14" s="3180">
        <v>531800</v>
      </c>
      <c r="O14" s="3180">
        <v>43063</v>
      </c>
      <c r="P14" s="3180">
        <v>4.4800000000000004</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18" sqref="C18"/>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4"/>
      <c r="F1" s="2564"/>
      <c r="G1" s="2445"/>
      <c r="H1" s="2564"/>
      <c r="I1" s="2564"/>
      <c r="J1" s="2564"/>
      <c r="K1" s="2565">
        <f>MATCH(C1,'数据-取费表'!A6:A16,0)+5</f>
        <v>9</v>
      </c>
    </row>
    <row r="2" spans="1:33" ht="18" customHeight="1">
      <c r="A2" s="193" t="s">
        <v>1462</v>
      </c>
      <c r="B2" s="196">
        <f ca="1">C32</f>
        <v>492821</v>
      </c>
      <c r="C2" s="268" t="s">
        <v>1595</v>
      </c>
      <c r="D2" s="268"/>
      <c r="E2" s="2564"/>
      <c r="F2" s="2564"/>
      <c r="G2" s="2564"/>
      <c r="H2" s="2564"/>
      <c r="I2" s="2564"/>
      <c r="J2" s="2564"/>
      <c r="K2" s="2564"/>
    </row>
    <row r="3" spans="1:33" ht="18" customHeight="1" thickBot="1">
      <c r="A3" s="195" t="s">
        <v>1464</v>
      </c>
      <c r="B3" s="196">
        <f ca="1">ROUND(B2*10000/IF(C1="",'数据-汇总表'!E3,INDIRECT("'数据-取费表'!K"&amp;$K$1)),0)</f>
        <v>66349</v>
      </c>
      <c r="C3" s="268" t="s">
        <v>1596</v>
      </c>
      <c r="D3" s="268"/>
      <c r="E3" s="2564"/>
      <c r="F3" s="2564"/>
      <c r="G3" s="2564"/>
      <c r="H3" s="2564"/>
      <c r="I3" s="2564"/>
      <c r="J3" s="2564"/>
      <c r="K3" s="2564"/>
    </row>
    <row r="4" spans="1:33" s="737" customFormat="1" ht="16.5" customHeight="1">
      <c r="A4" s="734" t="s">
        <v>1597</v>
      </c>
      <c r="B4" s="735"/>
      <c r="C4" s="773">
        <f>SUM(C8:K8)</f>
        <v>563233</v>
      </c>
      <c r="D4" s="735"/>
      <c r="E4" s="735"/>
      <c r="F4" s="735"/>
      <c r="G4" s="735"/>
      <c r="H4" s="735"/>
      <c r="I4" s="735"/>
      <c r="J4" s="735"/>
      <c r="K4" s="736"/>
    </row>
    <row r="5" spans="1:33" s="741" customFormat="1" ht="15">
      <c r="A5" s="738" t="s">
        <v>1598</v>
      </c>
      <c r="B5" s="739" t="s">
        <v>1599</v>
      </c>
      <c r="C5" s="1716" t="s">
        <v>3395</v>
      </c>
      <c r="D5" s="1716" t="s">
        <v>5698</v>
      </c>
      <c r="E5" s="1716" t="s">
        <v>5697</v>
      </c>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f>'比较法-住宅'!B3</f>
        <v>120765</v>
      </c>
      <c r="D6" s="743">
        <f>'比较法-车位'!B3</f>
        <v>10751</v>
      </c>
      <c r="E6" s="743">
        <f>'比较法-仓储'!B3</f>
        <v>31073</v>
      </c>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40881.349999999984</v>
      </c>
      <c r="D7" s="269">
        <f>SUMIF('数据-汇总表'!$C19:$C33,假设开发法!D5,'数据-汇总表'!$E19:$E33)</f>
        <v>16849.759999999893</v>
      </c>
      <c r="E7" s="269">
        <f>SUMIF('数据-汇总表'!$C19:$C33,假设开发法!E5,'数据-汇总表'!$E19:$E33)</f>
        <v>16546.309999999998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7" t="s">
        <v>1603</v>
      </c>
      <c r="B8" s="156" t="s">
        <v>1604</v>
      </c>
      <c r="C8" s="774">
        <f>'比较法-住宅'!B2</f>
        <v>493704</v>
      </c>
      <c r="D8" s="774">
        <f>'比较法-车位'!B2</f>
        <v>18115</v>
      </c>
      <c r="E8" s="774">
        <f>'比较法-仓储'!B2</f>
        <v>51414</v>
      </c>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6736</v>
      </c>
      <c r="D11" s="752"/>
      <c r="E11" s="138"/>
      <c r="F11" s="762">
        <f ca="1">1-IF('数据-取费表'!B24=0,1,IF(C1="",'数据-取费表'!N16,INDIRECT("'数据-取费表'!n"&amp;$K$1)))</f>
        <v>0.15000000000000002</v>
      </c>
      <c r="G11" s="5"/>
      <c r="H11" s="747"/>
      <c r="I11" s="747"/>
      <c r="J11" s="747"/>
      <c r="K11" s="748"/>
    </row>
    <row r="12" spans="1:33" s="753" customFormat="1" ht="13.5" customHeight="1">
      <c r="A12" s="750" t="s">
        <v>636</v>
      </c>
      <c r="B12" s="751" t="s">
        <v>1613</v>
      </c>
      <c r="C12" s="21">
        <f ca="1">ROUND(C11*F12,0)</f>
        <v>539</v>
      </c>
      <c r="D12" s="752"/>
      <c r="E12" s="138"/>
      <c r="F12" s="762">
        <f>'数据-取费表'!B33</f>
        <v>0.08</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199</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223</v>
      </c>
      <c r="D14" s="794">
        <f ca="1">IF(C1="",'数据-汇总表'!E3,INDIRECT("'数据-取费表'!K"&amp;$K$1)+INDIRECT("'数据-取费表'!S"&amp;$K$1))</f>
        <v>74277.419999999867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135</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7832</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74277.419999999867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8"/>
      <c r="H18" s="1104"/>
      <c r="I18" s="1719" t="s">
        <v>1625</v>
      </c>
      <c r="J18" s="757"/>
      <c r="K18" s="758"/>
    </row>
    <row r="19" spans="1:33" s="753" customFormat="1" ht="13.5" customHeight="1">
      <c r="A19" s="750" t="s">
        <v>360</v>
      </c>
      <c r="B19" s="751" t="s">
        <v>1626</v>
      </c>
      <c r="C19" s="21">
        <f ca="1">ROUND(D19*E19/10000,0)</f>
        <v>654</v>
      </c>
      <c r="D19" s="794">
        <f ca="1">IF(C1="",'数据-汇总表'!E5,IF(INDIRECT("'数据-取费表'!c"&amp;$K$1)="住宅",INDIRECT("'数据-取费表'!k"&amp;$K$1),0))</f>
        <v>40881.349999999984</v>
      </c>
      <c r="E19" s="21">
        <f>'数据-取费表'!B27</f>
        <v>160</v>
      </c>
      <c r="F19" s="754"/>
      <c r="G19" s="12"/>
      <c r="H19" s="1106"/>
      <c r="I19" s="759"/>
      <c r="J19" s="759"/>
      <c r="K19" s="760"/>
    </row>
    <row r="20" spans="1:33" s="753" customFormat="1" ht="13.5" customHeight="1">
      <c r="A20" s="750" t="s">
        <v>361</v>
      </c>
      <c r="B20" s="751" t="s">
        <v>1627</v>
      </c>
      <c r="C20" s="21">
        <f ca="1">ROUND(D20*E20/10000,0)</f>
        <v>668</v>
      </c>
      <c r="D20" s="794">
        <f ca="1">IF(C1="",'数据-汇总表'!E6,IF(INDIRECT("'数据-取费表'!c"&amp;$K$1)="住宅",INDIRECT("'数据-取费表'!s"&amp;$K$1),INDIRECT("'数据-取费表'!k"&amp;$K$1)+INDIRECT("'数据-取费表'!s"&amp;$K$1)))</f>
        <v>33396.069999999883</v>
      </c>
      <c r="E20" s="21">
        <f>'数据-取费表'!B28</f>
        <v>200</v>
      </c>
      <c r="F20" s="754"/>
      <c r="G20" s="12"/>
      <c r="H20" s="759"/>
      <c r="I20" s="759"/>
      <c r="J20" s="759"/>
      <c r="K20" s="760"/>
    </row>
    <row r="21" spans="1:33" s="753" customFormat="1" ht="13.5" customHeight="1">
      <c r="A21" s="742" t="s">
        <v>357</v>
      </c>
      <c r="B21" s="763" t="s">
        <v>1628</v>
      </c>
      <c r="C21" s="764">
        <f ca="1">C16+C17+C18</f>
        <v>7832</v>
      </c>
      <c r="D21" s="765"/>
      <c r="E21" s="273"/>
      <c r="F21" s="273"/>
      <c r="G21" s="123" t="s">
        <v>1629</v>
      </c>
      <c r="H21" s="757"/>
      <c r="I21" s="757"/>
      <c r="J21" s="757"/>
      <c r="K21" s="758"/>
    </row>
    <row r="22" spans="1:33" s="753" customFormat="1" ht="13.5" customHeight="1">
      <c r="A22" s="742" t="s">
        <v>1601</v>
      </c>
      <c r="B22" s="763" t="s">
        <v>1630</v>
      </c>
      <c r="C22" s="764">
        <f ca="1">ROUND(C21*F22,0)</f>
        <v>235</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2535</v>
      </c>
      <c r="D23" s="273"/>
      <c r="E23" s="273"/>
      <c r="F23" s="766">
        <f>'数据-取费表'!B38</f>
        <v>0.03</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63</v>
      </c>
      <c r="D25" s="272">
        <f ca="1">C26</f>
        <v>1.2200000000000001E-2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1.2200000000000001E-2</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63</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1272</v>
      </c>
      <c r="D28" s="272">
        <f ca="1">C29</f>
        <v>1.6500000000000001E-2</v>
      </c>
      <c r="E28" s="274" t="s">
        <v>12</v>
      </c>
      <c r="F28" s="280">
        <f ca="1">IF(C1="",'数据-取费表'!Q16,INDIRECT("'数据-取费表'!q"&amp;$K$1))</f>
        <v>0.12</v>
      </c>
      <c r="G28" s="767"/>
      <c r="H28" s="768"/>
      <c r="I28" s="768"/>
      <c r="J28" s="768"/>
      <c r="K28" s="55"/>
    </row>
    <row r="29" spans="1:33" s="283" customFormat="1" ht="13.5" customHeight="1">
      <c r="A29" s="750" t="s">
        <v>358</v>
      </c>
      <c r="B29" s="771" t="s">
        <v>1643</v>
      </c>
      <c r="C29" s="276">
        <f ca="1">ROUND((1+C24)*F28*'数据-取费表'!B24/'数据-取费表'!B20,4)</f>
        <v>1.6500000000000001E-2</v>
      </c>
      <c r="D29" s="276"/>
      <c r="E29" s="277"/>
      <c r="F29" s="282"/>
      <c r="G29" s="123" t="s">
        <v>1644</v>
      </c>
      <c r="H29" s="757"/>
      <c r="I29" s="757"/>
      <c r="J29" s="757"/>
      <c r="K29" s="758"/>
    </row>
    <row r="30" spans="1:33" s="283" customFormat="1" ht="13.5" customHeight="1">
      <c r="A30" s="750" t="s">
        <v>359</v>
      </c>
      <c r="B30" s="771" t="s">
        <v>1645</v>
      </c>
      <c r="C30" s="284">
        <f ca="1">ROUND((C21+C22+C23)*F28,0)</f>
        <v>1272</v>
      </c>
      <c r="D30" s="276"/>
      <c r="E30" s="277"/>
      <c r="F30" s="282"/>
      <c r="G30" s="123"/>
      <c r="H30" s="757"/>
      <c r="I30" s="757"/>
      <c r="J30" s="757"/>
      <c r="K30" s="758"/>
    </row>
    <row r="31" spans="1:33" s="753" customFormat="1" ht="13.5" customHeight="1" thickBot="1">
      <c r="A31" s="1722" t="s">
        <v>1646</v>
      </c>
      <c r="B31" s="781" t="s">
        <v>1647</v>
      </c>
      <c r="C31" s="782">
        <f>ROUND(C4*F31/(1+'数据-取费表'!C42),0)</f>
        <v>30039</v>
      </c>
      <c r="D31" s="783"/>
      <c r="E31" s="784"/>
      <c r="F31" s="785">
        <f>'数据-取费表'!B41</f>
        <v>5.6000000000000001E-2</v>
      </c>
      <c r="G31" s="786" t="s">
        <v>1648</v>
      </c>
      <c r="H31" s="787"/>
      <c r="I31" s="787"/>
      <c r="J31" s="787"/>
      <c r="K31" s="788"/>
    </row>
    <row r="32" spans="1:33" s="749" customFormat="1" ht="13.5" customHeight="1" thickBot="1">
      <c r="A32" s="447" t="s">
        <v>1649</v>
      </c>
      <c r="B32" s="777"/>
      <c r="C32" s="778">
        <f ca="1">ROUND((C4-C21-C22-C23-C25-C28-C31)/(1+C24+D25+D28),0)</f>
        <v>492821</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#DIV/0!</v>
      </c>
      <c r="C2" s="1287" t="s">
        <v>805</v>
      </c>
      <c r="D2" s="1287"/>
      <c r="E2" s="1293"/>
      <c r="F2" s="1294"/>
      <c r="G2" s="2475"/>
      <c r="H2" s="2465"/>
      <c r="I2" s="2465"/>
      <c r="J2" s="2465"/>
      <c r="K2" s="2466"/>
      <c r="L2" s="2465"/>
      <c r="M2" s="2465"/>
    </row>
    <row r="3" spans="1:37" ht="18" customHeight="1" thickBot="1">
      <c r="A3" s="1295" t="s">
        <v>806</v>
      </c>
      <c r="B3" s="1296">
        <f ca="1">IF(ISERROR(B2*10000/F43),0,ROUND(B2*10000/F43,0))</f>
        <v>0</v>
      </c>
      <c r="C3" s="1287" t="s">
        <v>807</v>
      </c>
      <c r="D3" s="1287"/>
      <c r="E3" s="1293"/>
      <c r="F3" s="1294"/>
      <c r="G3" s="2475"/>
      <c r="H3" s="647"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422" t="s">
        <v>694</v>
      </c>
      <c r="C6" s="1009">
        <f ca="1">ROUND(F6*F8*F7*(1-F9)/10000,0)</f>
        <v>0</v>
      </c>
      <c r="D6" s="147" t="s">
        <v>2108</v>
      </c>
      <c r="E6" s="294" t="s">
        <v>696</v>
      </c>
      <c r="F6" s="295">
        <f ca="1">INDIRECT("'数据-取费表'!u"&amp;$G$1)</f>
        <v>0</v>
      </c>
      <c r="G6" s="1290"/>
      <c r="H6" s="1004" t="s">
        <v>398</v>
      </c>
      <c r="I6" s="3422" t="s">
        <v>694</v>
      </c>
      <c r="J6" s="293">
        <f ca="1">ROUND(M6*M8*M7*(1-M9)/10000,0)</f>
        <v>0</v>
      </c>
      <c r="K6" s="147" t="s">
        <v>2107</v>
      </c>
      <c r="L6" s="294" t="s">
        <v>696</v>
      </c>
      <c r="M6" s="295">
        <f ca="1">INDIRECT("'数据-取费表'!z"&amp;$G$1)</f>
        <v>0</v>
      </c>
    </row>
    <row r="7" spans="1:37" ht="18" customHeight="1">
      <c r="A7" s="1008"/>
      <c r="B7" s="3423"/>
      <c r="C7" s="1010"/>
      <c r="D7" s="299"/>
      <c r="E7" s="1011" t="s">
        <v>697</v>
      </c>
      <c r="F7" s="295">
        <f ca="1">IF(INDIRECT("'数据-取费表'!ah"&amp;$G$1)="",INDIRECT("'数据-取费表'!k"&amp;$G$1),INDIRECT("'数据-取费表'!ah"&amp;$G$1))</f>
        <v>0</v>
      </c>
      <c r="G7" s="1290"/>
      <c r="H7" s="296"/>
      <c r="I7" s="3423"/>
      <c r="J7" s="298"/>
      <c r="K7" s="299"/>
      <c r="L7" s="294" t="s">
        <v>697</v>
      </c>
      <c r="M7" s="295">
        <f ca="1">F7</f>
        <v>0</v>
      </c>
    </row>
    <row r="8" spans="1:37" ht="18" customHeight="1">
      <c r="A8" s="296"/>
      <c r="B8" s="3423"/>
      <c r="C8" s="298"/>
      <c r="D8" s="299"/>
      <c r="E8" s="294" t="s">
        <v>698</v>
      </c>
      <c r="F8" s="295">
        <f ca="1">INDIRECT("'数据-取费表'!ai"&amp;$G$1)</f>
        <v>0</v>
      </c>
      <c r="G8" s="1290"/>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0"/>
      <c r="H9" s="296"/>
      <c r="I9" s="3424"/>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6">
        <f ca="1">ROUND(IF(AND(项目基本情况!B11="自然人",项目基本情况!B10="北京市"),J6*M17/(1+'数据-取费表'!C42),J18+J19+J20),2)</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ROUND(M20*M21/10000,2)</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ROUND(IF(AND(项目基本情况!B11="自然人",项目基本情况!B10="北京市"),C6*F31/(1+'数据-取费表'!C42),C32+C33+C34),2)</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IF(项目基本情况!B11="自然人","——",ROUND(F34*F35/10000,2))</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ROUND(C29*F36,2)</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ROUND(C13*F37,2)</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ROUND(C5*F38,2)</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4"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2">
        <f ca="1">IF(M47="住宅",IF(D1="——",MAX(J51,L48),MAX(J51,L48-'数据-取费表'!B24)),IF(D1="——",MIN(J51,L48),MIN(J51,L48-'数据-取费表'!B24)))</f>
        <v>0</v>
      </c>
      <c r="K53" s="3420" t="s">
        <v>837</v>
      </c>
      <c r="L53" s="3421"/>
      <c r="O53" s="1323" t="s">
        <v>409</v>
      </c>
      <c r="P53" s="1324" t="s">
        <v>838</v>
      </c>
      <c r="Q53" s="1325" t="e">
        <f ca="1">Q47+Q48</f>
        <v>#DIV/0!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1"/>
      <c r="C1" s="1285"/>
      <c r="D1" s="1269" t="s">
        <v>43</v>
      </c>
      <c r="E1" s="1270" t="s">
        <v>678</v>
      </c>
      <c r="F1" s="997">
        <f ca="1">J53</f>
        <v>0</v>
      </c>
      <c r="G1" s="1284">
        <f>MATCH(C1,'数据-取费表'!A6:A16,0)+5</f>
        <v>9</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20" t="e">
        <f ca="1">ROUND(D2/10000,4)</f>
        <v>#DIV/0!</v>
      </c>
      <c r="C2" s="1287" t="s">
        <v>879</v>
      </c>
      <c r="D2" s="1373" t="e">
        <f ca="1">C40+J29+L46</f>
        <v>#DIV/0!</v>
      </c>
      <c r="E2" s="1293" t="s">
        <v>880</v>
      </c>
      <c r="F2" s="1294"/>
      <c r="G2" s="2475"/>
      <c r="H2" s="2465"/>
      <c r="I2" s="2465"/>
      <c r="J2" s="2465"/>
      <c r="K2" s="2466"/>
      <c r="L2" s="2465"/>
      <c r="M2" s="2465"/>
    </row>
    <row r="3" spans="1:37" ht="18" customHeight="1" thickBot="1">
      <c r="A3" s="1295" t="s">
        <v>881</v>
      </c>
      <c r="B3" s="1296">
        <f ca="1">IF(ISERROR(D2/F43),0,ROUND(D2/F43,0))</f>
        <v>0</v>
      </c>
      <c r="C3" s="1287" t="s">
        <v>882</v>
      </c>
      <c r="D3" s="1287"/>
      <c r="E3" s="1293"/>
      <c r="F3" s="1294"/>
      <c r="G3" s="2475"/>
      <c r="H3" s="647"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422" t="s">
        <v>694</v>
      </c>
      <c r="C6" s="1009">
        <f ca="1">ROUND(F6*F8*F7*(1-F9),0)</f>
        <v>0</v>
      </c>
      <c r="D6" s="147" t="s">
        <v>2105</v>
      </c>
      <c r="E6" s="294" t="s">
        <v>696</v>
      </c>
      <c r="F6" s="295">
        <f ca="1">INDIRECT("'数据-取费表'!u"&amp;$G$1)</f>
        <v>0</v>
      </c>
      <c r="G6" s="1290"/>
      <c r="H6" s="1004" t="s">
        <v>398</v>
      </c>
      <c r="I6" s="3422" t="s">
        <v>694</v>
      </c>
      <c r="J6" s="293">
        <f ca="1">ROUND(M6*M8*M7*(1-M9),0)</f>
        <v>0</v>
      </c>
      <c r="K6" s="1282" t="s">
        <v>2106</v>
      </c>
      <c r="L6" s="294" t="s">
        <v>696</v>
      </c>
      <c r="M6" s="295">
        <f ca="1">INDIRECT("'数据-取费表'!z"&amp;$G$1)</f>
        <v>0</v>
      </c>
    </row>
    <row r="7" spans="1:37" ht="18" customHeight="1">
      <c r="A7" s="1008"/>
      <c r="B7" s="3423"/>
      <c r="C7" s="1010"/>
      <c r="D7" s="299"/>
      <c r="E7" s="1011" t="s">
        <v>697</v>
      </c>
      <c r="F7" s="295">
        <f ca="1">IF(INDIRECT("'数据-取费表'!ah"&amp;$G$1)="",INDIRECT("'数据-取费表'!k"&amp;$G$1),INDIRECT("'数据-取费表'!ah"&amp;$G$1))</f>
        <v>0</v>
      </c>
      <c r="G7" s="1290"/>
      <c r="H7" s="296"/>
      <c r="I7" s="3423"/>
      <c r="J7" s="298"/>
      <c r="K7" s="299"/>
      <c r="L7" s="294" t="s">
        <v>697</v>
      </c>
      <c r="M7" s="295">
        <f ca="1">F7</f>
        <v>0</v>
      </c>
    </row>
    <row r="8" spans="1:37" ht="18" customHeight="1">
      <c r="A8" s="296"/>
      <c r="B8" s="3423"/>
      <c r="C8" s="298"/>
      <c r="D8" s="299"/>
      <c r="E8" s="294" t="s">
        <v>698</v>
      </c>
      <c r="F8" s="295">
        <f ca="1">INDIRECT("'数据-取费表'!ai"&amp;$G$1)</f>
        <v>0</v>
      </c>
      <c r="G8" s="1290"/>
      <c r="H8" s="296"/>
      <c r="I8" s="3423"/>
      <c r="J8" s="298"/>
      <c r="K8" s="299"/>
      <c r="L8" s="294" t="s">
        <v>698</v>
      </c>
      <c r="M8" s="295">
        <f ca="1">INDIRECT("'数据-取费表'!ai"&amp;$G$1)</f>
        <v>0</v>
      </c>
    </row>
    <row r="9" spans="1:37" ht="18" customHeight="1">
      <c r="A9" s="296"/>
      <c r="B9" s="3424"/>
      <c r="C9" s="298"/>
      <c r="D9" s="299"/>
      <c r="E9" s="294" t="s">
        <v>699</v>
      </c>
      <c r="F9" s="304">
        <f ca="1">INDIRECT("'数据-取费表'!w"&amp;$G$1)</f>
        <v>0</v>
      </c>
      <c r="G9" s="1290"/>
      <c r="H9" s="296"/>
      <c r="I9" s="3424"/>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4"/>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0.08</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6">
        <f ca="1">ROUND(IF(AND(项目基本情况!B11="自然人",项目基本情况!B10="北京市"),J6*M17/(1+'数据-取费表'!C42),J18+J19+J20),0)</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3326</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0.03</v>
      </c>
      <c r="G20" s="1301"/>
      <c r="H20" s="926" t="s">
        <v>680</v>
      </c>
      <c r="I20" s="147" t="s">
        <v>730</v>
      </c>
      <c r="J20" s="22">
        <f ca="1">ROUND(M20*M21,0)</f>
        <v>0</v>
      </c>
      <c r="K20" s="316" t="s">
        <v>731</v>
      </c>
      <c r="L20" s="294" t="s">
        <v>732</v>
      </c>
      <c r="M20" s="317">
        <f>'数据-取费表'!B52</f>
        <v>3</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7"/>
      <c r="I30" s="1303"/>
      <c r="J30" s="1304"/>
      <c r="K30" s="121"/>
      <c r="L30" s="2468"/>
      <c r="M30" s="2469"/>
    </row>
    <row r="31" spans="1:37" ht="18" customHeight="1">
      <c r="A31" s="926" t="s">
        <v>398</v>
      </c>
      <c r="B31" s="294" t="s">
        <v>719</v>
      </c>
      <c r="C31" s="2136">
        <f ca="1">ROUND(IF(AND(项目基本情况!B11="自然人",项目基本情况!B10="北京市"),C6*F31/(1+'数据-取费表'!C42),C32+C33+C34),0)</f>
        <v>0</v>
      </c>
      <c r="D31" s="1255" t="s">
        <v>720</v>
      </c>
      <c r="E31" s="1254" t="s">
        <v>770</v>
      </c>
      <c r="F31" s="2135" t="str">
        <f>IF(项目基本情况!B11="企业","——",IF(M47="住宅",IF(F6*F7*F8/12/(1+'数据-取费表'!F30)&gt;100000,4%,2.5%),IF(F6*F7*F8/12/(1+'数据-取费表'!F30)&gt;100000,12%,7%)))</f>
        <v>——</v>
      </c>
      <c r="G31" s="1290"/>
      <c r="H31" s="2566" t="s">
        <v>2296</v>
      </c>
      <c r="I31" s="1303"/>
      <c r="J31" s="1304"/>
      <c r="K31" s="121"/>
      <c r="L31" s="2468"/>
      <c r="M31" s="2469"/>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7"/>
      <c r="I32" s="1303"/>
      <c r="J32" s="1304"/>
      <c r="K32" s="121"/>
      <c r="L32" s="2468"/>
      <c r="M32" s="2469"/>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3326</v>
      </c>
      <c r="E33" s="294" t="s">
        <v>712</v>
      </c>
      <c r="F33" s="314">
        <f>IF(D33="按票据","——",IF(D33="按租金收入计税",'数据-取费表'!B51,'数据-取费表'!B50))</f>
        <v>0.12</v>
      </c>
      <c r="G33" s="1290"/>
      <c r="H33" s="2470"/>
      <c r="I33" s="1303"/>
      <c r="J33" s="1304"/>
      <c r="K33" s="2471"/>
      <c r="L33" s="2470"/>
      <c r="M33" s="2470"/>
    </row>
    <row r="34" spans="1:18" ht="18" customHeight="1">
      <c r="A34" s="1004" t="s">
        <v>680</v>
      </c>
      <c r="B34" s="147" t="s">
        <v>730</v>
      </c>
      <c r="C34" s="22">
        <f ca="1">IF(项目基本情况!B11="自然人","——",ROUND(F34*F35,0))</f>
        <v>0</v>
      </c>
      <c r="D34" s="316" t="s">
        <v>731</v>
      </c>
      <c r="E34" s="294" t="s">
        <v>732</v>
      </c>
      <c r="F34" s="317">
        <f>'数据-取费表'!B52</f>
        <v>3</v>
      </c>
      <c r="G34" s="1290"/>
      <c r="H34" s="2467"/>
      <c r="I34" s="1303"/>
      <c r="J34" s="1304"/>
      <c r="K34" s="2472"/>
      <c r="L34" s="2473"/>
      <c r="M34" s="2473"/>
    </row>
    <row r="35" spans="1:18" ht="18" customHeight="1">
      <c r="A35" s="1038"/>
      <c r="B35" s="1036"/>
      <c r="C35" s="26"/>
      <c r="D35" s="319"/>
      <c r="E35" s="294" t="s">
        <v>736</v>
      </c>
      <c r="F35" s="295">
        <f ca="1">INDIRECT("'数据-取费表'!r"&amp;$G$1)</f>
        <v>0</v>
      </c>
      <c r="G35" s="1290"/>
      <c r="H35" s="2467"/>
      <c r="I35" s="1303"/>
      <c r="J35" s="1304"/>
      <c r="K35" s="2471"/>
      <c r="L35" s="2470"/>
      <c r="M35" s="2470"/>
    </row>
    <row r="36" spans="1:18" ht="18" customHeight="1">
      <c r="A36" s="1037" t="s">
        <v>402</v>
      </c>
      <c r="B36" s="294" t="s">
        <v>738</v>
      </c>
      <c r="C36" s="21">
        <f ca="1">ROUND(C29*F36,0)</f>
        <v>0</v>
      </c>
      <c r="D36" s="1254" t="s">
        <v>771</v>
      </c>
      <c r="E36" s="294" t="s">
        <v>712</v>
      </c>
      <c r="F36" s="320">
        <f ca="1">INDIRECT("'数据-取费表'!Ak"&amp;$G$1)</f>
        <v>0</v>
      </c>
      <c r="G36" s="1290"/>
      <c r="H36" s="2470"/>
      <c r="I36" s="1303"/>
      <c r="J36" s="1304"/>
      <c r="K36" s="2327"/>
      <c r="L36" s="2470"/>
      <c r="M36" s="2470"/>
    </row>
    <row r="37" spans="1:18" ht="18" customHeight="1">
      <c r="A37" s="926" t="s">
        <v>437</v>
      </c>
      <c r="B37" s="294" t="s">
        <v>742</v>
      </c>
      <c r="C37" s="21">
        <f ca="1">ROUND(C13*F37,0)</f>
        <v>0</v>
      </c>
      <c r="D37" s="1254" t="s">
        <v>743</v>
      </c>
      <c r="E37" s="294" t="s">
        <v>744</v>
      </c>
      <c r="F37" s="321">
        <f ca="1">INDIRECT("'数据-取费表'!Al"&amp;$G$1)</f>
        <v>0</v>
      </c>
      <c r="G37" s="1290"/>
      <c r="H37" s="2470"/>
      <c r="I37" s="1303"/>
      <c r="J37" s="1304"/>
      <c r="K37" s="2327"/>
      <c r="L37" s="2470"/>
      <c r="M37" s="2470"/>
    </row>
    <row r="38" spans="1:18" ht="18" customHeight="1" thickBot="1">
      <c r="A38" s="1024" t="s">
        <v>684</v>
      </c>
      <c r="B38" s="1025" t="s">
        <v>728</v>
      </c>
      <c r="C38" s="1026">
        <f ca="1">ROUND(C5*F38,0)</f>
        <v>0</v>
      </c>
      <c r="D38" s="1027" t="s">
        <v>748</v>
      </c>
      <c r="E38" s="1025" t="s">
        <v>744</v>
      </c>
      <c r="F38" s="1021">
        <f ca="1">INDIRECT("'数据-取费表'!Am"&amp;$G$1)</f>
        <v>0</v>
      </c>
      <c r="G38" s="1290"/>
      <c r="H38" s="2470"/>
      <c r="I38" s="1303"/>
      <c r="J38" s="1304"/>
      <c r="K38" s="2468"/>
      <c r="L38" s="2470"/>
      <c r="M38" s="2470"/>
    </row>
    <row r="39" spans="1:18" ht="24.6" customHeight="1" thickTop="1">
      <c r="A39" s="1014" t="s">
        <v>394</v>
      </c>
      <c r="B39" s="1029" t="s">
        <v>772</v>
      </c>
      <c r="C39" s="302">
        <f ca="1">C5-C30</f>
        <v>0</v>
      </c>
      <c r="D39" s="1030" t="s">
        <v>773</v>
      </c>
      <c r="E39" s="1031"/>
      <c r="F39" s="1032"/>
      <c r="G39" s="1290"/>
      <c r="H39" s="2470"/>
      <c r="I39" s="1303"/>
      <c r="J39" s="1304"/>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8"/>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7"/>
      <c r="L41" s="121"/>
      <c r="M41" s="121"/>
    </row>
    <row r="42" spans="1:18" ht="18" customHeight="1">
      <c r="A42" s="300"/>
      <c r="B42" s="301"/>
      <c r="C42" s="302"/>
      <c r="D42" s="319"/>
      <c r="E42" s="294" t="s">
        <v>766</v>
      </c>
      <c r="F42" s="304">
        <f ca="1">INDIRECT("'数据-取费表'!v"&amp;$G$1)</f>
        <v>0</v>
      </c>
      <c r="G42" s="1290"/>
      <c r="H42" s="121"/>
      <c r="I42" s="1303"/>
      <c r="J42" s="1304"/>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7"/>
      <c r="L43" s="121"/>
      <c r="M43" s="121"/>
    </row>
    <row r="44" spans="1:18" s="1290" customFormat="1" ht="18" customHeight="1">
      <c r="A44" s="1305"/>
      <c r="B44" s="1305"/>
      <c r="C44" s="1306"/>
      <c r="D44" s="1305"/>
      <c r="E44" s="1305"/>
      <c r="F44" s="1305"/>
      <c r="K44" s="1307"/>
    </row>
    <row r="45" spans="1:18" s="1290" customFormat="1" ht="18" customHeight="1" thickBot="1">
      <c r="A45" s="3126" t="s">
        <v>3342</v>
      </c>
      <c r="B45" s="1305"/>
      <c r="C45" s="1374" t="e">
        <f ca="1">ROUND((C68-C40)/10000,4)</f>
        <v>#DIV/0!</v>
      </c>
      <c r="D45" s="3127" t="s">
        <v>3343</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2">
        <f ca="1">IF(M47="住宅",IF(D1="——",MAX(J51,L48),MAX(J51,L48-'数据-取费表'!B24)),IF(D1="——",MIN(J51,L48),MIN(J51,L48-'数据-取费表'!B24)))</f>
        <v>0</v>
      </c>
      <c r="K53" s="3420" t="s">
        <v>837</v>
      </c>
      <c r="L53" s="3421"/>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3326</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3</v>
      </c>
      <c r="I62" s="1365" t="s">
        <v>858</v>
      </c>
      <c r="J62" s="608" t="s">
        <v>859</v>
      </c>
      <c r="K62" s="608" t="s">
        <v>860</v>
      </c>
      <c r="L62" s="608"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08">
        <v>70</v>
      </c>
      <c r="K63" s="608">
        <v>50</v>
      </c>
      <c r="L63" s="608">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08">
        <v>50</v>
      </c>
      <c r="K64" s="608">
        <v>35</v>
      </c>
      <c r="L64" s="608">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08">
        <v>40</v>
      </c>
      <c r="K65" s="608">
        <v>30</v>
      </c>
      <c r="L65" s="608">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36">
      <c r="A4" s="1380" t="str">
        <f>"受贵公司委托，我公司对"&amp;项目基本情况!S1&amp;"进行了预评估。"</f>
        <v>受贵公司委托，我公司对北京市出让国有建设用地使用权及在建建筑物房地产抵押价值进行了预评估。</v>
      </c>
    </row>
    <row r="5" spans="1:1" ht="18.75">
      <c r="A5" s="1381" t="s">
        <v>899</v>
      </c>
    </row>
    <row r="6" spans="1:1" ht="18.75">
      <c r="A6" s="1382" t="s">
        <v>900</v>
      </c>
    </row>
    <row r="7" spans="1:1" ht="5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估价对象为北京市出让国有建设用地使用权及在建建筑物房地产，为所有。根据《国有土地使用证》[]，估价对象（分摊）出让国有建设用地使用权面积为37485.77平方米，建筑面积为74277.4199999999平方米。</v>
      </c>
    </row>
    <row r="8" spans="1:1" ht="57.75">
      <c r="A8" s="1383" t="s">
        <v>901</v>
      </c>
    </row>
    <row r="9" spans="1:1" ht="18.75">
      <c r="A9" s="1382" t="s">
        <v>902</v>
      </c>
    </row>
    <row r="10" spans="1:1" ht="7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37485.77平方米，规划建筑面积为74277.4199999999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2025年5月26日（评估专业人员实地查勘之日）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0" t="str">
        <f>IF(项目基本情况!B9="房地产市场价值","——",IF(项目基本情况!E9="——","",定义!C57))</f>
        <v/>
      </c>
    </row>
    <row r="23" spans="1:1" ht="18.75">
      <c r="A23" s="1379" t="s">
        <v>896</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2425</v>
      </c>
      <c r="B1" s="2580"/>
      <c r="C1" s="2592"/>
      <c r="D1" s="2592"/>
      <c r="E1" s="2581"/>
      <c r="F1" s="2582"/>
      <c r="G1" s="2583"/>
      <c r="J1" s="2586" t="s">
        <v>2304</v>
      </c>
      <c r="K1" s="2587"/>
      <c r="L1" s="2587"/>
      <c r="M1" s="2587"/>
      <c r="N1" s="2587"/>
      <c r="O1" s="2587"/>
      <c r="P1" s="2587"/>
      <c r="Q1" s="2587"/>
      <c r="R1" s="2588"/>
      <c r="S1" s="2589"/>
      <c r="T1" s="2589"/>
      <c r="U1" s="2589"/>
    </row>
    <row r="2" spans="1:22" s="2601" customFormat="1" ht="13.15" customHeight="1">
      <c r="A2" s="1291" t="s">
        <v>2305</v>
      </c>
      <c r="B2" s="2591" t="e">
        <f>IF(D2="——",C40,C40+E2)</f>
        <v>#DIV/0!</v>
      </c>
      <c r="C2" s="2592" t="s">
        <v>2306</v>
      </c>
      <c r="D2" s="3135" t="s">
        <v>3348</v>
      </c>
      <c r="E2" s="3136"/>
      <c r="F2" s="2594"/>
      <c r="G2" s="2595"/>
      <c r="H2" s="2596"/>
      <c r="I2" s="2597"/>
      <c r="J2" s="3431" t="s">
        <v>2307</v>
      </c>
      <c r="K2" s="3432"/>
      <c r="L2" s="2598" t="s">
        <v>2308</v>
      </c>
      <c r="M2" s="2598" t="s">
        <v>2309</v>
      </c>
      <c r="N2" s="2598" t="s">
        <v>2310</v>
      </c>
      <c r="O2" s="2598" t="s">
        <v>2311</v>
      </c>
      <c r="P2" s="2598" t="s">
        <v>2312</v>
      </c>
      <c r="Q2" s="2599" t="s">
        <v>2313</v>
      </c>
      <c r="R2" s="2600" t="s">
        <v>2314</v>
      </c>
      <c r="S2" s="2589"/>
      <c r="T2" s="2589"/>
      <c r="U2" s="2589"/>
      <c r="V2" s="2597"/>
    </row>
    <row r="3" spans="1:22" s="2601" customFormat="1" ht="13.15" customHeight="1">
      <c r="A3" s="2602" t="s">
        <v>2315</v>
      </c>
      <c r="B3" s="2603" t="e">
        <f>ROUND(B2*10000/B4,0)</f>
        <v>#DIV/0!</v>
      </c>
      <c r="C3" s="2592" t="s">
        <v>2316</v>
      </c>
      <c r="D3" s="2592"/>
      <c r="E3" s="2593"/>
      <c r="F3" s="2594"/>
      <c r="G3" s="2595"/>
      <c r="H3" s="2596"/>
      <c r="I3" s="2597"/>
      <c r="J3" s="3433" t="s">
        <v>2317</v>
      </c>
      <c r="K3" s="3434"/>
      <c r="L3" s="2604"/>
      <c r="M3" s="2604"/>
      <c r="N3" s="2604"/>
      <c r="O3" s="2604"/>
      <c r="P3" s="2604"/>
      <c r="Q3" s="2605"/>
      <c r="R3" s="2606">
        <f>SUM(L3:Q3)</f>
        <v>0</v>
      </c>
      <c r="S3" s="2589"/>
      <c r="T3" s="2589"/>
      <c r="U3" s="2589"/>
      <c r="V3" s="2597"/>
    </row>
    <row r="4" spans="1:22" s="2601" customFormat="1" ht="13.15" customHeight="1">
      <c r="A4" s="2607" t="s">
        <v>2318</v>
      </c>
      <c r="B4" s="2608"/>
      <c r="C4" s="2592"/>
      <c r="D4" s="2592"/>
      <c r="E4" s="2593"/>
      <c r="F4" s="2594"/>
      <c r="G4" s="2595"/>
      <c r="H4" s="2596"/>
      <c r="I4" s="2597"/>
      <c r="J4" s="3433" t="s">
        <v>2319</v>
      </c>
      <c r="K4" s="3434"/>
      <c r="L4" s="2609"/>
      <c r="M4" s="2609"/>
      <c r="N4" s="2609"/>
      <c r="O4" s="2609"/>
      <c r="P4" s="2609"/>
      <c r="Q4" s="2610"/>
      <c r="R4" s="2611">
        <f>SUM(L4:Q4)</f>
        <v>0</v>
      </c>
      <c r="S4" s="2589"/>
      <c r="T4" s="2589"/>
      <c r="U4" s="2589"/>
      <c r="V4" s="2597"/>
    </row>
    <row r="5" spans="1:22" s="2601" customFormat="1" ht="13.15" customHeight="1" thickBot="1">
      <c r="A5" s="2612" t="s">
        <v>2320</v>
      </c>
      <c r="B5" s="2613"/>
      <c r="C5" s="2592"/>
      <c r="D5" s="2614"/>
      <c r="E5" s="2594"/>
      <c r="F5" s="2594"/>
      <c r="G5" s="2595"/>
      <c r="H5" s="2596"/>
      <c r="I5" s="2597"/>
      <c r="J5" s="2615" t="s">
        <v>2321</v>
      </c>
      <c r="K5" s="2616"/>
      <c r="L5" s="2616"/>
      <c r="M5" s="2617"/>
      <c r="N5" s="2617"/>
      <c r="O5" s="2617"/>
      <c r="P5" s="2617"/>
      <c r="Q5" s="2617"/>
      <c r="R5" s="2600">
        <f>SUM(R14,R19,R24,R25,R27,R28)</f>
        <v>0</v>
      </c>
      <c r="S5" s="2589"/>
      <c r="T5" s="2589" t="s">
        <v>2322</v>
      </c>
      <c r="U5" s="2589" t="e">
        <f>ROUND(R5*10000/365/R3,1)</f>
        <v>#DIV/0!</v>
      </c>
      <c r="V5" s="2597"/>
    </row>
    <row r="6" spans="1:22" s="2601" customFormat="1" ht="13.15" customHeight="1" thickBot="1">
      <c r="A6" s="3439" t="s">
        <v>2323</v>
      </c>
      <c r="B6" s="3440"/>
      <c r="C6" s="3441"/>
      <c r="D6" s="2618"/>
      <c r="E6" s="2619"/>
      <c r="F6" s="2620"/>
      <c r="G6" s="2621"/>
      <c r="H6" s="2596"/>
      <c r="I6" s="2597"/>
      <c r="J6" s="3425">
        <v>1</v>
      </c>
      <c r="K6" s="3426" t="s">
        <v>2324</v>
      </c>
      <c r="L6" s="2622" t="s">
        <v>2325</v>
      </c>
      <c r="M6" s="2623" t="s">
        <v>2326</v>
      </c>
      <c r="N6" s="2623" t="s">
        <v>2327</v>
      </c>
      <c r="O6" s="2623" t="s">
        <v>2328</v>
      </c>
      <c r="P6" s="2623" t="s">
        <v>2329</v>
      </c>
      <c r="Q6" s="2623" t="s">
        <v>2330</v>
      </c>
      <c r="R6" s="2606" t="s">
        <v>2331</v>
      </c>
      <c r="S6" s="2589"/>
      <c r="T6" s="2589" t="s">
        <v>2332</v>
      </c>
      <c r="U6" s="2589"/>
      <c r="V6" s="2597"/>
    </row>
    <row r="7" spans="1:22" s="2601" customFormat="1" ht="13.15" customHeight="1">
      <c r="A7" s="2624" t="s">
        <v>2333</v>
      </c>
      <c r="B7" s="2625"/>
      <c r="C7" s="2626"/>
      <c r="D7" s="2627">
        <f>SUM(D9,D10,D11,D17,0)</f>
        <v>0</v>
      </c>
      <c r="E7" s="2628" t="e">
        <f>E9+E10+E11+E17</f>
        <v>#DIV/0!</v>
      </c>
      <c r="F7" s="2629"/>
      <c r="G7" s="2630"/>
      <c r="H7" s="2596"/>
      <c r="I7" s="2597"/>
      <c r="J7" s="3425"/>
      <c r="K7" s="3427"/>
      <c r="L7" s="2631" t="s">
        <v>2334</v>
      </c>
      <c r="M7" s="2632"/>
      <c r="N7" s="2608"/>
      <c r="O7" s="2633"/>
      <c r="P7" s="2633"/>
      <c r="Q7" s="2634">
        <v>365</v>
      </c>
      <c r="R7" s="2635">
        <f>ROUND(M7*N7*O7*P7*Q7/10000,0)</f>
        <v>0</v>
      </c>
      <c r="S7" s="2589"/>
      <c r="T7" s="2589" t="s">
        <v>2335</v>
      </c>
      <c r="U7" s="2589"/>
      <c r="V7" s="2597"/>
    </row>
    <row r="8" spans="1:22" s="2601" customFormat="1" ht="13.15" customHeight="1">
      <c r="A8" s="2636" t="s">
        <v>2336</v>
      </c>
      <c r="B8" s="3442" t="s">
        <v>2337</v>
      </c>
      <c r="C8" s="3443"/>
      <c r="D8" s="2637" t="s">
        <v>2338</v>
      </c>
      <c r="E8" s="2638" t="s">
        <v>2339</v>
      </c>
      <c r="F8" s="2639" t="s">
        <v>2340</v>
      </c>
      <c r="G8" s="2640"/>
      <c r="H8" s="2596"/>
      <c r="I8" s="2597"/>
      <c r="J8" s="3425"/>
      <c r="K8" s="3427"/>
      <c r="L8" s="2631" t="s">
        <v>2341</v>
      </c>
      <c r="M8" s="2632"/>
      <c r="N8" s="2608"/>
      <c r="O8" s="2633"/>
      <c r="P8" s="2633"/>
      <c r="Q8" s="2634">
        <v>365</v>
      </c>
      <c r="R8" s="2635">
        <f t="shared" ref="R8:R13" si="0">ROUND(M8*N8*O8*P8*Q8/10000,0)</f>
        <v>0</v>
      </c>
      <c r="S8" s="2589"/>
      <c r="T8" s="2589" t="s">
        <v>2342</v>
      </c>
      <c r="U8" s="2589"/>
      <c r="V8" s="2597"/>
    </row>
    <row r="9" spans="1:22" s="2601" customFormat="1" ht="13.15" customHeight="1">
      <c r="A9" s="2636">
        <v>1</v>
      </c>
      <c r="B9" s="3442" t="s">
        <v>2343</v>
      </c>
      <c r="C9" s="3443"/>
      <c r="D9" s="2637">
        <f>ROUND(D6*E9,0)</f>
        <v>0</v>
      </c>
      <c r="E9" s="2641"/>
      <c r="F9" s="2642" t="s">
        <v>2344</v>
      </c>
      <c r="G9" s="2621"/>
      <c r="H9" s="2596"/>
      <c r="I9" s="2597"/>
      <c r="J9" s="3425"/>
      <c r="K9" s="3427"/>
      <c r="L9" s="2631" t="s">
        <v>2345</v>
      </c>
      <c r="M9" s="2632"/>
      <c r="N9" s="2608"/>
      <c r="O9" s="2633"/>
      <c r="P9" s="2633"/>
      <c r="Q9" s="2634">
        <v>365</v>
      </c>
      <c r="R9" s="2635">
        <f t="shared" si="0"/>
        <v>0</v>
      </c>
      <c r="S9" s="2589"/>
      <c r="T9" s="2589"/>
      <c r="U9" s="2589"/>
      <c r="V9" s="2597"/>
    </row>
    <row r="10" spans="1:22" s="2601" customFormat="1" ht="13.15" customHeight="1">
      <c r="A10" s="2636">
        <v>2</v>
      </c>
      <c r="B10" s="3442" t="s">
        <v>2346</v>
      </c>
      <c r="C10" s="3443"/>
      <c r="D10" s="2637">
        <f>ROUND(D6*E10,0)</f>
        <v>0</v>
      </c>
      <c r="E10" s="2641"/>
      <c r="F10" s="2642" t="s">
        <v>2347</v>
      </c>
      <c r="G10" s="2621"/>
      <c r="H10" s="2596"/>
      <c r="I10" s="2597"/>
      <c r="J10" s="3425"/>
      <c r="K10" s="3427"/>
      <c r="L10" s="2631" t="s">
        <v>2348</v>
      </c>
      <c r="M10" s="2632"/>
      <c r="N10" s="2608"/>
      <c r="O10" s="2633"/>
      <c r="P10" s="2633"/>
      <c r="Q10" s="2634">
        <v>365</v>
      </c>
      <c r="R10" s="2635">
        <f t="shared" si="0"/>
        <v>0</v>
      </c>
      <c r="S10" s="2589"/>
      <c r="T10" s="2589"/>
      <c r="U10" s="2589"/>
      <c r="V10" s="2597"/>
    </row>
    <row r="11" spans="1:22" s="2601" customFormat="1" ht="13.15" customHeight="1">
      <c r="A11" s="2636">
        <v>3</v>
      </c>
      <c r="B11" s="3442" t="s">
        <v>2349</v>
      </c>
      <c r="C11" s="3443"/>
      <c r="D11" s="2637">
        <f>D12+D14+D15+D16</f>
        <v>0</v>
      </c>
      <c r="E11" s="2643" t="e">
        <f>D11/D6</f>
        <v>#DIV/0!</v>
      </c>
      <c r="F11" s="2639"/>
      <c r="G11" s="2640"/>
      <c r="H11" s="2596"/>
      <c r="I11" s="2597"/>
      <c r="J11" s="3425"/>
      <c r="K11" s="3427"/>
      <c r="L11" s="2631" t="s">
        <v>2350</v>
      </c>
      <c r="M11" s="2632"/>
      <c r="N11" s="2608"/>
      <c r="O11" s="2633"/>
      <c r="P11" s="2633"/>
      <c r="Q11" s="2634">
        <v>365</v>
      </c>
      <c r="R11" s="2635">
        <f t="shared" si="0"/>
        <v>0</v>
      </c>
      <c r="S11" s="2589"/>
      <c r="T11" s="2589"/>
      <c r="U11" s="2589"/>
      <c r="V11" s="2597"/>
    </row>
    <row r="12" spans="1:22" s="2601" customFormat="1" ht="13.15" customHeight="1">
      <c r="A12" s="2644" t="s">
        <v>2351</v>
      </c>
      <c r="B12" s="3435" t="s">
        <v>2352</v>
      </c>
      <c r="C12" s="3436"/>
      <c r="D12" s="2645">
        <f>ROUND(D13*1.2%*(1-30%),0)</f>
        <v>0</v>
      </c>
      <c r="E12" s="2646">
        <v>1.2E-2</v>
      </c>
      <c r="F12" s="2639" t="s">
        <v>2353</v>
      </c>
      <c r="G12" s="2640"/>
      <c r="H12" s="2596"/>
      <c r="I12" s="2597"/>
      <c r="J12" s="3425"/>
      <c r="K12" s="3427"/>
      <c r="L12" s="2631" t="s">
        <v>2354</v>
      </c>
      <c r="M12" s="2632"/>
      <c r="N12" s="2608"/>
      <c r="O12" s="2633"/>
      <c r="P12" s="2633"/>
      <c r="Q12" s="2634">
        <v>365</v>
      </c>
      <c r="R12" s="2635">
        <f t="shared" si="0"/>
        <v>0</v>
      </c>
      <c r="S12" s="2589"/>
      <c r="T12" s="2589"/>
      <c r="U12" s="2589"/>
      <c r="V12" s="2597"/>
    </row>
    <row r="13" spans="1:22" s="2601" customFormat="1" ht="13.15" customHeight="1">
      <c r="A13" s="2644"/>
      <c r="B13" s="2647"/>
      <c r="C13" s="2648" t="s">
        <v>2355</v>
      </c>
      <c r="D13" s="2649"/>
      <c r="E13" s="2650"/>
      <c r="F13" s="2639"/>
      <c r="G13" s="2640"/>
      <c r="H13" s="2596"/>
      <c r="I13" s="2597"/>
      <c r="J13" s="3425"/>
      <c r="K13" s="3427"/>
      <c r="L13" s="2631" t="s">
        <v>2356</v>
      </c>
      <c r="M13" s="2632"/>
      <c r="N13" s="2608"/>
      <c r="O13" s="2633"/>
      <c r="P13" s="2633"/>
      <c r="Q13" s="2634">
        <v>365</v>
      </c>
      <c r="R13" s="2635">
        <f t="shared" si="0"/>
        <v>0</v>
      </c>
      <c r="S13" s="2589"/>
      <c r="T13" s="2589"/>
      <c r="U13" s="2589"/>
      <c r="V13" s="2597"/>
    </row>
    <row r="14" spans="1:22" s="2601" customFormat="1" ht="13.15" customHeight="1">
      <c r="A14" s="2644" t="s">
        <v>2357</v>
      </c>
      <c r="B14" s="3435" t="s">
        <v>2358</v>
      </c>
      <c r="C14" s="3436"/>
      <c r="D14" s="2645">
        <f>ROUND(E14*B5/10000,0)</f>
        <v>0</v>
      </c>
      <c r="E14" s="2634"/>
      <c r="F14" s="2639" t="s">
        <v>2359</v>
      </c>
      <c r="G14" s="2640"/>
      <c r="H14" s="2596"/>
      <c r="I14" s="2597"/>
      <c r="J14" s="3425"/>
      <c r="K14" s="3428"/>
      <c r="L14" s="2651" t="s">
        <v>2360</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2361</v>
      </c>
      <c r="B15" s="3435" t="s">
        <v>2362</v>
      </c>
      <c r="C15" s="3436"/>
      <c r="D15" s="2645">
        <f>ROUND(D6*E15,0)</f>
        <v>0</v>
      </c>
      <c r="E15" s="2646">
        <v>5.5E-2</v>
      </c>
      <c r="F15" s="2639" t="s">
        <v>2363</v>
      </c>
      <c r="G15" s="2621"/>
      <c r="H15" s="2596"/>
      <c r="I15" s="2597"/>
      <c r="J15" s="3425">
        <v>2</v>
      </c>
      <c r="K15" s="3426" t="s">
        <v>2364</v>
      </c>
      <c r="L15" s="2631" t="s">
        <v>2365</v>
      </c>
      <c r="M15" s="2632" t="s">
        <v>2366</v>
      </c>
      <c r="N15" s="2632" t="s">
        <v>2367</v>
      </c>
      <c r="O15" s="2633" t="s">
        <v>2368</v>
      </c>
      <c r="P15" s="2633" t="s">
        <v>2330</v>
      </c>
      <c r="Q15" s="2608" t="s">
        <v>2369</v>
      </c>
      <c r="R15" s="2655" t="s">
        <v>2331</v>
      </c>
      <c r="S15" s="2589"/>
      <c r="T15" s="2589"/>
      <c r="U15" s="2589"/>
      <c r="V15" s="2597"/>
    </row>
    <row r="16" spans="1:22" s="2601" customFormat="1" ht="13.15" customHeight="1">
      <c r="A16" s="2644" t="s">
        <v>2370</v>
      </c>
      <c r="B16" s="3435" t="s">
        <v>2371</v>
      </c>
      <c r="C16" s="3436"/>
      <c r="D16" s="2656">
        <f>D6*E16</f>
        <v>0</v>
      </c>
      <c r="E16" s="2657"/>
      <c r="F16" s="2642" t="s">
        <v>2372</v>
      </c>
      <c r="G16" s="2621"/>
      <c r="H16" s="2596"/>
      <c r="I16" s="2597"/>
      <c r="J16" s="3425"/>
      <c r="K16" s="3427"/>
      <c r="L16" s="2631" t="s">
        <v>2373</v>
      </c>
      <c r="M16" s="2632"/>
      <c r="N16" s="2632"/>
      <c r="O16" s="2633"/>
      <c r="P16" s="2634">
        <v>365</v>
      </c>
      <c r="Q16" s="2608"/>
      <c r="R16" s="2655">
        <f>ROUND(M16*N16*O16*P16/10000,0)</f>
        <v>0</v>
      </c>
      <c r="S16" s="2589"/>
      <c r="T16" s="2589"/>
      <c r="U16" s="2589"/>
      <c r="V16" s="2597"/>
    </row>
    <row r="17" spans="1:22" s="2601" customFormat="1" ht="13.15" customHeight="1" thickBot="1">
      <c r="A17" s="2658">
        <v>4</v>
      </c>
      <c r="B17" s="3437" t="s">
        <v>2374</v>
      </c>
      <c r="C17" s="3438"/>
      <c r="D17" s="2659">
        <f>ROUND(D6*E17,0)</f>
        <v>0</v>
      </c>
      <c r="E17" s="2660"/>
      <c r="F17" s="2661" t="s">
        <v>2375</v>
      </c>
      <c r="G17" s="2621"/>
      <c r="H17" s="2596"/>
      <c r="I17" s="2597"/>
      <c r="J17" s="3425"/>
      <c r="K17" s="3427"/>
      <c r="L17" s="2631" t="s">
        <v>2376</v>
      </c>
      <c r="M17" s="2632"/>
      <c r="N17" s="2632"/>
      <c r="O17" s="2633"/>
      <c r="P17" s="2634">
        <v>365</v>
      </c>
      <c r="Q17" s="2608"/>
      <c r="R17" s="2655">
        <f>ROUND(M17*N17*O17*P17/10000,0)</f>
        <v>0</v>
      </c>
      <c r="S17" s="2589"/>
      <c r="T17" s="2589"/>
      <c r="U17" s="2589"/>
      <c r="V17" s="2597"/>
    </row>
    <row r="18" spans="1:22" s="2601" customFormat="1" ht="13.15" customHeight="1" thickBot="1">
      <c r="A18" s="2624" t="s">
        <v>2377</v>
      </c>
      <c r="B18" s="2625"/>
      <c r="C18" s="2625"/>
      <c r="D18" s="2662">
        <f>ROUND(D6*E18,0)</f>
        <v>0</v>
      </c>
      <c r="E18" s="2663"/>
      <c r="F18" s="2664" t="s">
        <v>2378</v>
      </c>
      <c r="G18" s="2621"/>
      <c r="H18" s="2596"/>
      <c r="I18" s="2597"/>
      <c r="J18" s="3425"/>
      <c r="K18" s="3427"/>
      <c r="L18" s="2631" t="s">
        <v>2379</v>
      </c>
      <c r="M18" s="2632"/>
      <c r="N18" s="2632"/>
      <c r="O18" s="2633"/>
      <c r="P18" s="2634">
        <v>365</v>
      </c>
      <c r="Q18" s="2608"/>
      <c r="R18" s="2655">
        <f>ROUND(M18*N18*O18*P18/10000,0)</f>
        <v>0</v>
      </c>
      <c r="S18" s="2589"/>
      <c r="T18" s="2589"/>
      <c r="U18" s="2589"/>
      <c r="V18" s="2597"/>
    </row>
    <row r="19" spans="1:22" s="2601" customFormat="1" ht="13.15" customHeight="1" thickBot="1">
      <c r="A19" s="2665" t="s">
        <v>2380</v>
      </c>
      <c r="B19" s="2619"/>
      <c r="C19" s="2619"/>
      <c r="D19" s="2619"/>
      <c r="E19" s="2619"/>
      <c r="F19" s="2620"/>
      <c r="G19" s="2640"/>
      <c r="H19" s="2596"/>
      <c r="I19" s="2597"/>
      <c r="J19" s="3425"/>
      <c r="K19" s="3428"/>
      <c r="L19" s="2651" t="s">
        <v>2360</v>
      </c>
      <c r="M19" s="2652"/>
      <c r="N19" s="2652">
        <f>SUM(N16:N18)</f>
        <v>0</v>
      </c>
      <c r="O19" s="2653"/>
      <c r="P19" s="2666" t="s">
        <v>2424</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25">
        <v>3</v>
      </c>
      <c r="K20" s="3426" t="s">
        <v>2381</v>
      </c>
      <c r="L20" s="2631" t="s">
        <v>2382</v>
      </c>
      <c r="M20" s="2632" t="s">
        <v>2383</v>
      </c>
      <c r="N20" s="2669" t="s">
        <v>2384</v>
      </c>
      <c r="O20" s="2633" t="s">
        <v>2385</v>
      </c>
      <c r="P20" s="2634" t="s">
        <v>2386</v>
      </c>
      <c r="Q20" s="2608" t="s">
        <v>2387</v>
      </c>
      <c r="R20" s="2655" t="s">
        <v>2388</v>
      </c>
      <c r="S20" s="2589"/>
      <c r="T20" s="2589"/>
      <c r="U20" s="2589"/>
      <c r="V20" s="2597"/>
    </row>
    <row r="21" spans="1:22" s="2601" customFormat="1" ht="13.15" customHeight="1">
      <c r="A21" s="2624"/>
      <c r="B21" s="2625"/>
      <c r="C21" s="2670" t="s">
        <v>2389</v>
      </c>
      <c r="D21" s="2671" t="s">
        <v>2390</v>
      </c>
      <c r="E21" s="2672" t="s">
        <v>2391</v>
      </c>
      <c r="F21" s="2668"/>
      <c r="G21" s="2640"/>
      <c r="H21" s="2596"/>
      <c r="I21" s="2597"/>
      <c r="J21" s="3425"/>
      <c r="K21" s="3427"/>
      <c r="L21" s="2631" t="s">
        <v>2392</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2393</v>
      </c>
      <c r="D22" s="2675" t="s">
        <v>2394</v>
      </c>
      <c r="E22" s="2676" t="s">
        <v>2395</v>
      </c>
      <c r="F22" s="2668"/>
      <c r="G22" s="2589"/>
      <c r="H22" s="2596"/>
      <c r="I22" s="2597"/>
      <c r="J22" s="3425"/>
      <c r="K22" s="3427"/>
      <c r="L22" s="2631" t="s">
        <v>2396</v>
      </c>
      <c r="M22" s="2632"/>
      <c r="N22" s="2632"/>
      <c r="O22" s="2633"/>
      <c r="P22" s="2634">
        <v>365</v>
      </c>
      <c r="Q22" s="2608"/>
      <c r="R22" s="2673">
        <f>ROUND(M22*N22*O22*P22/10000,0)</f>
        <v>0</v>
      </c>
      <c r="S22" s="2589"/>
      <c r="T22" s="2589"/>
      <c r="U22" s="2589"/>
      <c r="V22" s="2597"/>
    </row>
    <row r="23" spans="1:22" s="2601" customFormat="1" ht="13.15" customHeight="1">
      <c r="A23" s="2677">
        <v>1</v>
      </c>
      <c r="B23" s="2678" t="s">
        <v>2397</v>
      </c>
      <c r="C23" s="2679">
        <f>D6</f>
        <v>0</v>
      </c>
      <c r="D23" s="2680">
        <f>C23*(1+D24)</f>
        <v>0</v>
      </c>
      <c r="E23" s="2681">
        <f>D23*(1+E24)</f>
        <v>0</v>
      </c>
      <c r="F23" s="2682"/>
      <c r="G23" s="2683"/>
      <c r="H23" s="2596"/>
      <c r="I23" s="2597"/>
      <c r="J23" s="3425"/>
      <c r="K23" s="3427"/>
      <c r="L23" s="2631" t="s">
        <v>2398</v>
      </c>
      <c r="M23" s="2632"/>
      <c r="N23" s="2632"/>
      <c r="O23" s="2633"/>
      <c r="P23" s="2634">
        <v>365</v>
      </c>
      <c r="Q23" s="2608"/>
      <c r="R23" s="2673">
        <f>ROUND(M23*N23*O23*P23/10000,0)</f>
        <v>0</v>
      </c>
      <c r="S23" s="2589"/>
      <c r="T23" s="2589"/>
      <c r="U23" s="2589"/>
      <c r="V23" s="2597"/>
    </row>
    <row r="24" spans="1:22" s="2601" customFormat="1" ht="13.15" customHeight="1">
      <c r="A24" s="2684"/>
      <c r="B24" s="2685" t="s">
        <v>2399</v>
      </c>
      <c r="C24" s="2686"/>
      <c r="D24" s="2687"/>
      <c r="E24" s="2688"/>
      <c r="F24" s="2689"/>
      <c r="G24" s="2683"/>
      <c r="H24" s="2596"/>
      <c r="I24" s="2597"/>
      <c r="J24" s="3425"/>
      <c r="K24" s="3428"/>
      <c r="L24" s="2651" t="s">
        <v>2360</v>
      </c>
      <c r="M24" s="2652">
        <f>SUM(M21:M23)</f>
        <v>0</v>
      </c>
      <c r="N24" s="2652"/>
      <c r="O24" s="2653"/>
      <c r="P24" s="2666" t="s">
        <v>2424</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2400</v>
      </c>
      <c r="L25" s="2692"/>
      <c r="M25" s="2692"/>
      <c r="N25" s="2692"/>
      <c r="O25" s="2692"/>
      <c r="P25" s="2693"/>
      <c r="Q25" s="2694">
        <v>0</v>
      </c>
      <c r="R25" s="2667">
        <f>ROUND(R14*Q25,0)</f>
        <v>0</v>
      </c>
      <c r="S25" s="2589"/>
      <c r="T25" s="2589"/>
      <c r="U25" s="2589"/>
      <c r="V25" s="2695"/>
    </row>
    <row r="26" spans="1:22" s="2696" customFormat="1" ht="13.15" customHeight="1">
      <c r="A26" s="2677">
        <v>2</v>
      </c>
      <c r="B26" s="2678" t="s">
        <v>2401</v>
      </c>
      <c r="C26" s="2679">
        <f>D7</f>
        <v>0</v>
      </c>
      <c r="D26" s="2680">
        <f>D23*D27</f>
        <v>0</v>
      </c>
      <c r="E26" s="2681">
        <f>E23*E27</f>
        <v>0</v>
      </c>
      <c r="F26" s="2682"/>
      <c r="G26" s="2683"/>
      <c r="H26" s="2596"/>
      <c r="I26" s="2597"/>
      <c r="J26" s="3429">
        <v>5</v>
      </c>
      <c r="K26" s="2697" t="s">
        <v>2402</v>
      </c>
      <c r="L26" s="2698"/>
      <c r="M26" s="2699"/>
      <c r="N26" s="2700" t="s">
        <v>2403</v>
      </c>
      <c r="O26" s="2700" t="s">
        <v>2404</v>
      </c>
      <c r="P26" s="2701" t="s">
        <v>2405</v>
      </c>
      <c r="Q26" s="2701" t="s">
        <v>2406</v>
      </c>
      <c r="R26" s="2606" t="s">
        <v>2331</v>
      </c>
      <c r="S26" s="2640"/>
      <c r="T26" s="2640"/>
      <c r="U26" s="2640"/>
      <c r="V26" s="2695"/>
    </row>
    <row r="27" spans="1:22" s="2601" customFormat="1" ht="13.15" customHeight="1">
      <c r="A27" s="2684"/>
      <c r="B27" s="2685" t="s">
        <v>2407</v>
      </c>
      <c r="C27" s="2702" t="e">
        <f>E7</f>
        <v>#DIV/0!</v>
      </c>
      <c r="D27" s="2687"/>
      <c r="E27" s="2688"/>
      <c r="F27" s="2689"/>
      <c r="G27" s="2683"/>
      <c r="H27" s="2703"/>
      <c r="I27" s="2695"/>
      <c r="J27" s="3430"/>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2408</v>
      </c>
      <c r="F28" s="2689"/>
      <c r="G28" s="2589"/>
      <c r="H28" s="2703"/>
      <c r="I28" s="2695"/>
      <c r="J28" s="2709">
        <v>6</v>
      </c>
      <c r="K28" s="2710" t="s">
        <v>2409</v>
      </c>
      <c r="L28" s="2711" t="s">
        <v>2410</v>
      </c>
      <c r="M28" s="2712"/>
      <c r="N28" s="2711" t="s">
        <v>2411</v>
      </c>
      <c r="O28" s="2713"/>
      <c r="P28" s="2711" t="s">
        <v>2412</v>
      </c>
      <c r="Q28" s="2714">
        <v>1.4999999999999999E-2</v>
      </c>
      <c r="R28" s="2715"/>
      <c r="S28" s="2589"/>
      <c r="T28" s="2589"/>
      <c r="U28" s="2589"/>
      <c r="V28" s="2695"/>
    </row>
    <row r="29" spans="1:22" s="2696" customFormat="1" ht="13.15" customHeight="1">
      <c r="A29" s="2677">
        <v>3</v>
      </c>
      <c r="B29" s="2678" t="s">
        <v>2413</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2407</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2414</v>
      </c>
      <c r="K31" s="2587"/>
      <c r="L31" s="2587"/>
      <c r="M31" s="2587"/>
      <c r="N31" s="2587"/>
      <c r="O31" s="2587"/>
      <c r="P31" s="2587"/>
      <c r="Q31" s="2587"/>
      <c r="R31" s="2588"/>
      <c r="S31" s="2589"/>
      <c r="T31" s="2589"/>
      <c r="U31" s="2589"/>
      <c r="V31" s="2695"/>
    </row>
    <row r="32" spans="1:22" s="2696" customFormat="1" ht="13.15" customHeight="1">
      <c r="A32" s="2677">
        <v>4</v>
      </c>
      <c r="B32" s="2678" t="s">
        <v>2415</v>
      </c>
      <c r="C32" s="2679">
        <f>C23-C26-C29</f>
        <v>0</v>
      </c>
      <c r="D32" s="2680">
        <f>D23-D26-D29</f>
        <v>0</v>
      </c>
      <c r="E32" s="2681">
        <f>E23-E26-E29</f>
        <v>0</v>
      </c>
      <c r="F32" s="2682"/>
      <c r="G32" s="2589"/>
      <c r="H32" s="2596"/>
      <c r="I32" s="2597"/>
      <c r="J32" s="3431" t="s">
        <v>2307</v>
      </c>
      <c r="K32" s="3432"/>
      <c r="L32" s="2598" t="s">
        <v>2308</v>
      </c>
      <c r="M32" s="2598" t="s">
        <v>2309</v>
      </c>
      <c r="N32" s="2598" t="s">
        <v>2310</v>
      </c>
      <c r="O32" s="2598" t="s">
        <v>2311</v>
      </c>
      <c r="P32" s="2598" t="s">
        <v>2312</v>
      </c>
      <c r="Q32" s="2599" t="s">
        <v>2313</v>
      </c>
      <c r="R32" s="2718" t="s">
        <v>2314</v>
      </c>
      <c r="S32" s="2589"/>
      <c r="T32" s="2589"/>
      <c r="U32" s="2589"/>
      <c r="V32" s="2695"/>
    </row>
    <row r="33" spans="1:23" s="2601" customFormat="1" ht="13.15" customHeight="1">
      <c r="A33" s="2677"/>
      <c r="B33" s="2678"/>
      <c r="C33" s="2679"/>
      <c r="D33" s="2719"/>
      <c r="E33" s="2720"/>
      <c r="F33" s="2682"/>
      <c r="G33" s="2589"/>
      <c r="H33" s="2703"/>
      <c r="I33" s="2695"/>
      <c r="J33" s="3433" t="s">
        <v>2317</v>
      </c>
      <c r="K33" s="3434"/>
      <c r="L33" s="2604"/>
      <c r="M33" s="2604"/>
      <c r="N33" s="2604"/>
      <c r="O33" s="2604"/>
      <c r="P33" s="2604"/>
      <c r="Q33" s="2605"/>
      <c r="R33" s="2721">
        <f>SUM(L33:Q33)</f>
        <v>0</v>
      </c>
      <c r="S33" s="2589"/>
      <c r="T33" s="2589"/>
      <c r="U33" s="2589"/>
      <c r="V33" s="2597"/>
    </row>
    <row r="34" spans="1:23" s="2601" customFormat="1" ht="13.15" customHeight="1">
      <c r="A34" s="2677">
        <v>5</v>
      </c>
      <c r="B34" s="2678" t="s">
        <v>2416</v>
      </c>
      <c r="C34" s="2722"/>
      <c r="D34" s="2723"/>
      <c r="E34" s="2724"/>
      <c r="F34" s="2682"/>
      <c r="G34" s="2589"/>
      <c r="H34" s="2703"/>
      <c r="I34" s="2695"/>
      <c r="J34" s="3433" t="s">
        <v>2319</v>
      </c>
      <c r="K34" s="3434"/>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2417</v>
      </c>
      <c r="C35" s="2726"/>
      <c r="D35" s="2727"/>
      <c r="E35" s="2728"/>
      <c r="F35" s="2682"/>
      <c r="G35" s="2729"/>
      <c r="H35" s="2596"/>
      <c r="I35" s="2695"/>
      <c r="J35" s="2615" t="s">
        <v>2321</v>
      </c>
      <c r="K35" s="2616"/>
      <c r="L35" s="2616"/>
      <c r="M35" s="2617"/>
      <c r="N35" s="2617"/>
      <c r="O35" s="2617"/>
      <c r="P35" s="2617"/>
      <c r="Q35" s="2617"/>
      <c r="R35" s="2730">
        <f>R40+R41+R43</f>
        <v>0</v>
      </c>
      <c r="S35" s="2589"/>
      <c r="T35" s="2589" t="s">
        <v>2322</v>
      </c>
      <c r="U35" s="2589"/>
      <c r="V35" s="2597"/>
    </row>
    <row r="36" spans="1:23" s="2601" customFormat="1" ht="13.15" customHeight="1" thickBot="1">
      <c r="A36" s="2677">
        <v>7</v>
      </c>
      <c r="B36" s="2731" t="s">
        <v>2418</v>
      </c>
      <c r="C36" s="2732"/>
      <c r="D36" s="2733"/>
      <c r="E36" s="2734"/>
      <c r="F36" s="2735">
        <f>C36+D36+E36</f>
        <v>0</v>
      </c>
      <c r="G36" s="2589"/>
      <c r="H36" s="2596"/>
      <c r="I36" s="2597"/>
      <c r="J36" s="3425">
        <v>1</v>
      </c>
      <c r="K36" s="3426" t="s">
        <v>2419</v>
      </c>
      <c r="L36" s="2622"/>
      <c r="M36" s="2623"/>
      <c r="N36" s="2623"/>
      <c r="O36" s="2623"/>
      <c r="P36" s="2623"/>
      <c r="Q36" s="2623"/>
      <c r="R36" s="2606" t="s">
        <v>2331</v>
      </c>
      <c r="S36" s="2589"/>
      <c r="T36" s="2589" t="s">
        <v>2332</v>
      </c>
      <c r="U36" s="2589"/>
      <c r="V36" s="2597"/>
    </row>
    <row r="37" spans="1:23" s="2601" customFormat="1" ht="13.15" customHeight="1">
      <c r="A37" s="2677"/>
      <c r="B37" s="2678"/>
      <c r="C37" s="2678"/>
      <c r="D37" s="2678"/>
      <c r="E37" s="2678"/>
      <c r="F37" s="2682"/>
      <c r="G37" s="2589"/>
      <c r="H37" s="2596"/>
      <c r="I37" s="2597"/>
      <c r="J37" s="3425"/>
      <c r="K37" s="3427"/>
      <c r="L37" s="2631"/>
      <c r="M37" s="2632"/>
      <c r="N37" s="2608"/>
      <c r="O37" s="2633"/>
      <c r="P37" s="2633"/>
      <c r="Q37" s="2634"/>
      <c r="R37" s="2635"/>
      <c r="S37" s="2589"/>
      <c r="T37" s="2589" t="s">
        <v>2335</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25"/>
      <c r="K38" s="3427"/>
      <c r="L38" s="2631"/>
      <c r="M38" s="2632"/>
      <c r="N38" s="2608"/>
      <c r="O38" s="2633"/>
      <c r="P38" s="2633"/>
      <c r="Q38" s="2634"/>
      <c r="R38" s="2635"/>
      <c r="S38" s="2589"/>
      <c r="T38" s="2589" t="s">
        <v>2342</v>
      </c>
      <c r="U38" s="2589"/>
      <c r="V38" s="2597"/>
    </row>
    <row r="39" spans="1:23" s="2601" customFormat="1" ht="13.15" customHeight="1">
      <c r="A39" s="2677">
        <v>9</v>
      </c>
      <c r="B39" s="2678" t="s">
        <v>2420</v>
      </c>
      <c r="C39" s="2645" t="e">
        <f>C38</f>
        <v>#DIV/0!</v>
      </c>
      <c r="D39" s="2678">
        <f>D38/(1+D34)^C36</f>
        <v>0</v>
      </c>
      <c r="E39" s="2678">
        <f>E38/(1+E34)^(C36+D36)</f>
        <v>0</v>
      </c>
      <c r="F39" s="2682"/>
      <c r="G39" s="2597"/>
      <c r="H39" s="2596"/>
      <c r="I39" s="2597"/>
      <c r="J39" s="3425"/>
      <c r="K39" s="3427"/>
      <c r="L39" s="2631"/>
      <c r="M39" s="2632"/>
      <c r="N39" s="2608"/>
      <c r="O39" s="2633"/>
      <c r="P39" s="2633"/>
      <c r="Q39" s="2634"/>
      <c r="R39" s="2635"/>
      <c r="S39" s="2589"/>
      <c r="T39" s="2589"/>
      <c r="U39" s="2589"/>
      <c r="V39" s="2597"/>
    </row>
    <row r="40" spans="1:23" s="2601" customFormat="1" ht="13.15" customHeight="1">
      <c r="A40" s="2736">
        <v>10</v>
      </c>
      <c r="B40" s="2678" t="s">
        <v>2421</v>
      </c>
      <c r="C40" s="2737" t="e">
        <f>C39+D39+E39</f>
        <v>#DIV/0!</v>
      </c>
      <c r="D40" s="2738"/>
      <c r="E40" s="2738"/>
      <c r="F40" s="2739"/>
      <c r="G40" s="2589"/>
      <c r="H40" s="2596"/>
      <c r="I40" s="2597"/>
      <c r="J40" s="3425"/>
      <c r="K40" s="3428"/>
      <c r="L40" s="2651" t="s">
        <v>2360</v>
      </c>
      <c r="M40" s="2652"/>
      <c r="N40" s="2652"/>
      <c r="O40" s="2653"/>
      <c r="P40" s="2653"/>
      <c r="Q40" s="2654"/>
      <c r="R40" s="2600">
        <f>SUM(R37:R39)</f>
        <v>0</v>
      </c>
      <c r="S40" s="2589"/>
      <c r="T40" s="2589"/>
      <c r="U40" s="2589"/>
      <c r="V40" s="2597"/>
    </row>
    <row r="41" spans="1:23" s="2601" customFormat="1" ht="13.15" customHeight="1" thickBot="1">
      <c r="A41" s="2740">
        <v>11</v>
      </c>
      <c r="B41" s="2741" t="s">
        <v>2422</v>
      </c>
      <c r="C41" s="2741" t="e">
        <f>ROUND(C40*10000/B4,0)</f>
        <v>#DIV/0!</v>
      </c>
      <c r="D41" s="2742"/>
      <c r="E41" s="2742"/>
      <c r="F41" s="2743"/>
      <c r="G41" s="2596"/>
      <c r="H41" s="2596"/>
      <c r="I41" s="2597"/>
      <c r="J41" s="2690">
        <v>2</v>
      </c>
      <c r="K41" s="2691" t="s">
        <v>2400</v>
      </c>
      <c r="L41" s="2692"/>
      <c r="M41" s="2692"/>
      <c r="N41" s="2692"/>
      <c r="O41" s="2692"/>
      <c r="P41" s="2693"/>
      <c r="Q41" s="2694"/>
      <c r="R41" s="2667">
        <f>ROUND(R40*Q41,0)</f>
        <v>0</v>
      </c>
      <c r="S41" s="2589"/>
      <c r="T41" s="2589"/>
      <c r="U41" s="2640"/>
      <c r="V41" s="2597"/>
    </row>
    <row r="42" spans="1:23" s="2601" customFormat="1" ht="13.15" customHeight="1">
      <c r="G42" s="2596"/>
      <c r="H42" s="2596"/>
      <c r="I42" s="2597"/>
      <c r="J42" s="3429">
        <v>3</v>
      </c>
      <c r="K42" s="2697" t="s">
        <v>2402</v>
      </c>
      <c r="L42" s="2698"/>
      <c r="M42" s="2699"/>
      <c r="N42" s="2700" t="s">
        <v>2403</v>
      </c>
      <c r="O42" s="2700" t="s">
        <v>2404</v>
      </c>
      <c r="P42" s="2701" t="s">
        <v>2405</v>
      </c>
      <c r="Q42" s="2701" t="s">
        <v>2406</v>
      </c>
      <c r="R42" s="2606" t="s">
        <v>2331</v>
      </c>
      <c r="S42" s="2640"/>
      <c r="T42" s="2640"/>
      <c r="U42" s="2589"/>
      <c r="V42" s="2597"/>
    </row>
    <row r="43" spans="1:23" ht="13.15" customHeight="1">
      <c r="A43" s="2601"/>
      <c r="B43" s="2601"/>
      <c r="C43" s="2601"/>
      <c r="D43" s="2601"/>
      <c r="E43" s="2601"/>
      <c r="F43" s="2601"/>
      <c r="I43" s="2584"/>
      <c r="J43" s="3430"/>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2409</v>
      </c>
      <c r="L44" s="2746" t="s">
        <v>2410</v>
      </c>
      <c r="M44" s="2712"/>
      <c r="N44" s="2746" t="s">
        <v>2411</v>
      </c>
      <c r="O44" s="2712"/>
      <c r="P44" s="2746" t="s">
        <v>2412</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3" t="s">
        <v>1658</v>
      </c>
      <c r="B1" s="1724"/>
      <c r="C1" s="1724"/>
      <c r="D1" s="1724"/>
      <c r="E1" s="1725"/>
      <c r="F1" s="2476"/>
      <c r="G1" s="457"/>
      <c r="H1" s="457"/>
      <c r="I1" s="457"/>
      <c r="J1" s="457"/>
      <c r="K1" s="457"/>
      <c r="L1" s="457"/>
      <c r="M1" s="457"/>
      <c r="N1" s="457"/>
      <c r="O1" s="457"/>
      <c r="P1" s="457"/>
      <c r="Q1" s="457"/>
      <c r="R1" s="457"/>
      <c r="S1" s="457"/>
    </row>
    <row r="2" spans="1:22" ht="15.75">
      <c r="A2" s="1726" t="s">
        <v>1462</v>
      </c>
      <c r="B2" s="809">
        <f ca="1">SUMIF(B6:B13,"&lt;&gt;#ref!",B6:B13)</f>
        <v>0</v>
      </c>
      <c r="C2" s="1727" t="s">
        <v>1651</v>
      </c>
      <c r="D2" s="1728" t="s">
        <v>1652</v>
      </c>
      <c r="E2" s="2389">
        <f>SUM(E6:E13)</f>
        <v>0</v>
      </c>
      <c r="F2" s="2476"/>
      <c r="G2" s="457"/>
      <c r="H2" s="457"/>
      <c r="I2" s="457"/>
      <c r="J2" s="457"/>
      <c r="K2" s="457"/>
      <c r="L2" s="457"/>
      <c r="M2" s="457"/>
      <c r="N2" s="457"/>
      <c r="O2" s="457"/>
      <c r="P2" s="457"/>
      <c r="Q2" s="457"/>
      <c r="R2" s="457"/>
      <c r="S2" s="457"/>
    </row>
    <row r="3" spans="1:22" ht="15.75">
      <c r="A3" s="1726" t="s">
        <v>686</v>
      </c>
      <c r="B3" s="2383" t="e">
        <f ca="1">ROUND(B2*10000/E2,0)</f>
        <v>#DIV/0!</v>
      </c>
      <c r="C3" s="1727" t="s">
        <v>1659</v>
      </c>
      <c r="D3" s="2476"/>
      <c r="E3" s="2479"/>
      <c r="F3" s="2476"/>
      <c r="G3" s="457"/>
      <c r="H3" s="457"/>
      <c r="I3" s="457"/>
      <c r="J3" s="457"/>
      <c r="K3" s="457"/>
      <c r="L3" s="457"/>
      <c r="M3" s="457"/>
      <c r="N3" s="457"/>
      <c r="O3" s="457"/>
      <c r="P3" s="457"/>
      <c r="Q3" s="457"/>
      <c r="R3" s="457"/>
      <c r="S3" s="457"/>
    </row>
    <row r="4" spans="1:22" ht="15.75">
      <c r="A4" s="2480"/>
      <c r="B4" s="2476"/>
      <c r="C4" s="2476"/>
      <c r="D4" s="2476"/>
      <c r="E4" s="2479"/>
      <c r="F4" s="2476"/>
      <c r="G4" s="457"/>
      <c r="H4" s="457"/>
      <c r="I4" s="457"/>
      <c r="J4" s="457"/>
      <c r="K4" s="457"/>
      <c r="L4" s="457"/>
      <c r="M4" s="457"/>
      <c r="N4" s="457"/>
      <c r="O4" s="457"/>
      <c r="P4" s="457"/>
      <c r="Q4" s="457"/>
      <c r="R4" s="457"/>
      <c r="S4" s="457"/>
    </row>
    <row r="5" spans="1:22" ht="15">
      <c r="A5" s="2385" t="s">
        <v>1653</v>
      </c>
      <c r="B5" s="3444" t="s">
        <v>1654</v>
      </c>
      <c r="C5" s="3445"/>
      <c r="D5" s="2477"/>
      <c r="E5" s="1729" t="s">
        <v>1655</v>
      </c>
      <c r="F5" s="129" t="s">
        <v>1656</v>
      </c>
      <c r="G5" s="457"/>
      <c r="H5" s="457"/>
      <c r="I5" s="457"/>
      <c r="J5" s="457"/>
      <c r="K5" s="457"/>
      <c r="L5" s="457"/>
      <c r="M5" s="457"/>
      <c r="N5" s="457"/>
      <c r="O5" s="457"/>
      <c r="P5" s="457"/>
      <c r="Q5" s="457"/>
      <c r="R5" s="457"/>
      <c r="S5" s="457"/>
    </row>
    <row r="6" spans="1:22">
      <c r="A6" s="2386">
        <f>'数据-取费表'!AN6</f>
        <v>0</v>
      </c>
      <c r="B6" s="2384" t="e">
        <f ca="1">IF(F6="是",'数据-取费表'!AO6,0)</f>
        <v>#REF!</v>
      </c>
      <c r="C6" s="1727" t="s">
        <v>1651</v>
      </c>
      <c r="D6" s="2476"/>
      <c r="E6" s="2388">
        <f>IF(OR(A6=0,F6="否"),0,'数据-取费表'!K6+'数据-取费表'!S6)</f>
        <v>0</v>
      </c>
      <c r="F6" s="1730" t="s">
        <v>1657</v>
      </c>
      <c r="G6" s="457"/>
      <c r="H6" s="457"/>
      <c r="I6" s="457"/>
      <c r="J6" s="457"/>
      <c r="K6" s="457"/>
      <c r="L6" s="457"/>
      <c r="M6" s="457"/>
      <c r="N6" s="457"/>
      <c r="O6" s="457"/>
      <c r="P6" s="457"/>
      <c r="Q6" s="457"/>
      <c r="R6" s="457"/>
      <c r="S6" s="457"/>
    </row>
    <row r="7" spans="1:22">
      <c r="A7" s="2386">
        <f>'数据-取费表'!AN7</f>
        <v>0</v>
      </c>
      <c r="B7" s="2384" t="e">
        <f ca="1">IF(F7="是",'数据-取费表'!AO7,0)</f>
        <v>#REF!</v>
      </c>
      <c r="C7" s="1727" t="s">
        <v>1651</v>
      </c>
      <c r="D7" s="2476"/>
      <c r="E7" s="2388">
        <f>IF(OR(A7=0,F7="否"),0,'数据-取费表'!K7+'数据-取费表'!S7)</f>
        <v>0</v>
      </c>
      <c r="F7" s="1730" t="s">
        <v>1657</v>
      </c>
      <c r="G7" s="457"/>
      <c r="H7" s="457"/>
      <c r="I7" s="457"/>
      <c r="J7" s="457"/>
      <c r="K7" s="457"/>
      <c r="L7" s="457"/>
      <c r="M7" s="457"/>
      <c r="N7" s="457"/>
      <c r="O7" s="457"/>
      <c r="P7" s="457"/>
      <c r="Q7" s="457"/>
      <c r="R7" s="457"/>
      <c r="S7" s="457"/>
    </row>
    <row r="8" spans="1:22">
      <c r="A8" s="2386">
        <f>'数据-取费表'!AN8</f>
        <v>0</v>
      </c>
      <c r="B8" s="2384" t="e">
        <f ca="1">IF(F8="是",'数据-取费表'!AO8,0)</f>
        <v>#REF!</v>
      </c>
      <c r="C8" s="1727" t="s">
        <v>1651</v>
      </c>
      <c r="D8" s="2476"/>
      <c r="E8" s="2388">
        <f>IF(OR(A8=0,F8="否"),0,'数据-取费表'!K8+'数据-取费表'!S8)</f>
        <v>0</v>
      </c>
      <c r="F8" s="1730" t="s">
        <v>1657</v>
      </c>
      <c r="G8" s="457"/>
      <c r="H8" s="457"/>
      <c r="I8" s="457"/>
      <c r="J8" s="457"/>
      <c r="K8" s="457"/>
      <c r="L8" s="457"/>
      <c r="M8" s="457"/>
      <c r="N8" s="457"/>
      <c r="O8" s="457"/>
      <c r="P8" s="457"/>
      <c r="Q8" s="457"/>
      <c r="R8" s="457"/>
      <c r="S8" s="457"/>
    </row>
    <row r="9" spans="1:22">
      <c r="A9" s="2386">
        <f>'数据-取费表'!AN9</f>
        <v>0</v>
      </c>
      <c r="B9" s="2384" t="e">
        <f ca="1">IF(F9="是",'数据-取费表'!AO9,0)</f>
        <v>#REF!</v>
      </c>
      <c r="C9" s="1727" t="s">
        <v>1651</v>
      </c>
      <c r="D9" s="2476"/>
      <c r="E9" s="2388">
        <f>IF(OR(A9=0,F9="否"),0,'数据-取费表'!K9+'数据-取费表'!S9)</f>
        <v>0</v>
      </c>
      <c r="F9" s="1730" t="s">
        <v>1657</v>
      </c>
      <c r="G9" s="457"/>
      <c r="H9" s="457"/>
      <c r="I9" s="457"/>
      <c r="J9" s="457"/>
      <c r="K9" s="457"/>
      <c r="L9" s="457"/>
      <c r="M9" s="457"/>
      <c r="N9" s="457"/>
      <c r="O9" s="457"/>
      <c r="P9" s="457"/>
      <c r="Q9" s="457"/>
      <c r="R9" s="457"/>
      <c r="S9" s="457"/>
    </row>
    <row r="10" spans="1:22">
      <c r="A10" s="2386">
        <f>'数据-取费表'!AN10</f>
        <v>0</v>
      </c>
      <c r="B10" s="2384" t="e">
        <f ca="1">IF(F10="是",'数据-取费表'!AO10,0)</f>
        <v>#REF!</v>
      </c>
      <c r="C10" s="1727" t="s">
        <v>1651</v>
      </c>
      <c r="D10" s="2476"/>
      <c r="E10" s="2388">
        <f>IF(OR(A10=0,F10="否"),0,'数据-取费表'!K10+'数据-取费表'!S10)</f>
        <v>0</v>
      </c>
      <c r="F10" s="1730" t="s">
        <v>1657</v>
      </c>
      <c r="G10" s="457"/>
      <c r="H10" s="457"/>
      <c r="I10" s="457"/>
      <c r="J10" s="457"/>
      <c r="K10" s="457"/>
      <c r="L10" s="457"/>
      <c r="M10" s="457"/>
      <c r="N10" s="457"/>
      <c r="O10" s="457"/>
      <c r="P10" s="457"/>
      <c r="Q10" s="457"/>
      <c r="R10" s="457"/>
      <c r="S10" s="457"/>
    </row>
    <row r="11" spans="1:22">
      <c r="A11" s="2386">
        <f>'数据-取费表'!AN11</f>
        <v>0</v>
      </c>
      <c r="B11" s="2384" t="e">
        <f ca="1">IF(F11="是",'数据-取费表'!AO11,0)</f>
        <v>#REF!</v>
      </c>
      <c r="C11" s="1727" t="s">
        <v>1651</v>
      </c>
      <c r="D11" s="2476"/>
      <c r="E11" s="2388">
        <f>IF(OR(A11=0,F11="否"),0,'数据-取费表'!K11+'数据-取费表'!S11)</f>
        <v>0</v>
      </c>
      <c r="F11" s="1730" t="s">
        <v>1657</v>
      </c>
      <c r="G11" s="457"/>
      <c r="H11" s="457"/>
      <c r="I11" s="457"/>
      <c r="J11" s="457"/>
      <c r="K11" s="457"/>
      <c r="L11" s="457"/>
      <c r="M11" s="457"/>
      <c r="N11" s="457"/>
      <c r="O11" s="457"/>
      <c r="P11" s="457"/>
      <c r="Q11" s="457"/>
      <c r="R11" s="457"/>
      <c r="S11" s="457"/>
    </row>
    <row r="12" spans="1:22">
      <c r="A12" s="2386">
        <f>'数据-取费表'!AN12</f>
        <v>0</v>
      </c>
      <c r="B12" s="2384" t="e">
        <f ca="1">IF(F12="是",'数据-取费表'!AO12,0)</f>
        <v>#REF!</v>
      </c>
      <c r="C12" s="1727" t="s">
        <v>1651</v>
      </c>
      <c r="D12" s="2476"/>
      <c r="E12" s="2388">
        <f>IF(OR(A12=0,F12="否"),0,'数据-取费表'!K12+'数据-取费表'!S12)</f>
        <v>0</v>
      </c>
      <c r="F12" s="1730" t="s">
        <v>1657</v>
      </c>
      <c r="G12" s="457"/>
      <c r="H12" s="457"/>
      <c r="I12" s="457"/>
      <c r="J12" s="457"/>
      <c r="K12" s="457"/>
      <c r="L12" s="457"/>
      <c r="M12" s="457"/>
      <c r="N12" s="457"/>
      <c r="O12" s="457"/>
      <c r="P12" s="457"/>
      <c r="Q12" s="457"/>
      <c r="R12" s="457"/>
      <c r="S12" s="457"/>
    </row>
    <row r="13" spans="1:22" ht="15" thickBot="1">
      <c r="A13" s="2387">
        <f>'数据-取费表'!AN13</f>
        <v>0</v>
      </c>
      <c r="B13" s="2384" t="e">
        <f ca="1">IF(F13="是",'数据-取费表'!AO13,0)</f>
        <v>#REF!</v>
      </c>
      <c r="C13" s="1731" t="s">
        <v>1651</v>
      </c>
      <c r="D13" s="2478"/>
      <c r="E13" s="2388">
        <f>IF(OR(A13=0,F13="否"),0,'数据-取费表'!K13+'数据-取费表'!S13)</f>
        <v>0</v>
      </c>
      <c r="F13" s="1730"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104"/>
  <sheetViews>
    <sheetView topLeftCell="A49" workbookViewId="0">
      <selection activeCell="U123" sqref="U123"/>
    </sheetView>
  </sheetViews>
  <sheetFormatPr defaultRowHeight="13.5"/>
  <cols>
    <col min="1" max="16384" width="9" style="3159"/>
  </cols>
  <sheetData>
    <row r="104" spans="20:20">
      <c r="T104" s="3159">
        <f>7384.76/152</f>
        <v>48.583947368421057</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85" zoomScaleNormal="60" zoomScaleSheetLayoutView="85" workbookViewId="0">
      <selection activeCell="M45" sqref="M4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t="s">
        <v>3395</v>
      </c>
      <c r="E1" s="3121" t="s">
        <v>5817</v>
      </c>
      <c r="F1" s="1733" t="s">
        <v>5818</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2">
        <f>IF(E1="项目模式",IF(C2="——",ROUND(C49*D3/10000,0),ROUND(C49*D3/10000,0)-D2),IF(E1="单套模式",IF(C2="——",ROUND(C49*D3/10000,4),ROUND(C49*D3/10000,4)-D2)))</f>
        <v>493704</v>
      </c>
      <c r="C2" s="1735" t="s">
        <v>43</v>
      </c>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1"/>
      <c r="M2" s="2482"/>
      <c r="N2" s="2482"/>
      <c r="O2" s="2482"/>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120765</v>
      </c>
      <c r="C3" s="344" t="s">
        <v>1665</v>
      </c>
      <c r="D3" s="343">
        <f>IF(D1="",'数据-汇总表'!E3,SUMIF('数据-汇总表'!$C19:$C33,D1,'数据-汇总表'!$E19:$E33))</f>
        <v>40881.349999999984</v>
      </c>
      <c r="E3" s="852"/>
      <c r="F3" s="1741"/>
      <c r="G3" s="852"/>
      <c r="H3" s="852"/>
      <c r="I3" s="852"/>
      <c r="J3" s="852"/>
      <c r="K3" s="1738"/>
      <c r="L3" s="2481"/>
      <c r="M3" s="2482"/>
      <c r="N3" s="2482"/>
      <c r="O3" s="2482"/>
      <c r="P3" s="1739"/>
      <c r="Q3" s="1740"/>
      <c r="R3" s="1740"/>
      <c r="S3" s="1740"/>
      <c r="T3" s="1740"/>
      <c r="U3" s="1740"/>
      <c r="V3" s="1740"/>
      <c r="W3" s="1740"/>
      <c r="X3" s="1740"/>
      <c r="Y3" s="1740"/>
      <c r="Z3" s="1740"/>
      <c r="AA3" s="1740"/>
      <c r="AB3" s="1740"/>
      <c r="AC3" s="996"/>
    </row>
    <row r="4" spans="1:29" ht="15">
      <c r="A4" s="345" t="s">
        <v>1666</v>
      </c>
      <c r="B4" s="346"/>
      <c r="C4" s="3381" t="s">
        <v>1667</v>
      </c>
      <c r="D4" s="3393"/>
      <c r="E4" s="3394" t="s">
        <v>1668</v>
      </c>
      <c r="F4" s="3395"/>
      <c r="G4" s="3381" t="s">
        <v>1669</v>
      </c>
      <c r="H4" s="3393"/>
      <c r="I4" s="3381" t="s">
        <v>1670</v>
      </c>
      <c r="J4" s="3393"/>
      <c r="K4" s="1742" t="s">
        <v>1671</v>
      </c>
      <c r="L4" s="2483"/>
      <c r="M4" s="2484"/>
      <c r="N4" s="2484"/>
      <c r="O4" s="2484"/>
      <c r="P4" s="3396" t="s">
        <v>1672</v>
      </c>
      <c r="Q4" s="3397"/>
      <c r="R4" s="3402" t="s">
        <v>1668</v>
      </c>
      <c r="S4" s="3403"/>
      <c r="T4" s="3402" t="s">
        <v>1669</v>
      </c>
      <c r="U4" s="3403"/>
      <c r="V4" s="3389" t="s">
        <v>1670</v>
      </c>
      <c r="W4" s="3389"/>
      <c r="X4" s="1263"/>
      <c r="Y4" s="3402" t="s">
        <v>1672</v>
      </c>
      <c r="Z4" s="3403"/>
      <c r="AA4" s="3390" t="s">
        <v>1668</v>
      </c>
      <c r="AB4" s="3390" t="s">
        <v>1669</v>
      </c>
      <c r="AC4" s="3390" t="s">
        <v>1670</v>
      </c>
    </row>
    <row r="5" spans="1:29" ht="15.75" thickBot="1">
      <c r="A5" s="348"/>
      <c r="B5" s="349"/>
      <c r="C5" s="3415" t="s">
        <v>1673</v>
      </c>
      <c r="D5" s="3411"/>
      <c r="E5" s="3453" t="s">
        <v>5814</v>
      </c>
      <c r="F5" s="3419"/>
      <c r="G5" s="3410" t="s">
        <v>5815</v>
      </c>
      <c r="H5" s="3411"/>
      <c r="I5" s="3410" t="s">
        <v>5816</v>
      </c>
      <c r="J5" s="3411"/>
      <c r="K5" s="1743"/>
      <c r="L5" s="2483"/>
      <c r="M5" s="2484"/>
      <c r="N5" s="2484"/>
      <c r="O5" s="2484"/>
      <c r="P5" s="3398"/>
      <c r="Q5" s="3399"/>
      <c r="R5" s="3404"/>
      <c r="S5" s="3405"/>
      <c r="T5" s="3404"/>
      <c r="U5" s="3405"/>
      <c r="V5" s="3389"/>
      <c r="W5" s="3389"/>
      <c r="X5" s="1263"/>
      <c r="Y5" s="3404"/>
      <c r="Z5" s="3405"/>
      <c r="AA5" s="3391"/>
      <c r="AB5" s="3391"/>
      <c r="AC5" s="3391"/>
    </row>
    <row r="6" spans="1:29" ht="15.75" hidden="1" thickBot="1">
      <c r="A6" s="350"/>
      <c r="B6" s="351"/>
      <c r="C6" s="3408" t="s">
        <v>1677</v>
      </c>
      <c r="D6" s="3409"/>
      <c r="E6" s="3416" t="s">
        <v>1677</v>
      </c>
      <c r="F6" s="3417"/>
      <c r="G6" s="3408" t="s">
        <v>1677</v>
      </c>
      <c r="H6" s="3409"/>
      <c r="I6" s="3408" t="s">
        <v>1677</v>
      </c>
      <c r="J6" s="3409"/>
      <c r="K6" s="1743" t="s">
        <v>1678</v>
      </c>
      <c r="L6" s="2483"/>
      <c r="M6" s="2484"/>
      <c r="N6" s="2484"/>
      <c r="O6" s="2484"/>
      <c r="P6" s="3400"/>
      <c r="Q6" s="3401"/>
      <c r="R6" s="3404"/>
      <c r="S6" s="3405"/>
      <c r="T6" s="3406"/>
      <c r="U6" s="3407"/>
      <c r="V6" s="3389"/>
      <c r="W6" s="3389"/>
      <c r="X6" s="1263"/>
      <c r="Y6" s="3406"/>
      <c r="Z6" s="3407"/>
      <c r="AA6" s="3392"/>
      <c r="AB6" s="3392"/>
      <c r="AC6" s="3392"/>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4"/>
      <c r="L7" s="2485"/>
      <c r="M7" s="2436"/>
      <c r="N7" s="2436"/>
      <c r="O7" s="2436"/>
      <c r="P7" s="3412" t="s">
        <v>1680</v>
      </c>
      <c r="Q7" s="3414"/>
      <c r="R7" s="662" t="s">
        <v>20</v>
      </c>
      <c r="S7" s="663">
        <f t="shared" ref="S7:S15" si="0">F7</f>
        <v>100</v>
      </c>
      <c r="T7" s="662" t="s">
        <v>20</v>
      </c>
      <c r="U7" s="663">
        <f t="shared" ref="U7:U15" si="1">H7</f>
        <v>100</v>
      </c>
      <c r="V7" s="662" t="s">
        <v>20</v>
      </c>
      <c r="W7" s="663">
        <f t="shared" ref="W7:W15" si="2">J7</f>
        <v>100</v>
      </c>
      <c r="X7" s="664"/>
      <c r="Y7" s="3412" t="s">
        <v>1680</v>
      </c>
      <c r="Z7" s="3413"/>
      <c r="AA7" s="50">
        <f>D7/F7</f>
        <v>1</v>
      </c>
      <c r="AB7" s="50">
        <f>D7/H7</f>
        <v>1</v>
      </c>
      <c r="AC7" s="50">
        <f>D7/J7</f>
        <v>1</v>
      </c>
    </row>
    <row r="8" spans="1:29" s="102" customFormat="1" ht="15.75" thickBot="1">
      <c r="A8" s="352" t="s">
        <v>1681</v>
      </c>
      <c r="B8" s="353"/>
      <c r="C8" s="358" t="s">
        <v>5796</v>
      </c>
      <c r="D8" s="355">
        <v>100</v>
      </c>
      <c r="E8" s="1745" t="s">
        <v>5796</v>
      </c>
      <c r="F8" s="357">
        <f>SUMIF(61:61,E8,62:62)-SUMIF(61:61,C8,62:62)+100</f>
        <v>100</v>
      </c>
      <c r="G8" s="358" t="s">
        <v>5796</v>
      </c>
      <c r="H8" s="355">
        <f>SUMIF(61:61,G8,62:62)-SUMIF(61:61,C8,62:62)+100</f>
        <v>100</v>
      </c>
      <c r="I8" s="1745" t="s">
        <v>5796</v>
      </c>
      <c r="J8" s="355">
        <f>SUMIF(61:61,I8,62:62)-SUMIF(61:61,C8,62:62)+100</f>
        <v>100</v>
      </c>
      <c r="K8" s="1744"/>
      <c r="L8" s="2485"/>
      <c r="M8" s="2436"/>
      <c r="N8" s="2436"/>
      <c r="O8" s="2436"/>
      <c r="P8" s="3412" t="s">
        <v>1683</v>
      </c>
      <c r="Q8" s="3413"/>
      <c r="R8" s="662" t="s">
        <v>20</v>
      </c>
      <c r="S8" s="663">
        <f t="shared" si="0"/>
        <v>100</v>
      </c>
      <c r="T8" s="662" t="s">
        <v>20</v>
      </c>
      <c r="U8" s="663">
        <f t="shared" si="1"/>
        <v>100</v>
      </c>
      <c r="V8" s="662" t="s">
        <v>20</v>
      </c>
      <c r="W8" s="663">
        <f t="shared" si="2"/>
        <v>100</v>
      </c>
      <c r="X8" s="664"/>
      <c r="Y8" s="3412" t="s">
        <v>1683</v>
      </c>
      <c r="Z8" s="3413"/>
      <c r="AA8" s="50">
        <f t="shared" ref="AA8:AA19" si="3">D8/F8</f>
        <v>1</v>
      </c>
      <c r="AB8" s="50">
        <f t="shared" ref="AB8:AB19" si="4">D8/H8</f>
        <v>1</v>
      </c>
      <c r="AC8" s="50">
        <f t="shared" ref="AC8:AC19" si="5">D8/J8</f>
        <v>1</v>
      </c>
    </row>
    <row r="9" spans="1:29" s="102" customFormat="1">
      <c r="A9" s="359" t="s">
        <v>1684</v>
      </c>
      <c r="B9" s="60" t="s">
        <v>1685</v>
      </c>
      <c r="C9" s="3188" t="s">
        <v>5825</v>
      </c>
      <c r="D9" s="59">
        <v>100</v>
      </c>
      <c r="E9" s="361" t="s">
        <v>3395</v>
      </c>
      <c r="F9" s="60">
        <f>SUMIF(63:63,E9,64:64)-SUMIF(63:63,C9,64:64)+100</f>
        <v>100</v>
      </c>
      <c r="G9" s="362" t="s">
        <v>3395</v>
      </c>
      <c r="H9" s="59">
        <f>SUMIF(63:63,G9,64:64)-SUMIF(63:63,C9,64:64)+100</f>
        <v>100</v>
      </c>
      <c r="I9" s="362" t="s">
        <v>3395</v>
      </c>
      <c r="J9" s="59">
        <f>SUMIF(63:63,I9,64:64)-SUMIF(63:63,C9,64:64)+100</f>
        <v>100</v>
      </c>
      <c r="K9" s="1744"/>
      <c r="L9" s="2485"/>
      <c r="M9" s="2436"/>
      <c r="N9" s="2436"/>
      <c r="O9" s="2436"/>
      <c r="P9" s="3383" t="s">
        <v>1686</v>
      </c>
      <c r="Q9" s="528" t="str">
        <f t="shared" ref="Q9:Q15" si="6">B9</f>
        <v>用途</v>
      </c>
      <c r="R9" s="662" t="s">
        <v>14</v>
      </c>
      <c r="S9" s="663">
        <f t="shared" si="0"/>
        <v>100</v>
      </c>
      <c r="T9" s="662" t="s">
        <v>14</v>
      </c>
      <c r="U9" s="663">
        <f t="shared" si="1"/>
        <v>100</v>
      </c>
      <c r="V9" s="662" t="s">
        <v>14</v>
      </c>
      <c r="W9" s="663">
        <f t="shared" si="2"/>
        <v>100</v>
      </c>
      <c r="X9" s="664"/>
      <c r="Y9" s="328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t="s">
        <v>5819</v>
      </c>
      <c r="F10" s="364">
        <f>SUMIF(65:65,E10,66:66)-SUMIF(65:65,C10,66:66)+100</f>
        <v>100</v>
      </c>
      <c r="G10" s="3129" t="s">
        <v>5819</v>
      </c>
      <c r="H10" s="119">
        <f>SUMIF(65:65,G10,66:66)-SUMIF(65:65,C10,66:66)+100</f>
        <v>100</v>
      </c>
      <c r="I10" s="3129" t="s">
        <v>5819</v>
      </c>
      <c r="J10" s="119">
        <f>SUMIF(65:65,I10,66:66)-SUMIF(65:65,C10,66:66)+100</f>
        <v>100</v>
      </c>
      <c r="K10" s="1744"/>
      <c r="L10" s="2486"/>
      <c r="M10" s="2487"/>
      <c r="N10" s="2487"/>
      <c r="O10" s="2487"/>
      <c r="P10" s="3383"/>
      <c r="Q10" s="528"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8"/>
      <c r="M11" s="2484"/>
      <c r="N11" s="2484"/>
      <c r="O11" s="2484"/>
      <c r="P11" s="3383"/>
      <c r="Q11" s="528" t="str">
        <f t="shared" si="6"/>
        <v>容积率</v>
      </c>
      <c r="R11" s="662" t="s">
        <v>18</v>
      </c>
      <c r="S11" s="663">
        <f t="shared" si="0"/>
        <v>100</v>
      </c>
      <c r="T11" s="662" t="s">
        <v>18</v>
      </c>
      <c r="U11" s="663">
        <f t="shared" si="1"/>
        <v>95</v>
      </c>
      <c r="V11" s="662" t="s">
        <v>18</v>
      </c>
      <c r="W11" s="663">
        <f t="shared" si="2"/>
        <v>95</v>
      </c>
      <c r="X11" s="664"/>
      <c r="Y11" s="3281"/>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6"/>
      <c r="L12" s="2485"/>
      <c r="M12" s="2436"/>
      <c r="N12" s="2436"/>
      <c r="O12" s="2436"/>
      <c r="P12" s="3383"/>
      <c r="Q12" s="528">
        <f t="shared" si="6"/>
        <v>111</v>
      </c>
      <c r="R12" s="662" t="s">
        <v>18</v>
      </c>
      <c r="S12" s="663">
        <f t="shared" si="0"/>
        <v>100</v>
      </c>
      <c r="T12" s="662" t="s">
        <v>18</v>
      </c>
      <c r="U12" s="663">
        <f t="shared" si="1"/>
        <v>100</v>
      </c>
      <c r="V12" s="662" t="s">
        <v>18</v>
      </c>
      <c r="W12" s="663">
        <f t="shared" si="2"/>
        <v>100</v>
      </c>
      <c r="X12" s="664"/>
      <c r="Y12" s="3281"/>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6"/>
      <c r="L13" s="2489"/>
      <c r="M13" s="2484"/>
      <c r="N13" s="2484"/>
      <c r="O13" s="2484"/>
      <c r="P13" s="3383"/>
      <c r="Q13" s="528">
        <f t="shared" si="6"/>
        <v>111</v>
      </c>
      <c r="R13" s="662" t="s">
        <v>18</v>
      </c>
      <c r="S13" s="663">
        <f t="shared" si="0"/>
        <v>100</v>
      </c>
      <c r="T13" s="662" t="s">
        <v>18</v>
      </c>
      <c r="U13" s="663">
        <f t="shared" si="1"/>
        <v>100</v>
      </c>
      <c r="V13" s="662" t="s">
        <v>18</v>
      </c>
      <c r="W13" s="663">
        <f t="shared" si="2"/>
        <v>100</v>
      </c>
      <c r="X13" s="664"/>
      <c r="Y13" s="3281"/>
      <c r="Z13" s="50">
        <f t="shared" si="7"/>
        <v>111</v>
      </c>
      <c r="AA13" s="50">
        <f t="shared" si="3"/>
        <v>1</v>
      </c>
      <c r="AB13" s="50">
        <f t="shared" si="4"/>
        <v>1</v>
      </c>
      <c r="AC13" s="50">
        <f t="shared" si="5"/>
        <v>1</v>
      </c>
    </row>
    <row r="14" spans="1:29" ht="15.75" hidden="1"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9"/>
      <c r="M14" s="2484"/>
      <c r="N14" s="2484"/>
      <c r="O14" s="2484"/>
      <c r="P14" s="3383"/>
      <c r="Q14" s="528">
        <f t="shared" si="6"/>
        <v>111</v>
      </c>
      <c r="R14" s="662" t="s">
        <v>18</v>
      </c>
      <c r="S14" s="663">
        <f t="shared" si="0"/>
        <v>100</v>
      </c>
      <c r="T14" s="662" t="s">
        <v>18</v>
      </c>
      <c r="U14" s="663">
        <f t="shared" si="1"/>
        <v>100</v>
      </c>
      <c r="V14" s="662" t="s">
        <v>18</v>
      </c>
      <c r="W14" s="663">
        <f t="shared" si="2"/>
        <v>100</v>
      </c>
      <c r="X14" s="664"/>
      <c r="Y14" s="3281"/>
      <c r="Z14" s="50">
        <f t="shared" si="7"/>
        <v>111</v>
      </c>
      <c r="AA14" s="50">
        <f t="shared" si="3"/>
        <v>1</v>
      </c>
      <c r="AB14" s="50">
        <f t="shared" si="4"/>
        <v>1</v>
      </c>
      <c r="AC14" s="50">
        <f t="shared" si="5"/>
        <v>1</v>
      </c>
    </row>
    <row r="15" spans="1:29" ht="15">
      <c r="A15" s="379" t="s">
        <v>1690</v>
      </c>
      <c r="B15" s="58" t="s">
        <v>1257</v>
      </c>
      <c r="C15" s="1748">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9"/>
      <c r="M15" s="2484"/>
      <c r="N15" s="2484"/>
      <c r="O15" s="2484"/>
      <c r="P15" s="3451" t="s">
        <v>1691</v>
      </c>
      <c r="Q15" s="1261" t="str">
        <f t="shared" si="6"/>
        <v>居住社区成熟度</v>
      </c>
      <c r="R15" s="665" t="s">
        <v>18</v>
      </c>
      <c r="S15" s="666">
        <f t="shared" si="0"/>
        <v>100</v>
      </c>
      <c r="T15" s="665" t="s">
        <v>18</v>
      </c>
      <c r="U15" s="666">
        <f t="shared" si="1"/>
        <v>100</v>
      </c>
      <c r="V15" s="665" t="s">
        <v>18</v>
      </c>
      <c r="W15" s="666">
        <f t="shared" si="2"/>
        <v>100</v>
      </c>
      <c r="X15" s="1263"/>
      <c r="Y15" s="3385" t="s">
        <v>1691</v>
      </c>
      <c r="Z15" s="1262" t="str">
        <f t="shared" si="7"/>
        <v>居住社区成熟度</v>
      </c>
      <c r="AA15" s="1262">
        <f t="shared" si="3"/>
        <v>1</v>
      </c>
      <c r="AB15" s="1262">
        <f t="shared" si="4"/>
        <v>1</v>
      </c>
      <c r="AC15" s="1262">
        <f t="shared" si="5"/>
        <v>1</v>
      </c>
    </row>
    <row r="16" spans="1:29" ht="15">
      <c r="A16" s="367"/>
      <c r="B16" s="385"/>
      <c r="C16" s="386" t="s">
        <v>5802</v>
      </c>
      <c r="D16" s="387"/>
      <c r="E16" s="1749" t="s">
        <v>5802</v>
      </c>
      <c r="F16" s="387"/>
      <c r="G16" s="1749" t="s">
        <v>5802</v>
      </c>
      <c r="H16" s="389"/>
      <c r="I16" s="1749" t="s">
        <v>5802</v>
      </c>
      <c r="J16" s="387"/>
      <c r="K16" s="1751"/>
      <c r="L16" s="2489"/>
      <c r="M16" s="2484"/>
      <c r="N16" s="2484"/>
      <c r="O16" s="2484"/>
      <c r="P16" s="3452"/>
      <c r="Q16" s="1261"/>
      <c r="R16" s="665"/>
      <c r="S16" s="666"/>
      <c r="T16" s="665"/>
      <c r="U16" s="666"/>
      <c r="V16" s="665"/>
      <c r="W16" s="666"/>
      <c r="X16" s="1263"/>
      <c r="Y16" s="3386"/>
      <c r="Z16" s="1262"/>
      <c r="AA16" s="1262">
        <v>1</v>
      </c>
      <c r="AB16" s="1262">
        <v>1</v>
      </c>
      <c r="AC16" s="1262">
        <v>1</v>
      </c>
    </row>
    <row r="17" spans="1:29" ht="15">
      <c r="A17" s="367"/>
      <c r="B17" s="390" t="s">
        <v>1259</v>
      </c>
      <c r="C17" s="1752">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9"/>
      <c r="M17" s="2484"/>
      <c r="N17" s="2484"/>
      <c r="O17" s="2484"/>
      <c r="P17" s="3452"/>
      <c r="Q17" s="1261" t="str">
        <f>B17</f>
        <v>交通便捷度</v>
      </c>
      <c r="R17" s="665" t="s">
        <v>18</v>
      </c>
      <c r="S17" s="666">
        <f>F17</f>
        <v>100</v>
      </c>
      <c r="T17" s="665" t="s">
        <v>18</v>
      </c>
      <c r="U17" s="666">
        <f>H17</f>
        <v>100</v>
      </c>
      <c r="V17" s="665" t="s">
        <v>18</v>
      </c>
      <c r="W17" s="666">
        <f>J17</f>
        <v>100</v>
      </c>
      <c r="X17" s="1263"/>
      <c r="Y17" s="3386"/>
      <c r="Z17" s="1262" t="str">
        <f>Q17</f>
        <v>交通便捷度</v>
      </c>
      <c r="AA17" s="1262">
        <f t="shared" si="3"/>
        <v>1</v>
      </c>
      <c r="AB17" s="1262">
        <f t="shared" si="4"/>
        <v>1</v>
      </c>
      <c r="AC17" s="1262">
        <f t="shared" si="5"/>
        <v>1</v>
      </c>
    </row>
    <row r="18" spans="1:29" ht="15">
      <c r="A18" s="367"/>
      <c r="B18" s="395"/>
      <c r="C18" s="1753" t="s">
        <v>5802</v>
      </c>
      <c r="D18" s="389"/>
      <c r="E18" s="1754" t="s">
        <v>5802</v>
      </c>
      <c r="F18" s="389"/>
      <c r="G18" s="1754" t="s">
        <v>5802</v>
      </c>
      <c r="H18" s="387"/>
      <c r="I18" s="1754" t="s">
        <v>5802</v>
      </c>
      <c r="J18" s="387"/>
      <c r="K18" s="1751"/>
      <c r="L18" s="2489"/>
      <c r="M18" s="2484"/>
      <c r="N18" s="2484"/>
      <c r="O18" s="2484"/>
      <c r="P18" s="3452"/>
      <c r="Q18" s="1261"/>
      <c r="R18" s="665"/>
      <c r="S18" s="666"/>
      <c r="T18" s="665"/>
      <c r="U18" s="666"/>
      <c r="V18" s="665"/>
      <c r="W18" s="666"/>
      <c r="X18" s="1263"/>
      <c r="Y18" s="3386"/>
      <c r="Z18" s="1262"/>
      <c r="AA18" s="1262">
        <v>1</v>
      </c>
      <c r="AB18" s="1262">
        <v>1</v>
      </c>
      <c r="AC18" s="1262">
        <v>1</v>
      </c>
    </row>
    <row r="19" spans="1:29" ht="15">
      <c r="A19" s="367"/>
      <c r="B19" s="390" t="s">
        <v>1258</v>
      </c>
      <c r="C19" s="1752">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9"/>
      <c r="M19" s="2484"/>
      <c r="N19" s="2484"/>
      <c r="O19" s="2484"/>
      <c r="P19" s="3452"/>
      <c r="Q19" s="1261" t="str">
        <f>B19</f>
        <v>公共配套设施</v>
      </c>
      <c r="R19" s="665" t="s">
        <v>18</v>
      </c>
      <c r="S19" s="666">
        <f>F19</f>
        <v>100</v>
      </c>
      <c r="T19" s="665" t="s">
        <v>18</v>
      </c>
      <c r="U19" s="666">
        <f>H19</f>
        <v>100</v>
      </c>
      <c r="V19" s="665" t="s">
        <v>18</v>
      </c>
      <c r="W19" s="666">
        <f>J19</f>
        <v>100</v>
      </c>
      <c r="X19" s="1263"/>
      <c r="Y19" s="3386"/>
      <c r="Z19" s="1262" t="str">
        <f>Q19</f>
        <v>公共配套设施</v>
      </c>
      <c r="AA19" s="1262">
        <f t="shared" si="3"/>
        <v>1</v>
      </c>
      <c r="AB19" s="1262">
        <f t="shared" si="4"/>
        <v>1</v>
      </c>
      <c r="AC19" s="1262">
        <f t="shared" si="5"/>
        <v>1</v>
      </c>
    </row>
    <row r="20" spans="1:29" ht="15">
      <c r="A20" s="367"/>
      <c r="B20" s="395"/>
      <c r="C20" s="386" t="s">
        <v>5798</v>
      </c>
      <c r="D20" s="387"/>
      <c r="E20" s="1749" t="s">
        <v>5798</v>
      </c>
      <c r="F20" s="387"/>
      <c r="G20" s="1749" t="s">
        <v>5798</v>
      </c>
      <c r="H20" s="387"/>
      <c r="I20" s="1749" t="s">
        <v>5798</v>
      </c>
      <c r="J20" s="387"/>
      <c r="K20" s="1751"/>
      <c r="L20" s="2489"/>
      <c r="M20" s="2484"/>
      <c r="N20" s="2484"/>
      <c r="O20" s="2484"/>
      <c r="P20" s="3452"/>
      <c r="Q20" s="1261"/>
      <c r="R20" s="665"/>
      <c r="S20" s="666"/>
      <c r="T20" s="665"/>
      <c r="U20" s="666"/>
      <c r="V20" s="665"/>
      <c r="W20" s="666"/>
      <c r="X20" s="1263"/>
      <c r="Y20" s="3386"/>
      <c r="Z20" s="1262"/>
      <c r="AA20" s="1262">
        <v>1</v>
      </c>
      <c r="AB20" s="1262">
        <v>1</v>
      </c>
      <c r="AC20" s="1262">
        <v>1</v>
      </c>
    </row>
    <row r="21" spans="1:29" ht="15">
      <c r="A21" s="367"/>
      <c r="B21" s="584" t="s">
        <v>1260</v>
      </c>
      <c r="C21" s="1752">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9"/>
      <c r="M21" s="2484"/>
      <c r="N21" s="2484"/>
      <c r="O21" s="2484"/>
      <c r="P21" s="3452"/>
      <c r="Q21" s="1261" t="str">
        <f>B21</f>
        <v>基础设施水平</v>
      </c>
      <c r="R21" s="665" t="s">
        <v>14</v>
      </c>
      <c r="S21" s="666">
        <f>F21</f>
        <v>100</v>
      </c>
      <c r="T21" s="665" t="s">
        <v>14</v>
      </c>
      <c r="U21" s="666">
        <f>H21</f>
        <v>100</v>
      </c>
      <c r="V21" s="665" t="s">
        <v>14</v>
      </c>
      <c r="W21" s="666">
        <f>J21</f>
        <v>100</v>
      </c>
      <c r="X21" s="1263"/>
      <c r="Y21" s="3386"/>
      <c r="Z21" s="1262" t="str">
        <f>Q21</f>
        <v>基础设施水平</v>
      </c>
      <c r="AA21" s="1262">
        <f t="shared" ref="AA21" si="8">D21/F21</f>
        <v>1</v>
      </c>
      <c r="AB21" s="1262">
        <f t="shared" ref="AB21" si="9">D21/H21</f>
        <v>1</v>
      </c>
      <c r="AC21" s="1262">
        <f t="shared" ref="AC21" si="10">D21/J21</f>
        <v>1</v>
      </c>
    </row>
    <row r="22" spans="1:29" ht="15">
      <c r="A22" s="367"/>
      <c r="B22" s="584"/>
      <c r="C22" s="1753" t="s">
        <v>5799</v>
      </c>
      <c r="D22" s="387"/>
      <c r="E22" s="386" t="s">
        <v>5799</v>
      </c>
      <c r="F22" s="387"/>
      <c r="G22" s="386" t="s">
        <v>5799</v>
      </c>
      <c r="H22" s="387"/>
      <c r="I22" s="386" t="s">
        <v>5799</v>
      </c>
      <c r="J22" s="387"/>
      <c r="K22" s="1757"/>
      <c r="L22" s="2489"/>
      <c r="M22" s="2484"/>
      <c r="N22" s="2484"/>
      <c r="O22" s="2484"/>
      <c r="P22" s="3452"/>
      <c r="Q22" s="1261"/>
      <c r="R22" s="665"/>
      <c r="S22" s="666"/>
      <c r="T22" s="665"/>
      <c r="U22" s="666"/>
      <c r="V22" s="665"/>
      <c r="W22" s="666"/>
      <c r="X22" s="1263"/>
      <c r="Y22" s="3386"/>
      <c r="Z22" s="1262"/>
      <c r="AA22" s="1262">
        <v>1</v>
      </c>
      <c r="AB22" s="1262">
        <v>1</v>
      </c>
      <c r="AC22" s="1262">
        <v>1</v>
      </c>
    </row>
    <row r="23" spans="1:29" ht="15">
      <c r="A23" s="367"/>
      <c r="B23" s="390" t="s">
        <v>1261</v>
      </c>
      <c r="C23" s="1752">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9"/>
      <c r="M23" s="2484"/>
      <c r="N23" s="2484"/>
      <c r="O23" s="2484"/>
      <c r="P23" s="3452"/>
      <c r="Q23" s="1261" t="str">
        <f>B23</f>
        <v>自然及人文环境</v>
      </c>
      <c r="R23" s="665" t="s">
        <v>18</v>
      </c>
      <c r="S23" s="666">
        <f>F23</f>
        <v>100</v>
      </c>
      <c r="T23" s="665" t="s">
        <v>18</v>
      </c>
      <c r="U23" s="666">
        <f>H23</f>
        <v>100</v>
      </c>
      <c r="V23" s="665" t="s">
        <v>18</v>
      </c>
      <c r="W23" s="666">
        <f>J23</f>
        <v>100</v>
      </c>
      <c r="X23" s="1263"/>
      <c r="Y23" s="3386"/>
      <c r="Z23" s="1262" t="str">
        <f>Q23</f>
        <v>自然及人文环境</v>
      </c>
      <c r="AA23" s="1262">
        <f>D23/F23</f>
        <v>1</v>
      </c>
      <c r="AB23" s="1262">
        <f>D23/H23</f>
        <v>1</v>
      </c>
      <c r="AC23" s="1262">
        <f>D23/J23</f>
        <v>1</v>
      </c>
    </row>
    <row r="24" spans="1:29" ht="15.75" thickBot="1">
      <c r="A24" s="367"/>
      <c r="B24" s="395"/>
      <c r="C24" s="386" t="s">
        <v>5798</v>
      </c>
      <c r="D24" s="387"/>
      <c r="E24" s="1749" t="s">
        <v>5798</v>
      </c>
      <c r="F24" s="387"/>
      <c r="G24" s="1749" t="s">
        <v>5798</v>
      </c>
      <c r="H24" s="387"/>
      <c r="I24" s="1749" t="s">
        <v>5798</v>
      </c>
      <c r="J24" s="387"/>
      <c r="K24" s="1751"/>
      <c r="L24" s="2489"/>
      <c r="M24" s="2484"/>
      <c r="N24" s="2484"/>
      <c r="O24" s="2484"/>
      <c r="P24" s="3452"/>
      <c r="Q24" s="1261"/>
      <c r="R24" s="665"/>
      <c r="S24" s="666"/>
      <c r="T24" s="665"/>
      <c r="U24" s="666"/>
      <c r="V24" s="665"/>
      <c r="W24" s="666"/>
      <c r="X24" s="1263"/>
      <c r="Y24" s="3386"/>
      <c r="Z24" s="1262"/>
      <c r="AA24" s="1262">
        <v>1</v>
      </c>
      <c r="AB24" s="1262">
        <v>1</v>
      </c>
      <c r="AC24" s="1262">
        <v>1</v>
      </c>
    </row>
    <row r="25" spans="1:29" ht="15" hidden="1">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9"/>
      <c r="M25" s="2484"/>
      <c r="N25" s="2484"/>
      <c r="O25" s="2484"/>
      <c r="P25" s="3452"/>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86"/>
      <c r="Z25" s="1262" t="str">
        <f>Q25</f>
        <v>楼层-1</v>
      </c>
      <c r="AA25" s="1262">
        <f t="shared" ref="AA25:AA46" si="15">D25/F25</f>
        <v>1</v>
      </c>
      <c r="AB25" s="1262">
        <f t="shared" ref="AB25:AB46" si="16">D25/H25</f>
        <v>1</v>
      </c>
      <c r="AC25" s="1262">
        <f t="shared" ref="AC25:AC46" si="17">D25/J25</f>
        <v>1</v>
      </c>
    </row>
    <row r="26" spans="1:29" ht="15" hidden="1">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9"/>
      <c r="M26" s="2484"/>
      <c r="N26" s="2484"/>
      <c r="O26" s="2484"/>
      <c r="P26" s="3452"/>
      <c r="Q26" s="1261" t="str">
        <f t="shared" si="11"/>
        <v>朝向</v>
      </c>
      <c r="R26" s="665" t="s">
        <v>18</v>
      </c>
      <c r="S26" s="666">
        <f t="shared" si="12"/>
        <v>100</v>
      </c>
      <c r="T26" s="665" t="s">
        <v>18</v>
      </c>
      <c r="U26" s="666">
        <f t="shared" si="13"/>
        <v>100</v>
      </c>
      <c r="V26" s="665" t="s">
        <v>18</v>
      </c>
      <c r="W26" s="666">
        <f t="shared" si="14"/>
        <v>100</v>
      </c>
      <c r="X26" s="1263"/>
      <c r="Y26" s="3386"/>
      <c r="Z26" s="1262" t="str">
        <f>Q26</f>
        <v>朝向</v>
      </c>
      <c r="AA26" s="1262">
        <f t="shared" si="15"/>
        <v>1</v>
      </c>
      <c r="AB26" s="1262">
        <f t="shared" si="16"/>
        <v>1</v>
      </c>
      <c r="AC26" s="1262">
        <f t="shared" si="17"/>
        <v>1</v>
      </c>
    </row>
    <row r="27" spans="1:29" s="102" customFormat="1" ht="15" hidden="1">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5"/>
      <c r="M27" s="2436"/>
      <c r="N27" s="2436"/>
      <c r="O27" s="2436"/>
      <c r="P27" s="3452"/>
      <c r="Q27" s="528">
        <f t="shared" si="11"/>
        <v>111</v>
      </c>
      <c r="R27" s="662" t="s">
        <v>18</v>
      </c>
      <c r="S27" s="663">
        <f t="shared" si="12"/>
        <v>100</v>
      </c>
      <c r="T27" s="662" t="s">
        <v>18</v>
      </c>
      <c r="U27" s="663">
        <f t="shared" si="13"/>
        <v>100</v>
      </c>
      <c r="V27" s="662" t="s">
        <v>18</v>
      </c>
      <c r="W27" s="663">
        <f t="shared" si="14"/>
        <v>100</v>
      </c>
      <c r="X27" s="664"/>
      <c r="Y27" s="3386"/>
      <c r="Z27" s="50">
        <f>Q27</f>
        <v>111</v>
      </c>
      <c r="AA27" s="1262">
        <f t="shared" si="15"/>
        <v>1</v>
      </c>
      <c r="AB27" s="1262">
        <f t="shared" si="16"/>
        <v>1</v>
      </c>
      <c r="AC27" s="1262">
        <f t="shared" si="17"/>
        <v>1</v>
      </c>
    </row>
    <row r="28" spans="1:29" ht="15" hidden="1">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89"/>
      <c r="M28" s="2484"/>
      <c r="N28" s="2484"/>
      <c r="O28" s="2484"/>
      <c r="P28" s="3452"/>
      <c r="Q28" s="1261">
        <f t="shared" si="11"/>
        <v>111</v>
      </c>
      <c r="R28" s="665" t="s">
        <v>18</v>
      </c>
      <c r="S28" s="666">
        <f t="shared" si="12"/>
        <v>100</v>
      </c>
      <c r="T28" s="665" t="s">
        <v>18</v>
      </c>
      <c r="U28" s="666">
        <f t="shared" si="13"/>
        <v>100</v>
      </c>
      <c r="V28" s="665" t="s">
        <v>18</v>
      </c>
      <c r="W28" s="666">
        <f t="shared" si="14"/>
        <v>100</v>
      </c>
      <c r="X28" s="1263"/>
      <c r="Y28" s="3386"/>
      <c r="Z28" s="1262">
        <f t="shared" ref="Z28:Z46" si="18">Q28</f>
        <v>111</v>
      </c>
      <c r="AA28" s="1262">
        <f t="shared" si="15"/>
        <v>1</v>
      </c>
      <c r="AB28" s="1262">
        <f t="shared" si="16"/>
        <v>1</v>
      </c>
      <c r="AC28" s="1262">
        <f t="shared" si="17"/>
        <v>1</v>
      </c>
    </row>
    <row r="29" spans="1:29" ht="15" hidden="1">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89"/>
      <c r="M29" s="2484"/>
      <c r="N29" s="2484"/>
      <c r="O29" s="2484"/>
      <c r="P29" s="3452"/>
      <c r="Q29" s="1261">
        <f t="shared" si="11"/>
        <v>111</v>
      </c>
      <c r="R29" s="665" t="s">
        <v>18</v>
      </c>
      <c r="S29" s="666">
        <f t="shared" si="12"/>
        <v>100</v>
      </c>
      <c r="T29" s="665" t="s">
        <v>18</v>
      </c>
      <c r="U29" s="666">
        <f t="shared" si="13"/>
        <v>100</v>
      </c>
      <c r="V29" s="665" t="s">
        <v>18</v>
      </c>
      <c r="W29" s="666">
        <f t="shared" si="14"/>
        <v>100</v>
      </c>
      <c r="X29" s="1263"/>
      <c r="Y29" s="3386"/>
      <c r="Z29" s="1262">
        <f t="shared" si="18"/>
        <v>111</v>
      </c>
      <c r="AA29" s="1262">
        <f t="shared" si="15"/>
        <v>1</v>
      </c>
      <c r="AB29" s="1262">
        <f t="shared" si="16"/>
        <v>1</v>
      </c>
      <c r="AC29" s="1262">
        <f t="shared" si="17"/>
        <v>1</v>
      </c>
    </row>
    <row r="30" spans="1:29" ht="15" hidden="1">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89"/>
      <c r="M30" s="2484"/>
      <c r="N30" s="2484"/>
      <c r="O30" s="2484"/>
      <c r="P30" s="3452"/>
      <c r="Q30" s="1261">
        <f t="shared" si="11"/>
        <v>111</v>
      </c>
      <c r="R30" s="665" t="s">
        <v>18</v>
      </c>
      <c r="S30" s="666">
        <f t="shared" si="12"/>
        <v>100</v>
      </c>
      <c r="T30" s="665" t="s">
        <v>18</v>
      </c>
      <c r="U30" s="666">
        <f t="shared" si="13"/>
        <v>100</v>
      </c>
      <c r="V30" s="665" t="s">
        <v>18</v>
      </c>
      <c r="W30" s="666">
        <f t="shared" si="14"/>
        <v>100</v>
      </c>
      <c r="X30" s="1263"/>
      <c r="Y30" s="3386"/>
      <c r="Z30" s="1262">
        <f t="shared" si="18"/>
        <v>111</v>
      </c>
      <c r="AA30" s="1262">
        <f t="shared" si="15"/>
        <v>1</v>
      </c>
      <c r="AB30" s="1262">
        <f t="shared" si="16"/>
        <v>1</v>
      </c>
      <c r="AC30" s="1262">
        <f t="shared" si="17"/>
        <v>1</v>
      </c>
    </row>
    <row r="31" spans="1:29" ht="15.75" hidden="1"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89"/>
      <c r="M31" s="2484"/>
      <c r="N31" s="2484"/>
      <c r="O31" s="2484"/>
      <c r="P31" s="3452"/>
      <c r="Q31" s="1261">
        <f t="shared" si="11"/>
        <v>111</v>
      </c>
      <c r="R31" s="665" t="s">
        <v>18</v>
      </c>
      <c r="S31" s="666">
        <f t="shared" si="12"/>
        <v>100</v>
      </c>
      <c r="T31" s="665" t="s">
        <v>18</v>
      </c>
      <c r="U31" s="666">
        <f t="shared" si="13"/>
        <v>100</v>
      </c>
      <c r="V31" s="665" t="s">
        <v>18</v>
      </c>
      <c r="W31" s="666">
        <f t="shared" si="14"/>
        <v>100</v>
      </c>
      <c r="X31" s="1263"/>
      <c r="Y31" s="3386"/>
      <c r="Z31" s="1262">
        <f t="shared" si="18"/>
        <v>111</v>
      </c>
      <c r="AA31" s="1262">
        <f t="shared" si="15"/>
        <v>1</v>
      </c>
      <c r="AB31" s="1262">
        <f t="shared" si="16"/>
        <v>1</v>
      </c>
      <c r="AC31" s="1262">
        <f t="shared" si="17"/>
        <v>1</v>
      </c>
    </row>
    <row r="32" spans="1:29" ht="15">
      <c r="A32" s="379" t="s">
        <v>1694</v>
      </c>
      <c r="B32" s="60" t="s">
        <v>1695</v>
      </c>
      <c r="C32" s="3185" t="s">
        <v>5820</v>
      </c>
      <c r="D32" s="405">
        <v>100</v>
      </c>
      <c r="E32" s="3185" t="s">
        <v>5820</v>
      </c>
      <c r="F32" s="400">
        <f>SUMIF(100:100,E32,101:101)-SUMIF(100:100,C32,101:101)+100</f>
        <v>100</v>
      </c>
      <c r="G32" s="3185" t="s">
        <v>5824</v>
      </c>
      <c r="H32" s="405">
        <f>SUMIF(100:100,G32,101:101)-SUMIF(100:100,C32,101:101)+100</f>
        <v>95</v>
      </c>
      <c r="I32" s="3185" t="s">
        <v>5824</v>
      </c>
      <c r="J32" s="374">
        <f>SUMIF(100:100,I32,101:101)-SUMIF(100:100,C32,101:101)+100</f>
        <v>95</v>
      </c>
      <c r="K32" s="365">
        <v>5</v>
      </c>
      <c r="L32" s="2489"/>
      <c r="M32" s="2484"/>
      <c r="N32" s="2484"/>
      <c r="O32" s="2484"/>
      <c r="P32" s="3447" t="s">
        <v>1696</v>
      </c>
      <c r="Q32" s="1261" t="str">
        <f t="shared" si="11"/>
        <v>建筑类型</v>
      </c>
      <c r="R32" s="665" t="s">
        <v>18</v>
      </c>
      <c r="S32" s="666">
        <f t="shared" si="12"/>
        <v>100</v>
      </c>
      <c r="T32" s="665" t="s">
        <v>18</v>
      </c>
      <c r="U32" s="666">
        <f t="shared" si="13"/>
        <v>95</v>
      </c>
      <c r="V32" s="665" t="s">
        <v>18</v>
      </c>
      <c r="W32" s="666">
        <f t="shared" si="14"/>
        <v>95</v>
      </c>
      <c r="X32" s="1263"/>
      <c r="Y32" s="3388" t="s">
        <v>1696</v>
      </c>
      <c r="Z32" s="1262" t="str">
        <f t="shared" si="18"/>
        <v>建筑类型</v>
      </c>
      <c r="AA32" s="1262">
        <f t="shared" si="15"/>
        <v>1</v>
      </c>
      <c r="AB32" s="1262">
        <f t="shared" si="16"/>
        <v>1.0526315789473684</v>
      </c>
      <c r="AC32" s="1262">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6"/>
      <c r="L33" s="2488"/>
      <c r="M33" s="2490"/>
      <c r="N33" s="2490"/>
      <c r="O33" s="2490"/>
      <c r="P33" s="3448"/>
      <c r="Q33" s="529" t="str">
        <f t="shared" si="11"/>
        <v>项目建筑规模</v>
      </c>
      <c r="R33" s="667" t="s">
        <v>18</v>
      </c>
      <c r="S33" s="668">
        <f t="shared" si="12"/>
        <v>99</v>
      </c>
      <c r="T33" s="667" t="s">
        <v>18</v>
      </c>
      <c r="U33" s="668">
        <f t="shared" si="13"/>
        <v>100</v>
      </c>
      <c r="V33" s="667" t="s">
        <v>18</v>
      </c>
      <c r="W33" s="668">
        <f t="shared" si="14"/>
        <v>100</v>
      </c>
      <c r="X33" s="669"/>
      <c r="Y33" s="3388"/>
      <c r="Z33" s="670" t="str">
        <f t="shared" si="18"/>
        <v>项目建筑规模</v>
      </c>
      <c r="AA33" s="1262">
        <f t="shared" si="15"/>
        <v>1.0101010101010102</v>
      </c>
      <c r="AB33" s="1262">
        <f t="shared" si="16"/>
        <v>1</v>
      </c>
      <c r="AC33" s="1262">
        <f t="shared" si="17"/>
        <v>1</v>
      </c>
    </row>
    <row r="34" spans="1:29" ht="15">
      <c r="A34" s="409"/>
      <c r="B34" s="364" t="s">
        <v>1698</v>
      </c>
      <c r="C34" s="3186" t="s">
        <v>5821</v>
      </c>
      <c r="D34" s="374">
        <v>100</v>
      </c>
      <c r="E34" s="3186" t="s">
        <v>5821</v>
      </c>
      <c r="F34" s="400">
        <f>SUMIF(105:105,E34,106:106)-SUMIF(105:105,C34,106:106)+100</f>
        <v>100</v>
      </c>
      <c r="G34" s="3186" t="s">
        <v>5821</v>
      </c>
      <c r="H34" s="374">
        <f>SUMIF(105:105,G34,106:106)-SUMIF(105:105,C34,106:106)+100</f>
        <v>100</v>
      </c>
      <c r="I34" s="3186" t="s">
        <v>5821</v>
      </c>
      <c r="J34" s="374">
        <f>SUMIF(105:105,I34,106:106)-SUMIF(105:105,C34,106:106)+100</f>
        <v>100</v>
      </c>
      <c r="K34" s="365">
        <v>2</v>
      </c>
      <c r="L34" s="2489"/>
      <c r="M34" s="2484"/>
      <c r="N34" s="2484"/>
      <c r="O34" s="2484"/>
      <c r="P34" s="3448"/>
      <c r="Q34" s="1261" t="str">
        <f t="shared" si="11"/>
        <v>建筑结构</v>
      </c>
      <c r="R34" s="665" t="s">
        <v>18</v>
      </c>
      <c r="S34" s="666">
        <f t="shared" si="12"/>
        <v>100</v>
      </c>
      <c r="T34" s="665" t="s">
        <v>18</v>
      </c>
      <c r="U34" s="666">
        <f t="shared" si="13"/>
        <v>100</v>
      </c>
      <c r="V34" s="665" t="s">
        <v>18</v>
      </c>
      <c r="W34" s="666">
        <f t="shared" si="14"/>
        <v>100</v>
      </c>
      <c r="X34" s="1263"/>
      <c r="Y34" s="3388"/>
      <c r="Z34" s="1262" t="str">
        <f t="shared" si="18"/>
        <v>建筑结构</v>
      </c>
      <c r="AA34" s="1262">
        <f t="shared" si="15"/>
        <v>1</v>
      </c>
      <c r="AB34" s="1262">
        <f t="shared" si="16"/>
        <v>1</v>
      </c>
      <c r="AC34" s="1262">
        <f t="shared" si="17"/>
        <v>1</v>
      </c>
    </row>
    <row r="35" spans="1:29" ht="15">
      <c r="A35" s="409"/>
      <c r="B35" s="364" t="s">
        <v>1699</v>
      </c>
      <c r="C35" s="1758" t="s">
        <v>5858</v>
      </c>
      <c r="D35" s="374">
        <v>100</v>
      </c>
      <c r="E35" s="1758" t="s">
        <v>5858</v>
      </c>
      <c r="F35" s="400">
        <f>SUMIF(107:107,E35,108:108)-SUMIF(107:107,C35,108:108)+100</f>
        <v>100</v>
      </c>
      <c r="G35" s="1758" t="s">
        <v>5860</v>
      </c>
      <c r="H35" s="374">
        <f>SUMIF(107:107,G35,108:108)-SUMIF(107:107,C35,108:108)+100</f>
        <v>95</v>
      </c>
      <c r="I35" s="1758" t="s">
        <v>5860</v>
      </c>
      <c r="J35" s="374">
        <f>SUMIF(107:107,I35,108:108)-SUMIF(107:107,C35,108:108)+100</f>
        <v>95</v>
      </c>
      <c r="K35" s="365">
        <v>5</v>
      </c>
      <c r="L35" s="2489"/>
      <c r="M35" s="2484"/>
      <c r="N35" s="2484"/>
      <c r="O35" s="2484"/>
      <c r="P35" s="3448"/>
      <c r="Q35" s="1261" t="str">
        <f t="shared" si="11"/>
        <v>建筑品质</v>
      </c>
      <c r="R35" s="665" t="s">
        <v>18</v>
      </c>
      <c r="S35" s="666">
        <f t="shared" si="12"/>
        <v>100</v>
      </c>
      <c r="T35" s="665" t="s">
        <v>18</v>
      </c>
      <c r="U35" s="666">
        <f t="shared" si="13"/>
        <v>95</v>
      </c>
      <c r="V35" s="665" t="s">
        <v>18</v>
      </c>
      <c r="W35" s="666">
        <f t="shared" si="14"/>
        <v>95</v>
      </c>
      <c r="X35" s="1263"/>
      <c r="Y35" s="3388"/>
      <c r="Z35" s="1262" t="str">
        <f t="shared" si="18"/>
        <v>建筑品质</v>
      </c>
      <c r="AA35" s="1262">
        <f t="shared" si="15"/>
        <v>1</v>
      </c>
      <c r="AB35" s="1262">
        <f t="shared" si="16"/>
        <v>1.0526315789473684</v>
      </c>
      <c r="AC35" s="1262">
        <f t="shared" si="17"/>
        <v>1.0526315789473684</v>
      </c>
    </row>
    <row r="36" spans="1:29" ht="15">
      <c r="A36" s="409"/>
      <c r="B36" s="364" t="s">
        <v>1700</v>
      </c>
      <c r="C36" s="3187" t="s">
        <v>5822</v>
      </c>
      <c r="D36" s="374">
        <v>100</v>
      </c>
      <c r="E36" s="3187" t="s">
        <v>5822</v>
      </c>
      <c r="F36" s="400">
        <f>SUMIF(109:109,E36,110:110)-SUMIF(109:109,C36,110:110)+100</f>
        <v>100</v>
      </c>
      <c r="G36" s="3187" t="s">
        <v>5822</v>
      </c>
      <c r="H36" s="374">
        <f>SUMIF(109:109,G36,110:110)-SUMIF(109:109,C36,110:110)+100</f>
        <v>100</v>
      </c>
      <c r="I36" s="3187" t="s">
        <v>5822</v>
      </c>
      <c r="J36" s="374">
        <f>SUMIF(109:109,I36,110:110)-SUMIF(109:109,C36,110:110)+100</f>
        <v>100</v>
      </c>
      <c r="K36" s="365">
        <v>2</v>
      </c>
      <c r="L36" s="2489"/>
      <c r="M36" s="2484"/>
      <c r="N36" s="2484"/>
      <c r="O36" s="2484"/>
      <c r="P36" s="3448"/>
      <c r="Q36" s="1261" t="str">
        <f t="shared" si="11"/>
        <v>公共部分装修</v>
      </c>
      <c r="R36" s="665" t="s">
        <v>18</v>
      </c>
      <c r="S36" s="666">
        <f t="shared" si="12"/>
        <v>100</v>
      </c>
      <c r="T36" s="665" t="s">
        <v>18</v>
      </c>
      <c r="U36" s="666">
        <f t="shared" si="13"/>
        <v>100</v>
      </c>
      <c r="V36" s="665" t="s">
        <v>18</v>
      </c>
      <c r="W36" s="666">
        <f t="shared" si="14"/>
        <v>100</v>
      </c>
      <c r="X36" s="1263"/>
      <c r="Y36" s="3388"/>
      <c r="Z36" s="1262" t="str">
        <f t="shared" si="18"/>
        <v>公共部分装修</v>
      </c>
      <c r="AA36" s="1262">
        <f t="shared" si="15"/>
        <v>1</v>
      </c>
      <c r="AB36" s="1262">
        <f t="shared" si="16"/>
        <v>1</v>
      </c>
      <c r="AC36" s="1262">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5"/>
      <c r="M37" s="2436"/>
      <c r="N37" s="2436"/>
      <c r="O37" s="2436"/>
      <c r="P37" s="3448"/>
      <c r="Q37" s="528" t="str">
        <f t="shared" si="11"/>
        <v>成新度</v>
      </c>
      <c r="R37" s="662" t="s">
        <v>18</v>
      </c>
      <c r="S37" s="663">
        <f t="shared" si="12"/>
        <v>100</v>
      </c>
      <c r="T37" s="662" t="s">
        <v>18</v>
      </c>
      <c r="U37" s="663">
        <f t="shared" si="13"/>
        <v>100</v>
      </c>
      <c r="V37" s="662" t="s">
        <v>18</v>
      </c>
      <c r="W37" s="663">
        <f t="shared" si="14"/>
        <v>100</v>
      </c>
      <c r="X37" s="664"/>
      <c r="Y37" s="3388"/>
      <c r="Z37" s="50" t="str">
        <f t="shared" si="18"/>
        <v>成新度</v>
      </c>
      <c r="AA37" s="50">
        <f t="shared" si="15"/>
        <v>1</v>
      </c>
      <c r="AB37" s="50">
        <f t="shared" si="16"/>
        <v>1</v>
      </c>
      <c r="AC37" s="50">
        <f t="shared" si="17"/>
        <v>1</v>
      </c>
    </row>
    <row r="38" spans="1:29" ht="15">
      <c r="A38" s="409"/>
      <c r="B38" s="364" t="s">
        <v>1702</v>
      </c>
      <c r="C38" s="3187" t="s">
        <v>5823</v>
      </c>
      <c r="D38" s="374">
        <v>100</v>
      </c>
      <c r="E38" s="3187" t="s">
        <v>5823</v>
      </c>
      <c r="F38" s="400">
        <f>SUMIF(114:114,E38,115:115)-SUMIF(114:114,C38,115:115)+100</f>
        <v>100</v>
      </c>
      <c r="G38" s="3187" t="s">
        <v>5823</v>
      </c>
      <c r="H38" s="374">
        <f>SUMIF(114:114,G38,115:115)-SUMIF(114:114,C38,115:115)+100</f>
        <v>100</v>
      </c>
      <c r="I38" s="3187" t="s">
        <v>5823</v>
      </c>
      <c r="J38" s="374">
        <f>SUMIF(114:114,I38,115:115)-SUMIF(114:114,C38,115:115)+100</f>
        <v>100</v>
      </c>
      <c r="K38" s="365">
        <v>2</v>
      </c>
      <c r="L38" s="2489"/>
      <c r="M38" s="2484"/>
      <c r="N38" s="2484"/>
      <c r="O38" s="2484"/>
      <c r="P38" s="3448" t="s">
        <v>1696</v>
      </c>
      <c r="Q38" s="1261" t="str">
        <f t="shared" si="11"/>
        <v>物业管理</v>
      </c>
      <c r="R38" s="665" t="s">
        <v>18</v>
      </c>
      <c r="S38" s="666">
        <f t="shared" si="12"/>
        <v>100</v>
      </c>
      <c r="T38" s="665" t="s">
        <v>18</v>
      </c>
      <c r="U38" s="666">
        <f t="shared" si="13"/>
        <v>100</v>
      </c>
      <c r="V38" s="665" t="s">
        <v>18</v>
      </c>
      <c r="W38" s="666">
        <f t="shared" si="14"/>
        <v>100</v>
      </c>
      <c r="X38" s="1263"/>
      <c r="Y38" s="3388" t="s">
        <v>1696</v>
      </c>
      <c r="Z38" s="1262" t="str">
        <f t="shared" si="18"/>
        <v>物业管理</v>
      </c>
      <c r="AA38" s="1262">
        <f t="shared" si="15"/>
        <v>1</v>
      </c>
      <c r="AB38" s="1262">
        <f t="shared" si="16"/>
        <v>1</v>
      </c>
      <c r="AC38" s="1262">
        <f t="shared" si="17"/>
        <v>1</v>
      </c>
    </row>
    <row r="39" spans="1:29" ht="15">
      <c r="A39" s="409"/>
      <c r="B39" s="364" t="s">
        <v>1703</v>
      </c>
      <c r="C39" s="3187" t="s">
        <v>5801</v>
      </c>
      <c r="D39" s="374">
        <v>100</v>
      </c>
      <c r="E39" s="3187" t="s">
        <v>5801</v>
      </c>
      <c r="F39" s="400">
        <f>SUMIF(116:116,E39,117:117)-SUMIF(116:116,C39,117:117)+100</f>
        <v>100</v>
      </c>
      <c r="G39" s="3187" t="s">
        <v>5799</v>
      </c>
      <c r="H39" s="374">
        <f>SUMIF(116:116,G39,117:117)-SUMIF(116:116,C39,117:117)+100</f>
        <v>101</v>
      </c>
      <c r="I39" s="3187" t="s">
        <v>5799</v>
      </c>
      <c r="J39" s="374">
        <f>SUMIF(116:116,I39,117:117)-SUMIF(116:116,C39,117:117)+100</f>
        <v>101</v>
      </c>
      <c r="K39" s="365">
        <v>1</v>
      </c>
      <c r="L39" s="2489"/>
      <c r="M39" s="2484"/>
      <c r="N39" s="2484"/>
      <c r="O39" s="2484"/>
      <c r="P39" s="3448"/>
      <c r="Q39" s="1261" t="str">
        <f t="shared" si="11"/>
        <v>市政基础设施</v>
      </c>
      <c r="R39" s="665" t="s">
        <v>18</v>
      </c>
      <c r="S39" s="666">
        <f t="shared" si="12"/>
        <v>100</v>
      </c>
      <c r="T39" s="665" t="s">
        <v>18</v>
      </c>
      <c r="U39" s="666">
        <f t="shared" si="13"/>
        <v>101</v>
      </c>
      <c r="V39" s="665" t="s">
        <v>18</v>
      </c>
      <c r="W39" s="666">
        <f t="shared" si="14"/>
        <v>101</v>
      </c>
      <c r="X39" s="1263"/>
      <c r="Y39" s="3388"/>
      <c r="Z39" s="1262" t="str">
        <f t="shared" si="18"/>
        <v>市政基础设施</v>
      </c>
      <c r="AA39" s="1262">
        <f t="shared" si="15"/>
        <v>1</v>
      </c>
      <c r="AB39" s="1262">
        <f t="shared" si="16"/>
        <v>0.99009900990099009</v>
      </c>
      <c r="AC39" s="1262">
        <f t="shared" si="17"/>
        <v>0.99009900990099009</v>
      </c>
    </row>
    <row r="40" spans="1:29" ht="15">
      <c r="A40" s="409"/>
      <c r="B40" s="364" t="s">
        <v>1704</v>
      </c>
      <c r="C40" s="3187"/>
      <c r="D40" s="374">
        <v>100</v>
      </c>
      <c r="E40" s="3187"/>
      <c r="F40" s="400">
        <f>SUMIF(118:118,E40,119:119)-SUMIF(118:118,C40,119:119)+100</f>
        <v>100</v>
      </c>
      <c r="G40" s="3187"/>
      <c r="H40" s="374">
        <f>SUMIF(118:118,G40,119:119)-SUMIF(118:118,C40,119:119)+100</f>
        <v>100</v>
      </c>
      <c r="I40" s="3187"/>
      <c r="J40" s="374">
        <f>SUMIF(118:118,I40,119:119)-SUMIF(118:118,C40,119:119)+100</f>
        <v>100</v>
      </c>
      <c r="K40" s="365"/>
      <c r="L40" s="2489"/>
      <c r="M40" s="2484"/>
      <c r="N40" s="2484"/>
      <c r="O40" s="2484"/>
      <c r="P40" s="3448"/>
      <c r="Q40" s="1261" t="str">
        <f t="shared" si="11"/>
        <v>房型</v>
      </c>
      <c r="R40" s="665" t="s">
        <v>18</v>
      </c>
      <c r="S40" s="666">
        <f t="shared" si="12"/>
        <v>100</v>
      </c>
      <c r="T40" s="665" t="s">
        <v>18</v>
      </c>
      <c r="U40" s="666">
        <f t="shared" si="13"/>
        <v>100</v>
      </c>
      <c r="V40" s="665" t="s">
        <v>18</v>
      </c>
      <c r="W40" s="666">
        <f t="shared" si="14"/>
        <v>100</v>
      </c>
      <c r="X40" s="1263"/>
      <c r="Y40" s="3388"/>
      <c r="Z40" s="1262" t="str">
        <f t="shared" si="18"/>
        <v>房型</v>
      </c>
      <c r="AA40" s="1262">
        <f t="shared" si="15"/>
        <v>1</v>
      </c>
      <c r="AB40" s="1262">
        <f t="shared" si="16"/>
        <v>1</v>
      </c>
      <c r="AC40" s="1262">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8"/>
      <c r="M41" s="2490"/>
      <c r="N41" s="2490"/>
      <c r="O41" s="2490"/>
      <c r="P41" s="3448"/>
      <c r="Q41" s="529" t="str">
        <f t="shared" si="11"/>
        <v>单套/主力户型建筑面积</v>
      </c>
      <c r="R41" s="667" t="s">
        <v>18</v>
      </c>
      <c r="S41" s="668">
        <f t="shared" si="12"/>
        <v>100</v>
      </c>
      <c r="T41" s="667" t="s">
        <v>18</v>
      </c>
      <c r="U41" s="668">
        <f t="shared" si="13"/>
        <v>100</v>
      </c>
      <c r="V41" s="667" t="s">
        <v>18</v>
      </c>
      <c r="W41" s="668">
        <f t="shared" si="14"/>
        <v>100</v>
      </c>
      <c r="X41" s="669"/>
      <c r="Y41" s="3388"/>
      <c r="Z41" s="670" t="str">
        <f t="shared" si="18"/>
        <v>单套/主力户型建筑面积</v>
      </c>
      <c r="AA41" s="1262">
        <f t="shared" si="15"/>
        <v>1</v>
      </c>
      <c r="AB41" s="1262">
        <f t="shared" si="16"/>
        <v>1</v>
      </c>
      <c r="AC41" s="1262">
        <f t="shared" si="17"/>
        <v>1</v>
      </c>
    </row>
    <row r="42" spans="1:29" ht="15">
      <c r="A42" s="409"/>
      <c r="B42" s="364" t="s">
        <v>1706</v>
      </c>
      <c r="C42" s="3187" t="s">
        <v>5822</v>
      </c>
      <c r="D42" s="374">
        <v>100</v>
      </c>
      <c r="E42" s="3187" t="s">
        <v>5822</v>
      </c>
      <c r="F42" s="400">
        <f>SUMIF(122:122,E42,123:123)-SUMIF(122:122,C42,123:123)+100</f>
        <v>100</v>
      </c>
      <c r="G42" s="3187" t="s">
        <v>5822</v>
      </c>
      <c r="H42" s="374">
        <f>SUMIF(122:122,G42,123:123)-SUMIF(122:122,C42,123:123)+100</f>
        <v>100</v>
      </c>
      <c r="I42" s="3187" t="s">
        <v>5822</v>
      </c>
      <c r="J42" s="374">
        <f>SUMIF(122:122,I42,123:123)-SUMIF(122:122,C42,123:123)+100</f>
        <v>100</v>
      </c>
      <c r="K42" s="365">
        <v>3</v>
      </c>
      <c r="L42" s="2489"/>
      <c r="M42" s="2484"/>
      <c r="N42" s="2484"/>
      <c r="O42" s="2484"/>
      <c r="P42" s="3448"/>
      <c r="Q42" s="1261" t="str">
        <f t="shared" si="11"/>
        <v>内部装修</v>
      </c>
      <c r="R42" s="665" t="s">
        <v>18</v>
      </c>
      <c r="S42" s="666">
        <f t="shared" si="12"/>
        <v>100</v>
      </c>
      <c r="T42" s="665" t="s">
        <v>18</v>
      </c>
      <c r="U42" s="666">
        <f t="shared" si="13"/>
        <v>100</v>
      </c>
      <c r="V42" s="665" t="s">
        <v>18</v>
      </c>
      <c r="W42" s="666">
        <f t="shared" si="14"/>
        <v>100</v>
      </c>
      <c r="X42" s="1263"/>
      <c r="Y42" s="3388"/>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89"/>
      <c r="M43" s="2484"/>
      <c r="N43" s="2484"/>
      <c r="O43" s="2484"/>
      <c r="P43" s="3448"/>
      <c r="Q43" s="1261" t="str">
        <f t="shared" si="11"/>
        <v>内部装修维护情况</v>
      </c>
      <c r="R43" s="665" t="s">
        <v>18</v>
      </c>
      <c r="S43" s="666">
        <f t="shared" si="12"/>
        <v>100</v>
      </c>
      <c r="T43" s="665" t="s">
        <v>18</v>
      </c>
      <c r="U43" s="666">
        <f t="shared" si="13"/>
        <v>100</v>
      </c>
      <c r="V43" s="665" t="s">
        <v>18</v>
      </c>
      <c r="W43" s="666">
        <f t="shared" si="14"/>
        <v>100</v>
      </c>
      <c r="X43" s="1263"/>
      <c r="Y43" s="3388"/>
      <c r="Z43" s="1262" t="str">
        <f t="shared" si="18"/>
        <v>内部装修维护情况</v>
      </c>
      <c r="AA43" s="1262">
        <f t="shared" si="15"/>
        <v>1</v>
      </c>
      <c r="AB43" s="1262">
        <f t="shared" si="16"/>
        <v>1</v>
      </c>
      <c r="AC43" s="1262">
        <f t="shared" si="17"/>
        <v>1</v>
      </c>
    </row>
    <row r="44" spans="1:29" s="102" customFormat="1" ht="15">
      <c r="A44" s="410"/>
      <c r="B44" s="3532"/>
      <c r="C44" s="3533"/>
      <c r="D44" s="119">
        <v>100</v>
      </c>
      <c r="E44" s="3533"/>
      <c r="F44" s="364">
        <f>SUMIF(126:126,E44,127:127)-SUMIF(126:126,C44,127:127)+100</f>
        <v>100</v>
      </c>
      <c r="G44" s="3533"/>
      <c r="H44" s="119">
        <f>SUMIF(126:126,G44,127:127)-SUMIF(126:126,C44,127:127)+100</f>
        <v>100</v>
      </c>
      <c r="I44" s="3533"/>
      <c r="J44" s="119">
        <f>SUMIF(126:126,I44,127:127)-SUMIF(126:126,C44,127:127)+100</f>
        <v>100</v>
      </c>
      <c r="K44" s="1746"/>
      <c r="L44" s="2485"/>
      <c r="M44" s="2436"/>
      <c r="N44" s="2436"/>
      <c r="O44" s="2436"/>
      <c r="P44" s="3448"/>
      <c r="Q44" s="528">
        <f t="shared" si="11"/>
        <v>0</v>
      </c>
      <c r="R44" s="662" t="s">
        <v>18</v>
      </c>
      <c r="S44" s="663">
        <f t="shared" si="12"/>
        <v>100</v>
      </c>
      <c r="T44" s="662" t="s">
        <v>18</v>
      </c>
      <c r="U44" s="663">
        <f t="shared" si="13"/>
        <v>100</v>
      </c>
      <c r="V44" s="662" t="s">
        <v>18</v>
      </c>
      <c r="W44" s="663">
        <f t="shared" si="14"/>
        <v>100</v>
      </c>
      <c r="X44" s="664"/>
      <c r="Y44" s="3388"/>
      <c r="Z44" s="50">
        <f t="shared" si="18"/>
        <v>0</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9"/>
      <c r="M45" s="2484"/>
      <c r="N45" s="2484"/>
      <c r="O45" s="2484"/>
      <c r="P45" s="3448"/>
      <c r="Q45" s="1261">
        <f t="shared" si="11"/>
        <v>111</v>
      </c>
      <c r="R45" s="665" t="s">
        <v>18</v>
      </c>
      <c r="S45" s="666">
        <f t="shared" si="12"/>
        <v>100</v>
      </c>
      <c r="T45" s="665" t="s">
        <v>18</v>
      </c>
      <c r="U45" s="666">
        <f t="shared" si="13"/>
        <v>100</v>
      </c>
      <c r="V45" s="665" t="s">
        <v>18</v>
      </c>
      <c r="W45" s="666">
        <f t="shared" si="14"/>
        <v>100</v>
      </c>
      <c r="X45" s="1263"/>
      <c r="Y45" s="3388"/>
      <c r="Z45" s="1262">
        <f t="shared" si="18"/>
        <v>111</v>
      </c>
      <c r="AA45" s="1262">
        <f t="shared" si="15"/>
        <v>1</v>
      </c>
      <c r="AB45" s="1262">
        <f t="shared" si="16"/>
        <v>1</v>
      </c>
      <c r="AC45" s="1262">
        <f t="shared" si="17"/>
        <v>1</v>
      </c>
    </row>
    <row r="46" spans="1:29" ht="15.75" thickBot="1">
      <c r="A46" s="413"/>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9"/>
      <c r="M46" s="2484"/>
      <c r="N46" s="2484"/>
      <c r="O46" s="2484"/>
      <c r="P46" s="3449"/>
      <c r="Q46" s="1261">
        <f t="shared" si="11"/>
        <v>111</v>
      </c>
      <c r="R46" s="665" t="s">
        <v>17</v>
      </c>
      <c r="S46" s="666">
        <f t="shared" si="12"/>
        <v>100</v>
      </c>
      <c r="T46" s="665" t="s">
        <v>17</v>
      </c>
      <c r="U46" s="666">
        <f t="shared" si="13"/>
        <v>100</v>
      </c>
      <c r="V46" s="665" t="s">
        <v>17</v>
      </c>
      <c r="W46" s="666">
        <f t="shared" si="14"/>
        <v>100</v>
      </c>
      <c r="X46" s="1263"/>
      <c r="Y46" s="3450"/>
      <c r="Z46" s="1262">
        <f t="shared" si="18"/>
        <v>111</v>
      </c>
      <c r="AA46" s="1262">
        <f t="shared" si="15"/>
        <v>1</v>
      </c>
      <c r="AB46" s="1262">
        <f t="shared" si="16"/>
        <v>1</v>
      </c>
      <c r="AC46" s="1262">
        <f t="shared" si="17"/>
        <v>1</v>
      </c>
    </row>
    <row r="47" spans="1:29" ht="15">
      <c r="A47" s="414" t="s">
        <v>1708</v>
      </c>
      <c r="B47" s="415"/>
      <c r="C47" s="1079" t="s">
        <v>16</v>
      </c>
      <c r="D47" s="416"/>
      <c r="E47" s="417">
        <v>118003</v>
      </c>
      <c r="F47" s="418"/>
      <c r="G47" s="419">
        <v>105069</v>
      </c>
      <c r="H47" s="420"/>
      <c r="I47" s="417">
        <v>105444</v>
      </c>
      <c r="J47" s="420"/>
      <c r="K47" s="1763"/>
      <c r="L47" s="2491"/>
      <c r="M47" s="2484"/>
      <c r="N47" s="2484"/>
      <c r="O47" s="2484"/>
      <c r="P47" s="3384" t="str">
        <f>A47</f>
        <v>成交单价（元/平方米）</v>
      </c>
      <c r="Q47" s="3384"/>
      <c r="R47" s="3389">
        <f>E47</f>
        <v>118003</v>
      </c>
      <c r="S47" s="3389"/>
      <c r="T47" s="3389">
        <f>G47</f>
        <v>105069</v>
      </c>
      <c r="U47" s="3389"/>
      <c r="V47" s="3389">
        <f>I47</f>
        <v>105444</v>
      </c>
      <c r="W47" s="3389"/>
      <c r="X47" s="385"/>
      <c r="Y47" s="671"/>
      <c r="Z47" s="385"/>
      <c r="AA47" s="385"/>
      <c r="AB47" s="385"/>
      <c r="AC47" s="385"/>
    </row>
    <row r="48" spans="1:29" ht="15.75" thickBot="1">
      <c r="A48" s="421" t="s">
        <v>1709</v>
      </c>
      <c r="B48" s="422"/>
      <c r="C48" s="1080">
        <f>R49</f>
        <v>120765</v>
      </c>
      <c r="D48" s="2137" t="s">
        <v>2137</v>
      </c>
      <c r="E48" s="1081">
        <f>R48</f>
        <v>119195</v>
      </c>
      <c r="F48" s="2138"/>
      <c r="G48" s="1080">
        <f>T48</f>
        <v>121334</v>
      </c>
      <c r="H48" s="2138"/>
      <c r="I48" s="1081">
        <f>V48</f>
        <v>121767</v>
      </c>
      <c r="J48" s="2138"/>
      <c r="K48" s="2139">
        <f>F48+H48+J48</f>
        <v>0</v>
      </c>
      <c r="L48" s="2491"/>
      <c r="M48" s="2484"/>
      <c r="N48" s="2484"/>
      <c r="O48" s="2484"/>
      <c r="P48" s="3384" t="str">
        <f>A48</f>
        <v>比较价值（元/平方米）</v>
      </c>
      <c r="Q48" s="3384"/>
      <c r="R48" s="3389">
        <f>IF(F1="售价",ROUND(PRODUCT(R47,AA7:AA46),0),ROUND(PRODUCT(R47,AA7:AA46),1))</f>
        <v>119195</v>
      </c>
      <c r="S48" s="3389"/>
      <c r="T48" s="3389">
        <f>IF(F1="售价",ROUND(PRODUCT(T47,AB7:AB46),0),ROUND(PRODUCT(T47,AB7:AB46),1))</f>
        <v>121334</v>
      </c>
      <c r="U48" s="3389"/>
      <c r="V48" s="3389">
        <f>IF(F1="售价",ROUND(PRODUCT(V47,AC7:AC46),0),ROUND(PRODUCT(V47,AC7:AC46),1))</f>
        <v>121767</v>
      </c>
      <c r="W48" s="3389"/>
      <c r="X48" s="385"/>
      <c r="Y48" s="385"/>
      <c r="Z48" s="385"/>
      <c r="AA48" s="385"/>
      <c r="AB48" s="385"/>
      <c r="AC48" s="385"/>
    </row>
    <row r="49" spans="1:29" ht="15.75" thickBot="1">
      <c r="A49" s="425" t="s">
        <v>1710</v>
      </c>
      <c r="B49" s="426"/>
      <c r="C49" s="1082">
        <f>R49</f>
        <v>120765</v>
      </c>
      <c r="D49" s="351"/>
      <c r="E49" s="351"/>
      <c r="F49" s="351"/>
      <c r="G49" s="351"/>
      <c r="H49" s="351"/>
      <c r="I49" s="351"/>
      <c r="J49" s="351"/>
      <c r="K49" s="1764"/>
      <c r="L49" s="2491"/>
      <c r="M49" s="2484"/>
      <c r="N49" s="2484"/>
      <c r="O49" s="2484"/>
      <c r="P49" s="3378" t="str">
        <f>A49</f>
        <v>估价对象XX用房的比较价值（楼面单价，元/平方米）</v>
      </c>
      <c r="Q49" s="3379"/>
      <c r="R49" s="3446">
        <f>IF(F1="售价",ROUND(IF(D48="简单平均",AVERAGE(R48:V48),R48*F48+T48*H48+V48*J48),0),ROUND(IF(D48="简单平均",AVERAGE(R48:V48),R48*F48+T48*H48+V48*J48),1))</f>
        <v>120765</v>
      </c>
      <c r="S49" s="3446"/>
      <c r="T49" s="3446"/>
      <c r="U49" s="3446"/>
      <c r="V49" s="3446"/>
      <c r="W49" s="344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0" t="s">
        <v>1711</v>
      </c>
      <c r="D52" s="431"/>
      <c r="E52" s="432">
        <f>IF(E47&lt;E48,E48/E47-1,E47/E48-1)</f>
        <v>1.0101438099031412E-2</v>
      </c>
      <c r="F52" s="433" t="str">
        <f>IF(OR(E52&gt;=0.3,E52&lt;=-0.3),"超过30%","")</f>
        <v/>
      </c>
      <c r="G52" s="432">
        <f>IF(G47&lt;G48,G48/G47-1,G47/G48-1)</f>
        <v>0.1548030341965756</v>
      </c>
      <c r="H52" s="433" t="str">
        <f>IF(OR(G52&gt;=0.3,G52&lt;=-0.3),"超过30%","")</f>
        <v/>
      </c>
      <c r="I52" s="432">
        <f>IF(I47&lt;I48,I48/I47-1,I47/I48-1)</f>
        <v>0.15480254922043923</v>
      </c>
      <c r="J52" s="433" t="str">
        <f>IF(OR(I52&gt;=0.3,I52&lt;=-0.3),"超过30%","")</f>
        <v/>
      </c>
      <c r="K52" s="2496"/>
      <c r="L52" s="2492"/>
      <c r="M52" s="2484"/>
      <c r="N52" s="2484"/>
      <c r="O52" s="2484"/>
    </row>
    <row r="53" spans="1:29" ht="13.5" customHeight="1">
      <c r="A53" s="2484"/>
      <c r="B53" s="2484"/>
      <c r="C53" s="430" t="s">
        <v>1712</v>
      </c>
      <c r="D53" s="434"/>
      <c r="E53" s="432">
        <f>IF(E48&lt;G48,G48/E48-1,E48/G48-1)</f>
        <v>1.7945383615084465E-2</v>
      </c>
      <c r="F53" s="433" t="str">
        <f>IF(OR(E53&gt;=0.2,E53&lt;=-0.2),"超过20%","")</f>
        <v/>
      </c>
      <c r="G53" s="432">
        <f>IF(G48&lt;I48,I48/G48-1,G48/I48-1)</f>
        <v>3.5686617106498453E-3</v>
      </c>
      <c r="H53" s="433" t="str">
        <f>IF(OR(G53&gt;=0.2,G53&lt;=-0.2),"超过20%","")</f>
        <v/>
      </c>
      <c r="I53" s="432">
        <f>IF(I48&lt;E48,E48/I48-1,I48/E48-1)</f>
        <v>2.1578086329124613E-2</v>
      </c>
      <c r="J53" s="433" t="str">
        <f>IF(OR(I53&gt;=0.2,I53&lt;=-0.2),"超过20%","")</f>
        <v/>
      </c>
      <c r="K53" s="2496"/>
      <c r="L53" s="2492"/>
      <c r="M53" s="2484"/>
      <c r="N53" s="2484"/>
      <c r="O53" s="2484"/>
    </row>
    <row r="54" spans="1:29" s="435" customFormat="1" ht="13.5" customHeight="1">
      <c r="A54" s="2494"/>
      <c r="B54" s="2494"/>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9"/>
      <c r="L54" s="2493"/>
      <c r="M54" s="2494"/>
      <c r="N54" s="2494"/>
      <c r="O54" s="2494"/>
      <c r="P54" s="1766"/>
    </row>
    <row r="55" spans="1:29" s="435"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5"/>
      <c r="C57" s="657"/>
      <c r="D57" s="657"/>
      <c r="E57" s="657"/>
      <c r="F57" s="658"/>
      <c r="G57" s="658"/>
      <c r="H57" s="657"/>
      <c r="I57" s="657"/>
      <c r="J57" s="657"/>
      <c r="K57" s="885"/>
      <c r="L57" s="886"/>
      <c r="M57" s="884"/>
      <c r="N57" s="884"/>
      <c r="O57" s="884"/>
      <c r="P57" s="1767"/>
      <c r="Q57" s="437"/>
    </row>
    <row r="58" spans="1:29" s="440" customFormat="1" ht="15">
      <c r="A58" s="438" t="s">
        <v>1715</v>
      </c>
      <c r="B58" s="439"/>
      <c r="C58" s="1103" t="str">
        <f>YEAR(C7)&amp;"-"&amp;MONTH(C7)</f>
        <v>2025-5</v>
      </c>
      <c r="D58" s="1102">
        <f>EDATE(C58,-1)</f>
        <v>45748</v>
      </c>
      <c r="E58" s="1102">
        <f>EDATE(D58,-1)</f>
        <v>45717</v>
      </c>
      <c r="F58" s="1102">
        <f t="shared" ref="F58:O58" si="19">EDATE(E58,-1)</f>
        <v>45689</v>
      </c>
      <c r="G58" s="1102">
        <f t="shared" si="19"/>
        <v>45658</v>
      </c>
      <c r="H58" s="1102">
        <f t="shared" si="19"/>
        <v>45627</v>
      </c>
      <c r="I58" s="1102">
        <f t="shared" si="19"/>
        <v>45597</v>
      </c>
      <c r="J58" s="1102">
        <f t="shared" si="19"/>
        <v>45566</v>
      </c>
      <c r="K58" s="1102">
        <f t="shared" si="19"/>
        <v>45536</v>
      </c>
      <c r="L58" s="1102">
        <f t="shared" si="19"/>
        <v>45505</v>
      </c>
      <c r="M58" s="1102">
        <f t="shared" si="19"/>
        <v>45474</v>
      </c>
      <c r="N58" s="1102">
        <f t="shared" si="19"/>
        <v>45444</v>
      </c>
      <c r="O58" s="1102">
        <f t="shared" si="19"/>
        <v>45413</v>
      </c>
      <c r="P58" s="1098"/>
    </row>
    <row r="59" spans="1:29" s="102" customFormat="1" ht="15">
      <c r="A59" s="441"/>
      <c r="B59" s="1768"/>
      <c r="C59" s="1100">
        <v>100</v>
      </c>
      <c r="D59" s="443"/>
      <c r="E59" s="444"/>
      <c r="F59" s="444"/>
      <c r="G59" s="444"/>
      <c r="H59" s="444"/>
      <c r="I59" s="444"/>
      <c r="J59" s="444"/>
      <c r="K59" s="444"/>
      <c r="L59" s="444"/>
      <c r="M59" s="445"/>
      <c r="N59" s="444"/>
      <c r="O59" s="445"/>
      <c r="P59" s="1769"/>
    </row>
    <row r="60" spans="1:29" s="102" customFormat="1" ht="15.75" thickBot="1">
      <c r="A60" s="447" t="s">
        <v>1716</v>
      </c>
      <c r="B60" s="448"/>
      <c r="C60" s="449"/>
      <c r="D60" s="450"/>
      <c r="E60" s="450"/>
      <c r="F60" s="450"/>
      <c r="G60" s="450"/>
      <c r="H60" s="450"/>
      <c r="I60" s="450"/>
      <c r="J60" s="450"/>
      <c r="K60" s="450"/>
      <c r="L60" s="450"/>
      <c r="M60" s="451"/>
      <c r="N60" s="450"/>
      <c r="O60" s="451"/>
      <c r="P60" s="1769"/>
      <c r="Q60" s="437"/>
    </row>
    <row r="61" spans="1:29" s="102" customFormat="1" ht="15">
      <c r="A61" s="453" t="s">
        <v>1717</v>
      </c>
      <c r="B61" s="442"/>
      <c r="C61" s="454" t="s">
        <v>1718</v>
      </c>
      <c r="D61" s="31"/>
      <c r="E61" s="31"/>
      <c r="F61" s="31"/>
      <c r="G61" s="31"/>
      <c r="H61" s="31"/>
      <c r="I61" s="31"/>
      <c r="J61" s="31"/>
      <c r="K61" s="31"/>
      <c r="L61" s="455"/>
      <c r="M61" s="456"/>
      <c r="N61" s="876"/>
      <c r="O61" s="876"/>
      <c r="P61" s="1770"/>
      <c r="Q61" s="437"/>
    </row>
    <row r="62" spans="1:29" s="102" customFormat="1" ht="15.75" thickBot="1">
      <c r="A62" s="453"/>
      <c r="B62" s="442"/>
      <c r="C62" s="443">
        <v>100</v>
      </c>
      <c r="D62" s="444"/>
      <c r="E62" s="444"/>
      <c r="F62" s="444"/>
      <c r="G62" s="444"/>
      <c r="H62" s="444"/>
      <c r="I62" s="444"/>
      <c r="J62" s="444"/>
      <c r="K62" s="444"/>
      <c r="L62" s="444"/>
      <c r="M62" s="446"/>
      <c r="N62" s="876"/>
      <c r="O62" s="876"/>
      <c r="P62" s="1769"/>
      <c r="Q62" s="437"/>
    </row>
    <row r="63" spans="1:29">
      <c r="A63" s="379" t="s">
        <v>1719</v>
      </c>
      <c r="B63" s="458" t="s">
        <v>1685</v>
      </c>
      <c r="C63" s="459" t="str">
        <f>C9</f>
        <v>住宅</v>
      </c>
      <c r="D63" s="460"/>
      <c r="E63" s="460"/>
      <c r="F63" s="460"/>
      <c r="G63" s="460"/>
      <c r="H63" s="460"/>
      <c r="I63" s="460"/>
      <c r="J63" s="460"/>
      <c r="K63" s="461"/>
      <c r="L63" s="462"/>
      <c r="M63" s="463"/>
      <c r="N63" s="877"/>
      <c r="O63" s="877"/>
      <c r="P63" s="1771"/>
      <c r="Q63" s="437"/>
    </row>
    <row r="64" spans="1:29" ht="15.75" thickBot="1">
      <c r="A64" s="367"/>
      <c r="B64" s="464"/>
      <c r="C64" s="465">
        <v>100</v>
      </c>
      <c r="D64" s="465"/>
      <c r="E64" s="465"/>
      <c r="F64" s="465"/>
      <c r="G64" s="465"/>
      <c r="H64" s="465"/>
      <c r="I64" s="465"/>
      <c r="J64" s="465"/>
      <c r="K64" s="465"/>
      <c r="L64" s="465"/>
      <c r="M64" s="466"/>
      <c r="N64" s="878"/>
      <c r="O64" s="878"/>
      <c r="P64" s="1771"/>
      <c r="Q64" s="437"/>
    </row>
    <row r="65" spans="1:17" ht="27.75" thickTop="1">
      <c r="A65" s="367"/>
      <c r="B65" s="467" t="s">
        <v>1688</v>
      </c>
      <c r="C65" s="511"/>
      <c r="D65" s="511"/>
      <c r="E65" s="511"/>
      <c r="F65" s="511"/>
      <c r="G65" s="511"/>
      <c r="H65" s="511"/>
      <c r="I65" s="511"/>
      <c r="J65" s="511"/>
      <c r="K65" s="511"/>
      <c r="L65" s="511"/>
      <c r="M65" s="511"/>
      <c r="N65" s="878"/>
      <c r="O65" s="878"/>
      <c r="P65" s="1771"/>
      <c r="Q65" s="437"/>
    </row>
    <row r="66" spans="1:17" ht="15.75" thickBot="1">
      <c r="A66" s="367"/>
      <c r="B66" s="472"/>
      <c r="C66" s="465"/>
      <c r="D66" s="465"/>
      <c r="E66" s="465"/>
      <c r="F66" s="465"/>
      <c r="G66" s="465"/>
      <c r="H66" s="465"/>
      <c r="I66" s="465"/>
      <c r="J66" s="465"/>
      <c r="K66" s="465"/>
      <c r="L66" s="465"/>
      <c r="M66" s="466"/>
      <c r="N66" s="878"/>
      <c r="O66" s="878"/>
      <c r="P66" s="1771"/>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v>
      </c>
      <c r="H67" s="476" t="str">
        <f t="shared" si="20"/>
        <v>（含）-</v>
      </c>
      <c r="I67" s="476" t="str">
        <f t="shared" si="20"/>
        <v>（含）-</v>
      </c>
      <c r="J67" s="476" t="str">
        <f t="shared" si="20"/>
        <v>（含）-</v>
      </c>
      <c r="K67" s="476" t="str">
        <f>K68&amp;"（含）"&amp;"-"&amp;L68</f>
        <v>（含）-</v>
      </c>
      <c r="L67" s="476" t="str">
        <f t="shared" si="20"/>
        <v>（含）-</v>
      </c>
      <c r="M67" s="387" t="str">
        <f>M68&amp;"（含）"&amp;"-"&amp;P68</f>
        <v>（含）-</v>
      </c>
      <c r="N67" s="878"/>
      <c r="O67" s="878"/>
      <c r="P67" s="1771"/>
      <c r="Q67" s="437"/>
    </row>
    <row r="68" spans="1:17" ht="15">
      <c r="A68" s="367"/>
      <c r="B68" s="477"/>
      <c r="C68" s="478">
        <v>0</v>
      </c>
      <c r="D68" s="478">
        <v>1</v>
      </c>
      <c r="E68" s="478">
        <v>1.5</v>
      </c>
      <c r="F68" s="478">
        <v>2</v>
      </c>
      <c r="G68" s="478">
        <v>2.5</v>
      </c>
      <c r="H68" s="478"/>
      <c r="I68" s="478"/>
      <c r="J68" s="478"/>
      <c r="K68" s="479"/>
      <c r="L68" s="480"/>
      <c r="M68" s="481"/>
      <c r="N68" s="877"/>
      <c r="O68" s="877"/>
      <c r="P68" s="1771"/>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8"/>
      <c r="O69" s="878"/>
      <c r="P69" s="1771"/>
      <c r="Q69" s="437"/>
    </row>
    <row r="70" spans="1:17" s="408" customFormat="1" ht="15.75" thickTop="1">
      <c r="A70" s="482"/>
      <c r="B70" s="467">
        <f>B12</f>
        <v>111</v>
      </c>
      <c r="C70" s="483"/>
      <c r="D70" s="483"/>
      <c r="E70" s="483"/>
      <c r="F70" s="483"/>
      <c r="G70" s="483"/>
      <c r="H70" s="484"/>
      <c r="I70" s="484"/>
      <c r="J70" s="484"/>
      <c r="K70" s="484"/>
      <c r="L70" s="485"/>
      <c r="M70" s="486"/>
      <c r="N70" s="879"/>
      <c r="O70" s="879"/>
      <c r="P70" s="1772"/>
      <c r="Q70" s="488"/>
    </row>
    <row r="71" spans="1:17" s="408" customFormat="1" ht="15.75" thickBot="1">
      <c r="A71" s="482"/>
      <c r="B71" s="472"/>
      <c r="C71" s="489"/>
      <c r="D71" s="465"/>
      <c r="E71" s="465"/>
      <c r="F71" s="465"/>
      <c r="G71" s="465"/>
      <c r="H71" s="465"/>
      <c r="I71" s="465"/>
      <c r="J71" s="465"/>
      <c r="K71" s="465"/>
      <c r="L71" s="465"/>
      <c r="M71" s="466"/>
      <c r="N71" s="878"/>
      <c r="O71" s="878"/>
      <c r="P71" s="1772"/>
      <c r="Q71" s="488"/>
    </row>
    <row r="72" spans="1:17" s="408" customFormat="1" ht="15.75" thickTop="1">
      <c r="A72" s="482"/>
      <c r="B72" s="467">
        <f>B13</f>
        <v>111</v>
      </c>
      <c r="C72" s="483"/>
      <c r="D72" s="483"/>
      <c r="E72" s="483"/>
      <c r="F72" s="483"/>
      <c r="G72" s="483"/>
      <c r="H72" s="484"/>
      <c r="I72" s="484"/>
      <c r="J72" s="484"/>
      <c r="K72" s="484"/>
      <c r="L72" s="485"/>
      <c r="M72" s="486"/>
      <c r="N72" s="879"/>
      <c r="O72" s="879"/>
      <c r="P72" s="1773"/>
      <c r="Q72" s="490"/>
    </row>
    <row r="73" spans="1:17" s="408" customFormat="1" ht="15.75" thickBot="1">
      <c r="A73" s="482"/>
      <c r="B73" s="472"/>
      <c r="C73" s="489"/>
      <c r="D73" s="489"/>
      <c r="E73" s="489"/>
      <c r="F73" s="489"/>
      <c r="G73" s="489"/>
      <c r="H73" s="491"/>
      <c r="I73" s="491"/>
      <c r="J73" s="491"/>
      <c r="K73" s="491"/>
      <c r="L73" s="491"/>
      <c r="M73" s="492"/>
      <c r="N73" s="879"/>
      <c r="O73" s="879"/>
      <c r="P73" s="1772"/>
      <c r="Q73" s="488"/>
    </row>
    <row r="74" spans="1:17" s="408" customFormat="1" ht="15.75" thickTop="1">
      <c r="A74" s="482"/>
      <c r="B74" s="475">
        <f>B14</f>
        <v>111</v>
      </c>
      <c r="C74" s="483"/>
      <c r="D74" s="483"/>
      <c r="E74" s="483"/>
      <c r="F74" s="483"/>
      <c r="G74" s="31"/>
      <c r="H74" s="493"/>
      <c r="I74" s="493"/>
      <c r="J74" s="493"/>
      <c r="K74" s="493"/>
      <c r="L74" s="494"/>
      <c r="M74" s="495"/>
      <c r="N74" s="879"/>
      <c r="O74" s="879"/>
      <c r="P74" s="1774"/>
      <c r="Q74" s="488"/>
    </row>
    <row r="75" spans="1:17" s="408" customFormat="1" ht="15.75" thickBot="1">
      <c r="A75" s="497"/>
      <c r="B75" s="498"/>
      <c r="C75" s="499"/>
      <c r="D75" s="499"/>
      <c r="E75" s="499"/>
      <c r="F75" s="499"/>
      <c r="G75" s="499"/>
      <c r="H75" s="500"/>
      <c r="I75" s="500"/>
      <c r="J75" s="500"/>
      <c r="K75" s="500"/>
      <c r="L75" s="500"/>
      <c r="M75" s="501"/>
      <c r="N75" s="879"/>
      <c r="O75" s="879"/>
      <c r="P75" s="1772"/>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7"/>
      <c r="O76" s="877"/>
      <c r="P76" s="1775"/>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8"/>
      <c r="O77" s="878"/>
      <c r="P77" s="1771"/>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7"/>
      <c r="O78" s="877"/>
      <c r="P78" s="1771"/>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8"/>
      <c r="O79" s="878"/>
      <c r="P79" s="1771"/>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7"/>
      <c r="O80" s="877"/>
      <c r="P80" s="1771"/>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8"/>
      <c r="O81" s="878"/>
      <c r="P81" s="1771"/>
      <c r="Q81" s="437"/>
    </row>
    <row r="82" spans="1:17" ht="15.75" thickTop="1">
      <c r="A82" s="367"/>
      <c r="B82" s="475" t="s">
        <v>1260</v>
      </c>
      <c r="C82" s="468" t="s">
        <v>1728</v>
      </c>
      <c r="D82" s="468" t="s">
        <v>1729</v>
      </c>
      <c r="E82" s="468" t="s">
        <v>1730</v>
      </c>
      <c r="F82" s="468" t="s">
        <v>1731</v>
      </c>
      <c r="G82" s="468" t="s">
        <v>1732</v>
      </c>
      <c r="H82" s="468"/>
      <c r="I82" s="468"/>
      <c r="J82" s="468"/>
      <c r="K82" s="468"/>
      <c r="L82" s="468"/>
      <c r="M82" s="1061"/>
      <c r="N82" s="878"/>
      <c r="O82" s="878"/>
      <c r="P82" s="1771"/>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8"/>
      <c r="O83" s="878"/>
      <c r="P83" s="1771"/>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7"/>
      <c r="O84" s="877"/>
      <c r="P84" s="1771"/>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8"/>
      <c r="O85" s="878"/>
      <c r="P85" s="1771"/>
      <c r="Q85" s="437"/>
    </row>
    <row r="86" spans="1:17" s="102" customFormat="1" ht="15.75" thickTop="1">
      <c r="A86" s="370"/>
      <c r="B86" s="467" t="s">
        <v>1734</v>
      </c>
      <c r="C86" s="483"/>
      <c r="D86" s="483"/>
      <c r="E86" s="483"/>
      <c r="F86" s="483"/>
      <c r="G86" s="483"/>
      <c r="H86" s="483"/>
      <c r="I86" s="483"/>
      <c r="J86" s="483"/>
      <c r="K86" s="483"/>
      <c r="L86" s="508"/>
      <c r="M86" s="509"/>
      <c r="N86" s="876"/>
      <c r="O86" s="876"/>
      <c r="P86" s="1771"/>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1"/>
      <c r="Q87" s="437"/>
    </row>
    <row r="88" spans="1:17" s="102" customFormat="1" ht="15.75" thickTop="1">
      <c r="A88" s="370"/>
      <c r="B88" s="467" t="s">
        <v>1735</v>
      </c>
      <c r="C88" s="483"/>
      <c r="D88" s="483"/>
      <c r="E88" s="483"/>
      <c r="F88" s="1776"/>
      <c r="G88" s="483"/>
      <c r="H88" s="483"/>
      <c r="I88" s="483"/>
      <c r="J88" s="483"/>
      <c r="K88" s="483"/>
      <c r="L88" s="483"/>
      <c r="M88" s="509"/>
      <c r="N88" s="876"/>
      <c r="O88" s="876"/>
      <c r="P88" s="1771"/>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1"/>
      <c r="Q89" s="437"/>
    </row>
    <row r="90" spans="1:17" s="408" customFormat="1" ht="15.75" thickTop="1">
      <c r="A90" s="482"/>
      <c r="B90" s="467">
        <f>B27</f>
        <v>111</v>
      </c>
      <c r="C90" s="483"/>
      <c r="D90" s="483"/>
      <c r="E90" s="483"/>
      <c r="F90" s="483"/>
      <c r="G90" s="483"/>
      <c r="H90" s="484"/>
      <c r="I90" s="484"/>
      <c r="J90" s="484"/>
      <c r="K90" s="484"/>
      <c r="L90" s="485"/>
      <c r="M90" s="486"/>
      <c r="N90" s="879"/>
      <c r="O90" s="879"/>
      <c r="P90" s="1772"/>
      <c r="Q90" s="488"/>
    </row>
    <row r="91" spans="1:17" s="408" customFormat="1" ht="15.75" thickBot="1">
      <c r="A91" s="482"/>
      <c r="B91" s="472"/>
      <c r="C91" s="489"/>
      <c r="D91" s="489"/>
      <c r="E91" s="489"/>
      <c r="F91" s="489"/>
      <c r="G91" s="489"/>
      <c r="H91" s="491"/>
      <c r="I91" s="491"/>
      <c r="J91" s="491"/>
      <c r="K91" s="491"/>
      <c r="L91" s="491"/>
      <c r="M91" s="492"/>
      <c r="N91" s="879"/>
      <c r="O91" s="879"/>
      <c r="P91" s="1772"/>
      <c r="Q91" s="488"/>
    </row>
    <row r="92" spans="1:17" ht="15.75" thickTop="1">
      <c r="A92" s="367"/>
      <c r="B92" s="467">
        <f>B28</f>
        <v>111</v>
      </c>
      <c r="C92" s="483"/>
      <c r="D92" s="483"/>
      <c r="E92" s="483"/>
      <c r="F92" s="483"/>
      <c r="G92" s="511"/>
      <c r="H92" s="511"/>
      <c r="I92" s="511"/>
      <c r="J92" s="511"/>
      <c r="K92" s="512"/>
      <c r="L92" s="513"/>
      <c r="M92" s="514"/>
      <c r="N92" s="877"/>
      <c r="O92" s="877"/>
      <c r="P92" s="1771"/>
      <c r="Q92" s="437"/>
    </row>
    <row r="93" spans="1:17" ht="15.75" thickBot="1">
      <c r="A93" s="367"/>
      <c r="B93" s="472"/>
      <c r="C93" s="489"/>
      <c r="D93" s="465"/>
      <c r="E93" s="465"/>
      <c r="F93" s="465"/>
      <c r="G93" s="465"/>
      <c r="H93" s="465"/>
      <c r="I93" s="465"/>
      <c r="J93" s="465"/>
      <c r="K93" s="465"/>
      <c r="L93" s="465"/>
      <c r="M93" s="466"/>
      <c r="N93" s="878"/>
      <c r="O93" s="878"/>
      <c r="P93" s="1771"/>
      <c r="Q93" s="437"/>
    </row>
    <row r="94" spans="1:17" ht="15.75" thickTop="1">
      <c r="A94" s="367"/>
      <c r="B94" s="467">
        <f>B29</f>
        <v>111</v>
      </c>
      <c r="C94" s="483"/>
      <c r="D94" s="483"/>
      <c r="E94" s="483"/>
      <c r="F94" s="483"/>
      <c r="G94" s="511"/>
      <c r="H94" s="511"/>
      <c r="I94" s="511"/>
      <c r="J94" s="511"/>
      <c r="K94" s="512"/>
      <c r="L94" s="513"/>
      <c r="M94" s="514"/>
      <c r="N94" s="877"/>
      <c r="O94" s="877"/>
      <c r="P94" s="1771"/>
      <c r="Q94" s="437"/>
    </row>
    <row r="95" spans="1:17" ht="15.75" thickBot="1">
      <c r="A95" s="367"/>
      <c r="B95" s="472"/>
      <c r="C95" s="489"/>
      <c r="D95" s="489"/>
      <c r="E95" s="489"/>
      <c r="F95" s="489"/>
      <c r="G95" s="465"/>
      <c r="H95" s="465"/>
      <c r="I95" s="465"/>
      <c r="J95" s="465"/>
      <c r="K95" s="465"/>
      <c r="L95" s="465"/>
      <c r="M95" s="466"/>
      <c r="N95" s="878"/>
      <c r="O95" s="878"/>
      <c r="P95" s="1771"/>
      <c r="Q95" s="437"/>
    </row>
    <row r="96" spans="1:17" ht="15.75" thickTop="1">
      <c r="A96" s="367"/>
      <c r="B96" s="467">
        <f>B30</f>
        <v>111</v>
      </c>
      <c r="C96" s="483"/>
      <c r="D96" s="483"/>
      <c r="E96" s="483"/>
      <c r="F96" s="483"/>
      <c r="G96" s="511"/>
      <c r="H96" s="511"/>
      <c r="I96" s="511"/>
      <c r="J96" s="511"/>
      <c r="K96" s="512"/>
      <c r="L96" s="513"/>
      <c r="M96" s="514"/>
      <c r="N96" s="877"/>
      <c r="O96" s="877"/>
      <c r="P96" s="1771"/>
      <c r="Q96" s="437"/>
    </row>
    <row r="97" spans="1:17" ht="15.75" thickBot="1">
      <c r="A97" s="367"/>
      <c r="B97" s="472"/>
      <c r="C97" s="499"/>
      <c r="D97" s="499"/>
      <c r="E97" s="499"/>
      <c r="F97" s="499"/>
      <c r="G97" s="465"/>
      <c r="H97" s="465"/>
      <c r="I97" s="465"/>
      <c r="J97" s="465"/>
      <c r="K97" s="465"/>
      <c r="L97" s="465"/>
      <c r="M97" s="466"/>
      <c r="N97" s="878"/>
      <c r="O97" s="878"/>
      <c r="P97" s="1771"/>
      <c r="Q97" s="437"/>
    </row>
    <row r="98" spans="1:17" ht="15.75" thickTop="1">
      <c r="A98" s="367"/>
      <c r="B98" s="475">
        <f>B31</f>
        <v>111</v>
      </c>
      <c r="C98" s="515"/>
      <c r="D98" s="515"/>
      <c r="E98" s="515"/>
      <c r="F98" s="515"/>
      <c r="G98" s="515"/>
      <c r="H98" s="515"/>
      <c r="I98" s="515"/>
      <c r="J98" s="515"/>
      <c r="K98" s="516"/>
      <c r="L98" s="517"/>
      <c r="M98" s="518"/>
      <c r="N98" s="877"/>
      <c r="O98" s="877"/>
      <c r="P98" s="1771"/>
      <c r="Q98" s="437"/>
    </row>
    <row r="99" spans="1:17" ht="15.75" thickBot="1">
      <c r="A99" s="375"/>
      <c r="B99" s="498"/>
      <c r="C99" s="519"/>
      <c r="D99" s="519"/>
      <c r="E99" s="519"/>
      <c r="F99" s="519"/>
      <c r="G99" s="519"/>
      <c r="H99" s="519"/>
      <c r="I99" s="519"/>
      <c r="J99" s="519"/>
      <c r="K99" s="519"/>
      <c r="L99" s="519"/>
      <c r="M99" s="520"/>
      <c r="N99" s="878"/>
      <c r="O99" s="878"/>
      <c r="P99" s="1771"/>
      <c r="Q99" s="437"/>
    </row>
    <row r="100" spans="1:17">
      <c r="A100" s="379" t="s">
        <v>1694</v>
      </c>
      <c r="B100" s="458" t="s">
        <v>1736</v>
      </c>
      <c r="C100" s="3184" t="s">
        <v>5826</v>
      </c>
      <c r="D100" s="3184" t="s">
        <v>5824</v>
      </c>
      <c r="E100" s="460"/>
      <c r="F100" s="460"/>
      <c r="G100" s="460"/>
      <c r="H100" s="460"/>
      <c r="I100" s="460"/>
      <c r="J100" s="460"/>
      <c r="K100" s="461"/>
      <c r="L100" s="462"/>
      <c r="M100" s="463"/>
      <c r="N100" s="877"/>
      <c r="O100" s="877"/>
      <c r="P100" s="1771"/>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8"/>
      <c r="O101" s="878"/>
      <c r="P101" s="1771"/>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1"/>
      <c r="Q102" s="437"/>
    </row>
    <row r="103" spans="1:17" s="408" customFormat="1">
      <c r="A103" s="406"/>
      <c r="B103" s="521"/>
      <c r="C103" s="6">
        <v>0</v>
      </c>
      <c r="D103" s="6">
        <v>50000</v>
      </c>
      <c r="E103" s="6">
        <v>100000</v>
      </c>
      <c r="F103" s="6">
        <v>200000</v>
      </c>
      <c r="G103" s="6">
        <v>500000</v>
      </c>
      <c r="H103" s="6"/>
      <c r="I103" s="6"/>
      <c r="J103" s="522"/>
      <c r="K103" s="522"/>
      <c r="L103" s="523"/>
      <c r="M103" s="524"/>
      <c r="N103" s="879"/>
      <c r="O103" s="879"/>
      <c r="P103" s="1772"/>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8"/>
      <c r="O104" s="878"/>
      <c r="P104" s="1772"/>
      <c r="Q104" s="488"/>
    </row>
    <row r="105" spans="1:17" ht="15" thickTop="1">
      <c r="A105" s="409"/>
      <c r="B105" s="467" t="s">
        <v>1738</v>
      </c>
      <c r="C105" s="483"/>
      <c r="D105" s="483"/>
      <c r="E105" s="511"/>
      <c r="F105" s="511"/>
      <c r="G105" s="511"/>
      <c r="H105" s="511"/>
      <c r="I105" s="511"/>
      <c r="J105" s="511"/>
      <c r="K105" s="512"/>
      <c r="L105" s="513"/>
      <c r="M105" s="514"/>
      <c r="N105" s="877"/>
      <c r="O105" s="877"/>
      <c r="P105" s="1771"/>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8"/>
      <c r="O106" s="878"/>
      <c r="P106" s="1771"/>
      <c r="Q106" s="437"/>
    </row>
    <row r="107" spans="1:17" ht="15" thickTop="1">
      <c r="A107" s="409"/>
      <c r="B107" s="467" t="s">
        <v>1739</v>
      </c>
      <c r="C107" s="3534" t="s">
        <v>5859</v>
      </c>
      <c r="D107" s="3534" t="s">
        <v>5861</v>
      </c>
      <c r="E107" s="511"/>
      <c r="F107" s="511"/>
      <c r="G107" s="511"/>
      <c r="H107" s="511"/>
      <c r="I107" s="511"/>
      <c r="J107" s="511"/>
      <c r="K107" s="512"/>
      <c r="L107" s="513"/>
      <c r="M107" s="514"/>
      <c r="N107" s="877"/>
      <c r="O107" s="877"/>
      <c r="P107" s="1771"/>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8"/>
      <c r="O108" s="878"/>
      <c r="P108" s="1771"/>
      <c r="Q108" s="437"/>
    </row>
    <row r="109" spans="1:17" ht="15" thickTop="1">
      <c r="A109" s="409"/>
      <c r="B109" s="467" t="s">
        <v>1740</v>
      </c>
      <c r="C109" s="483"/>
      <c r="D109" s="483"/>
      <c r="E109" s="483"/>
      <c r="F109" s="511"/>
      <c r="G109" s="511"/>
      <c r="H109" s="511"/>
      <c r="I109" s="511"/>
      <c r="J109" s="511"/>
      <c r="K109" s="512"/>
      <c r="L109" s="513"/>
      <c r="M109" s="514"/>
      <c r="N109" s="877"/>
      <c r="O109" s="877"/>
      <c r="P109" s="1771"/>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8"/>
      <c r="O110" s="878"/>
      <c r="P110" s="1771"/>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2"/>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9"/>
      <c r="O112" s="879"/>
      <c r="P112" s="1772"/>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9"/>
      <c r="O113" s="879"/>
      <c r="P113" s="1772"/>
      <c r="Q113" s="488"/>
    </row>
    <row r="114" spans="1:17" ht="15" thickTop="1">
      <c r="A114" s="409"/>
      <c r="B114" s="467" t="s">
        <v>1741</v>
      </c>
      <c r="C114" s="483"/>
      <c r="D114" s="483"/>
      <c r="E114" s="511"/>
      <c r="F114" s="511"/>
      <c r="G114" s="511"/>
      <c r="H114" s="511"/>
      <c r="I114" s="511"/>
      <c r="J114" s="511"/>
      <c r="K114" s="512"/>
      <c r="L114" s="513"/>
      <c r="M114" s="514"/>
      <c r="N114" s="877"/>
      <c r="O114" s="877"/>
      <c r="P114" s="1771"/>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8"/>
      <c r="O115" s="878"/>
      <c r="P115" s="1771"/>
      <c r="Q115" s="437"/>
    </row>
    <row r="116" spans="1:17" ht="15" thickTop="1">
      <c r="A116" s="409"/>
      <c r="B116" s="467" t="s">
        <v>1742</v>
      </c>
      <c r="C116" s="3531" t="s">
        <v>5856</v>
      </c>
      <c r="D116" s="3531" t="s">
        <v>5857</v>
      </c>
      <c r="E116" s="483"/>
      <c r="F116" s="483"/>
      <c r="G116" s="483"/>
      <c r="H116" s="511"/>
      <c r="I116" s="511"/>
      <c r="J116" s="511"/>
      <c r="K116" s="512"/>
      <c r="L116" s="513"/>
      <c r="M116" s="514"/>
      <c r="N116" s="877"/>
      <c r="O116" s="877"/>
      <c r="P116" s="1771"/>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8"/>
      <c r="O117" s="878"/>
      <c r="P117" s="1771"/>
      <c r="Q117" s="437"/>
    </row>
    <row r="118" spans="1:17" ht="15" thickTop="1">
      <c r="A118" s="409"/>
      <c r="B118" s="467" t="s">
        <v>1743</v>
      </c>
      <c r="C118" s="511"/>
      <c r="D118" s="511"/>
      <c r="E118" s="511"/>
      <c r="F118" s="511"/>
      <c r="G118" s="511"/>
      <c r="H118" s="511"/>
      <c r="I118" s="511"/>
      <c r="J118" s="511"/>
      <c r="K118" s="512"/>
      <c r="L118" s="513"/>
      <c r="M118" s="514"/>
      <c r="N118" s="877"/>
      <c r="O118" s="877"/>
      <c r="P118" s="1771"/>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1"/>
      <c r="Q119" s="437"/>
    </row>
    <row r="120" spans="1:17" s="408" customFormat="1" ht="28.5" thickTop="1">
      <c r="A120" s="406"/>
      <c r="B120" s="467" t="s">
        <v>1705</v>
      </c>
      <c r="C120" s="483"/>
      <c r="D120" s="483"/>
      <c r="E120" s="483"/>
      <c r="F120" s="483"/>
      <c r="G120" s="483"/>
      <c r="H120" s="483"/>
      <c r="I120" s="483"/>
      <c r="J120" s="483"/>
      <c r="K120" s="483"/>
      <c r="L120" s="508"/>
      <c r="M120" s="509"/>
      <c r="N120" s="879"/>
      <c r="O120" s="879"/>
      <c r="P120" s="1772"/>
      <c r="Q120" s="488"/>
    </row>
    <row r="121" spans="1:17" s="408" customFormat="1" ht="15.75" thickBot="1">
      <c r="A121" s="482"/>
      <c r="B121" s="464"/>
      <c r="C121" s="489"/>
      <c r="D121" s="465"/>
      <c r="E121" s="465"/>
      <c r="F121" s="465"/>
      <c r="G121" s="465"/>
      <c r="H121" s="465"/>
      <c r="I121" s="465"/>
      <c r="J121" s="465"/>
      <c r="K121" s="465"/>
      <c r="L121" s="465"/>
      <c r="M121" s="465"/>
      <c r="N121" s="879"/>
      <c r="O121" s="879"/>
      <c r="P121" s="1772"/>
      <c r="Q121" s="488"/>
    </row>
    <row r="122" spans="1:17" ht="15" thickTop="1">
      <c r="A122" s="409"/>
      <c r="B122" s="467" t="s">
        <v>1744</v>
      </c>
      <c r="C122" s="483"/>
      <c r="D122" s="483"/>
      <c r="E122" s="483"/>
      <c r="F122" s="511"/>
      <c r="G122" s="511"/>
      <c r="H122" s="511"/>
      <c r="I122" s="511"/>
      <c r="J122" s="511"/>
      <c r="K122" s="512"/>
      <c r="L122" s="513"/>
      <c r="M122" s="514"/>
      <c r="N122" s="877"/>
      <c r="O122" s="877"/>
      <c r="P122" s="1771"/>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8"/>
      <c r="O123" s="878"/>
      <c r="P123" s="1771"/>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7"/>
      <c r="O124" s="877"/>
      <c r="P124" s="1772"/>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8"/>
      <c r="O125" s="878"/>
      <c r="P125" s="1771"/>
      <c r="Q125" s="437"/>
    </row>
    <row r="126" spans="1:17" s="408" customFormat="1" ht="15" thickTop="1">
      <c r="A126" s="406"/>
      <c r="B126" s="467">
        <f>B44</f>
        <v>0</v>
      </c>
      <c r="C126" s="3531"/>
      <c r="D126" s="3531"/>
      <c r="E126" s="483"/>
      <c r="F126" s="483"/>
      <c r="G126" s="483"/>
      <c r="H126" s="484"/>
      <c r="I126" s="484"/>
      <c r="J126" s="484"/>
      <c r="K126" s="484"/>
      <c r="L126" s="485"/>
      <c r="M126" s="486"/>
      <c r="N126" s="879"/>
      <c r="O126" s="879"/>
      <c r="P126" s="1772"/>
      <c r="Q126" s="488"/>
    </row>
    <row r="127" spans="1:17" s="408" customFormat="1" ht="15.75" thickBot="1">
      <c r="A127" s="482"/>
      <c r="B127" s="472"/>
      <c r="C127" s="489"/>
      <c r="D127" s="465"/>
      <c r="E127" s="465"/>
      <c r="F127" s="465"/>
      <c r="G127" s="489"/>
      <c r="H127" s="491"/>
      <c r="I127" s="491"/>
      <c r="J127" s="491"/>
      <c r="K127" s="491"/>
      <c r="L127" s="491"/>
      <c r="M127" s="492"/>
      <c r="N127" s="879"/>
      <c r="O127" s="879"/>
      <c r="P127" s="1772"/>
      <c r="Q127" s="488"/>
    </row>
    <row r="128" spans="1:17" ht="15" thickTop="1">
      <c r="A128" s="409"/>
      <c r="B128" s="467">
        <f>B45</f>
        <v>111</v>
      </c>
      <c r="C128" s="483"/>
      <c r="D128" s="483"/>
      <c r="E128" s="483"/>
      <c r="F128" s="483"/>
      <c r="G128" s="511"/>
      <c r="H128" s="511"/>
      <c r="I128" s="511"/>
      <c r="J128" s="511"/>
      <c r="K128" s="512"/>
      <c r="L128" s="513"/>
      <c r="M128" s="514"/>
      <c r="N128" s="877"/>
      <c r="O128" s="877"/>
      <c r="P128" s="1771"/>
      <c r="Q128" s="437"/>
    </row>
    <row r="129" spans="1:17" ht="15.75" thickBot="1">
      <c r="A129" s="367"/>
      <c r="B129" s="472"/>
      <c r="C129" s="489"/>
      <c r="D129" s="489"/>
      <c r="E129" s="489"/>
      <c r="F129" s="489"/>
      <c r="G129" s="465"/>
      <c r="H129" s="465"/>
      <c r="I129" s="465"/>
      <c r="J129" s="465"/>
      <c r="K129" s="465"/>
      <c r="L129" s="465"/>
      <c r="M129" s="466"/>
      <c r="N129" s="878"/>
      <c r="O129" s="878"/>
      <c r="P129" s="1771"/>
      <c r="Q129" s="437"/>
    </row>
    <row r="130" spans="1:17" ht="15" thickTop="1">
      <c r="A130" s="409"/>
      <c r="B130" s="475">
        <f>B46</f>
        <v>111</v>
      </c>
      <c r="C130" s="483"/>
      <c r="D130" s="483"/>
      <c r="E130" s="483"/>
      <c r="F130" s="483"/>
      <c r="G130" s="515"/>
      <c r="H130" s="515"/>
      <c r="I130" s="515"/>
      <c r="J130" s="515"/>
      <c r="K130" s="31"/>
      <c r="L130" s="455"/>
      <c r="M130" s="518"/>
      <c r="N130" s="877"/>
      <c r="O130" s="877"/>
      <c r="P130" s="1771"/>
      <c r="Q130" s="437"/>
    </row>
    <row r="131" spans="1:17" ht="15.75" thickBot="1">
      <c r="A131" s="375"/>
      <c r="B131" s="498"/>
      <c r="C131" s="499"/>
      <c r="D131" s="499"/>
      <c r="E131" s="499"/>
      <c r="F131" s="499"/>
      <c r="G131" s="519"/>
      <c r="H131" s="519"/>
      <c r="I131" s="519"/>
      <c r="J131" s="519"/>
      <c r="K131" s="519"/>
      <c r="L131" s="519"/>
      <c r="M131" s="520"/>
      <c r="N131" s="878"/>
      <c r="O131" s="878"/>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3">
        <f>ROUNDUP((J139-1)/2,0)</f>
        <v>10</v>
      </c>
      <c r="K140" s="823">
        <v>100</v>
      </c>
    </row>
    <row r="141" spans="1:17" ht="15">
      <c r="B141" s="818">
        <v>4</v>
      </c>
      <c r="C141" s="819">
        <v>102</v>
      </c>
      <c r="D141" s="819"/>
      <c r="E141" s="820"/>
      <c r="F141" s="821">
        <v>101.5</v>
      </c>
      <c r="G141" s="819"/>
      <c r="H141" s="822"/>
      <c r="I141" s="1790" t="s">
        <v>1758</v>
      </c>
      <c r="J141" s="263">
        <v>1</v>
      </c>
      <c r="K141" s="824">
        <f>ROUND(100+(J141-J140)*K139*100,1)</f>
        <v>96.4</v>
      </c>
    </row>
    <row r="142" spans="1:17" ht="15">
      <c r="B142" s="818">
        <v>3</v>
      </c>
      <c r="C142" s="819">
        <v>103</v>
      </c>
      <c r="D142" s="819"/>
      <c r="E142" s="820"/>
      <c r="F142" s="821">
        <v>101</v>
      </c>
      <c r="G142" s="819"/>
      <c r="H142" s="822"/>
      <c r="I142" s="1790" t="s">
        <v>1759</v>
      </c>
      <c r="J142" s="263">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5.75"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1"/>
      <c r="F1" s="1733"/>
      <c r="G1" s="1150" t="s">
        <v>1767</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1800"/>
      <c r="Q2" s="857"/>
      <c r="R2" s="857"/>
      <c r="S2" s="857"/>
      <c r="T2" s="857"/>
      <c r="U2" s="857"/>
      <c r="V2" s="857"/>
      <c r="W2" s="857"/>
      <c r="X2" s="857"/>
      <c r="Y2" s="857"/>
      <c r="Z2" s="857"/>
      <c r="AA2" s="857"/>
      <c r="AB2" s="857"/>
      <c r="AC2" s="1801"/>
    </row>
    <row r="3" spans="1:29" s="342" customFormat="1" ht="28.5" customHeight="1" thickBot="1">
      <c r="A3" s="195" t="s">
        <v>1464</v>
      </c>
      <c r="B3" s="534">
        <f>IF(C2="——",C49,ROUND(B2*10000/D3,0))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1800"/>
      <c r="Q3" s="857"/>
      <c r="R3" s="857"/>
      <c r="S3" s="857"/>
      <c r="T3" s="857"/>
      <c r="U3" s="857"/>
      <c r="V3" s="857"/>
      <c r="W3" s="857"/>
      <c r="X3" s="857"/>
      <c r="Y3" s="857"/>
      <c r="Z3" s="857"/>
      <c r="AA3" s="857"/>
      <c r="AB3" s="857"/>
      <c r="AC3" s="1801"/>
    </row>
    <row r="4" spans="1:29" ht="15">
      <c r="A4" s="345" t="s">
        <v>1769</v>
      </c>
      <c r="B4" s="346"/>
      <c r="C4" s="3381" t="s">
        <v>1770</v>
      </c>
      <c r="D4" s="3393"/>
      <c r="E4" s="3394" t="s">
        <v>1771</v>
      </c>
      <c r="F4" s="3395"/>
      <c r="G4" s="3381" t="s">
        <v>1772</v>
      </c>
      <c r="H4" s="3393"/>
      <c r="I4" s="3381" t="s">
        <v>1773</v>
      </c>
      <c r="J4" s="3393"/>
      <c r="K4" s="535" t="s">
        <v>1774</v>
      </c>
      <c r="L4" s="2483"/>
      <c r="M4" s="2484"/>
      <c r="N4" s="2484"/>
      <c r="O4" s="2484"/>
      <c r="P4" s="3396" t="s">
        <v>1775</v>
      </c>
      <c r="Q4" s="3397"/>
      <c r="R4" s="3402" t="s">
        <v>1771</v>
      </c>
      <c r="S4" s="3403"/>
      <c r="T4" s="3402" t="s">
        <v>1772</v>
      </c>
      <c r="U4" s="3403"/>
      <c r="V4" s="3389" t="s">
        <v>1773</v>
      </c>
      <c r="W4" s="3389"/>
      <c r="X4" s="1263"/>
      <c r="Y4" s="3402" t="s">
        <v>1775</v>
      </c>
      <c r="Z4" s="3403"/>
      <c r="AA4" s="3390" t="s">
        <v>1771</v>
      </c>
      <c r="AB4" s="3389" t="s">
        <v>1772</v>
      </c>
      <c r="AC4" s="3390" t="s">
        <v>1773</v>
      </c>
    </row>
    <row r="5" spans="1:29" ht="15">
      <c r="A5" s="348"/>
      <c r="B5" s="349"/>
      <c r="C5" s="3415" t="s">
        <v>1673</v>
      </c>
      <c r="D5" s="3411"/>
      <c r="E5" s="3453" t="s">
        <v>1674</v>
      </c>
      <c r="F5" s="3419"/>
      <c r="G5" s="3415" t="s">
        <v>1675</v>
      </c>
      <c r="H5" s="3411"/>
      <c r="I5" s="3415" t="s">
        <v>1676</v>
      </c>
      <c r="J5" s="3411"/>
      <c r="K5" s="535"/>
      <c r="L5" s="2483"/>
      <c r="M5" s="2484"/>
      <c r="N5" s="2484"/>
      <c r="O5" s="2484"/>
      <c r="P5" s="3398"/>
      <c r="Q5" s="3399"/>
      <c r="R5" s="3404"/>
      <c r="S5" s="3405"/>
      <c r="T5" s="3404"/>
      <c r="U5" s="3405"/>
      <c r="V5" s="3389"/>
      <c r="W5" s="3389"/>
      <c r="X5" s="1263"/>
      <c r="Y5" s="3404"/>
      <c r="Z5" s="3405"/>
      <c r="AA5" s="3391"/>
      <c r="AB5" s="3389"/>
      <c r="AC5" s="3391"/>
    </row>
    <row r="6" spans="1:29" ht="15.75" thickBot="1">
      <c r="A6" s="350"/>
      <c r="B6" s="351"/>
      <c r="C6" s="3408" t="s">
        <v>1677</v>
      </c>
      <c r="D6" s="3409"/>
      <c r="E6" s="3416" t="s">
        <v>1677</v>
      </c>
      <c r="F6" s="3417"/>
      <c r="G6" s="3408" t="s">
        <v>1677</v>
      </c>
      <c r="H6" s="3409"/>
      <c r="I6" s="3408" t="s">
        <v>1677</v>
      </c>
      <c r="J6" s="3409"/>
      <c r="K6" s="535" t="s">
        <v>1678</v>
      </c>
      <c r="L6" s="2483"/>
      <c r="M6" s="2484"/>
      <c r="N6" s="2484"/>
      <c r="O6" s="2484"/>
      <c r="P6" s="3400"/>
      <c r="Q6" s="3401"/>
      <c r="R6" s="3404"/>
      <c r="S6" s="3405"/>
      <c r="T6" s="3406"/>
      <c r="U6" s="3407"/>
      <c r="V6" s="3389"/>
      <c r="W6" s="3389"/>
      <c r="X6" s="1263"/>
      <c r="Y6" s="3406"/>
      <c r="Z6" s="3407"/>
      <c r="AA6" s="3392"/>
      <c r="AB6" s="3389"/>
      <c r="AC6" s="3392"/>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5"/>
      <c r="M7" s="2436"/>
      <c r="N7" s="2436"/>
      <c r="O7" s="2436"/>
      <c r="P7" s="341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412" t="s">
        <v>1683</v>
      </c>
      <c r="Q8" s="3413"/>
      <c r="R8" s="662" t="s">
        <v>14</v>
      </c>
      <c r="S8" s="663">
        <f t="shared" si="0"/>
        <v>100</v>
      </c>
      <c r="T8" s="662" t="s">
        <v>14</v>
      </c>
      <c r="U8" s="663">
        <f t="shared" si="1"/>
        <v>100</v>
      </c>
      <c r="V8" s="662" t="s">
        <v>14</v>
      </c>
      <c r="W8" s="663">
        <f t="shared" si="2"/>
        <v>100</v>
      </c>
      <c r="X8" s="664"/>
      <c r="Y8" s="3412" t="s">
        <v>1683</v>
      </c>
      <c r="Z8" s="341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83" t="s">
        <v>1686</v>
      </c>
      <c r="Q9" s="528" t="str">
        <f t="shared" ref="Q9:Q15" si="6">B9</f>
        <v>用途</v>
      </c>
      <c r="R9" s="662" t="s">
        <v>14</v>
      </c>
      <c r="S9" s="663">
        <f t="shared" si="0"/>
        <v>100</v>
      </c>
      <c r="T9" s="662" t="s">
        <v>14</v>
      </c>
      <c r="U9" s="663">
        <f t="shared" si="1"/>
        <v>100</v>
      </c>
      <c r="V9" s="662" t="s">
        <v>14</v>
      </c>
      <c r="W9" s="663">
        <f t="shared" si="2"/>
        <v>100</v>
      </c>
      <c r="X9" s="664"/>
      <c r="Y9" s="328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3"/>
      <c r="Q10" s="528"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8"/>
      <c r="M11" s="2484"/>
      <c r="N11" s="2484"/>
      <c r="O11" s="2484"/>
      <c r="P11" s="3383"/>
      <c r="Q11" s="528" t="str">
        <f t="shared" si="6"/>
        <v>容积率</v>
      </c>
      <c r="R11" s="662" t="s">
        <v>14</v>
      </c>
      <c r="S11" s="663" t="e">
        <f t="shared" si="0"/>
        <v>#N/A</v>
      </c>
      <c r="T11" s="662" t="s">
        <v>14</v>
      </c>
      <c r="U11" s="663" t="e">
        <f t="shared" si="1"/>
        <v>#N/A</v>
      </c>
      <c r="V11" s="662" t="s">
        <v>14</v>
      </c>
      <c r="W11" s="663" t="e">
        <f t="shared" si="2"/>
        <v>#N/A</v>
      </c>
      <c r="X11" s="664"/>
      <c r="Y11" s="3281"/>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5"/>
      <c r="M12" s="2436"/>
      <c r="N12" s="2436"/>
      <c r="O12" s="2436"/>
      <c r="P12" s="3383"/>
      <c r="Q12" s="528">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9"/>
      <c r="M13" s="2484"/>
      <c r="N13" s="2484"/>
      <c r="O13" s="2484"/>
      <c r="P13" s="3383"/>
      <c r="Q13" s="528">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7"/>
      <c r="L14" s="2489"/>
      <c r="M14" s="2484"/>
      <c r="N14" s="2484"/>
      <c r="O14" s="2484"/>
      <c r="P14" s="3383"/>
      <c r="Q14" s="528">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50">
        <f t="shared" si="5"/>
        <v>1</v>
      </c>
    </row>
    <row r="15" spans="1:29" ht="15">
      <c r="A15" s="379" t="s">
        <v>1690</v>
      </c>
      <c r="B15" s="58" t="s">
        <v>1777</v>
      </c>
      <c r="C15" s="1748">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9"/>
      <c r="M15" s="2484"/>
      <c r="N15" s="2484"/>
      <c r="O15" s="2484"/>
      <c r="P15" s="3451" t="s">
        <v>1691</v>
      </c>
      <c r="Q15" s="1261" t="str">
        <f t="shared" si="6"/>
        <v>商业繁华度</v>
      </c>
      <c r="R15" s="665" t="s">
        <v>14</v>
      </c>
      <c r="S15" s="666">
        <f t="shared" si="0"/>
        <v>100</v>
      </c>
      <c r="T15" s="665" t="s">
        <v>14</v>
      </c>
      <c r="U15" s="666">
        <f t="shared" si="1"/>
        <v>100</v>
      </c>
      <c r="V15" s="665" t="s">
        <v>14</v>
      </c>
      <c r="W15" s="666">
        <f t="shared" si="2"/>
        <v>100</v>
      </c>
      <c r="X15" s="1263"/>
      <c r="Y15" s="3385"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39"/>
      <c r="L16" s="2489"/>
      <c r="M16" s="2484"/>
      <c r="N16" s="2484"/>
      <c r="O16" s="2484"/>
      <c r="P16" s="3452"/>
      <c r="Q16" s="1261"/>
      <c r="R16" s="665"/>
      <c r="S16" s="666"/>
      <c r="T16" s="665"/>
      <c r="U16" s="666"/>
      <c r="V16" s="665"/>
      <c r="W16" s="666"/>
      <c r="X16" s="1263"/>
      <c r="Y16" s="3386"/>
      <c r="Z16" s="1262"/>
      <c r="AA16" s="1262">
        <v>1</v>
      </c>
      <c r="AB16" s="1262">
        <v>1</v>
      </c>
      <c r="AC16" s="1262">
        <v>1</v>
      </c>
    </row>
    <row r="17" spans="1:29" ht="15">
      <c r="A17" s="367"/>
      <c r="B17" s="390" t="s">
        <v>1259</v>
      </c>
      <c r="C17" s="1752">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9"/>
      <c r="M17" s="2484"/>
      <c r="N17" s="2484"/>
      <c r="O17" s="2484"/>
      <c r="P17" s="3452"/>
      <c r="Q17" s="1261" t="str">
        <f>B17</f>
        <v>交通便捷度</v>
      </c>
      <c r="R17" s="665" t="s">
        <v>14</v>
      </c>
      <c r="S17" s="666">
        <f>F17</f>
        <v>100</v>
      </c>
      <c r="T17" s="665" t="s">
        <v>14</v>
      </c>
      <c r="U17" s="666">
        <f>H17</f>
        <v>100</v>
      </c>
      <c r="V17" s="665" t="s">
        <v>14</v>
      </c>
      <c r="W17" s="666">
        <f>J17</f>
        <v>100</v>
      </c>
      <c r="X17" s="1263"/>
      <c r="Y17" s="3386"/>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2489"/>
      <c r="M18" s="2484"/>
      <c r="N18" s="2484"/>
      <c r="O18" s="2484"/>
      <c r="P18" s="3452"/>
      <c r="Q18" s="1261"/>
      <c r="R18" s="665"/>
      <c r="S18" s="666"/>
      <c r="T18" s="665"/>
      <c r="U18" s="666"/>
      <c r="V18" s="665"/>
      <c r="W18" s="666"/>
      <c r="X18" s="1263"/>
      <c r="Y18" s="3386"/>
      <c r="Z18" s="1262"/>
      <c r="AA18" s="1262">
        <v>1</v>
      </c>
      <c r="AB18" s="1262">
        <v>1</v>
      </c>
      <c r="AC18" s="1262">
        <v>1</v>
      </c>
    </row>
    <row r="19" spans="1:29" ht="15">
      <c r="A19" s="367"/>
      <c r="B19" s="390" t="s">
        <v>1778</v>
      </c>
      <c r="C19" s="1752">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9"/>
      <c r="M19" s="2484"/>
      <c r="N19" s="2484"/>
      <c r="O19" s="2484"/>
      <c r="P19" s="3452"/>
      <c r="Q19" s="1261" t="str">
        <f>B19</f>
        <v>公共配套设施</v>
      </c>
      <c r="R19" s="665" t="s">
        <v>14</v>
      </c>
      <c r="S19" s="666">
        <f>F19</f>
        <v>100</v>
      </c>
      <c r="T19" s="665" t="s">
        <v>14</v>
      </c>
      <c r="U19" s="666">
        <f>H19</f>
        <v>100</v>
      </c>
      <c r="V19" s="665" t="s">
        <v>14</v>
      </c>
      <c r="W19" s="666">
        <f>J19</f>
        <v>100</v>
      </c>
      <c r="X19" s="1263"/>
      <c r="Y19" s="3386"/>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2489"/>
      <c r="M20" s="2484"/>
      <c r="N20" s="2484"/>
      <c r="O20" s="2484"/>
      <c r="P20" s="3452"/>
      <c r="Q20" s="1261"/>
      <c r="R20" s="665"/>
      <c r="S20" s="666"/>
      <c r="T20" s="665"/>
      <c r="U20" s="666"/>
      <c r="V20" s="665"/>
      <c r="W20" s="666"/>
      <c r="X20" s="1263"/>
      <c r="Y20" s="3386"/>
      <c r="Z20" s="1262"/>
      <c r="AA20" s="1262">
        <v>1</v>
      </c>
      <c r="AB20" s="1262">
        <v>1</v>
      </c>
      <c r="AC20" s="1262">
        <v>1</v>
      </c>
    </row>
    <row r="21" spans="1:29" ht="15">
      <c r="A21" s="367"/>
      <c r="B21" s="584" t="s">
        <v>1779</v>
      </c>
      <c r="C21" s="1752">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9"/>
      <c r="M21" s="2484"/>
      <c r="N21" s="2484"/>
      <c r="O21" s="2484"/>
      <c r="P21" s="3452"/>
      <c r="Q21" s="1261" t="str">
        <f>B21</f>
        <v>基础设施水平</v>
      </c>
      <c r="R21" s="665" t="s">
        <v>14</v>
      </c>
      <c r="S21" s="666">
        <f>F21</f>
        <v>100</v>
      </c>
      <c r="T21" s="665" t="s">
        <v>14</v>
      </c>
      <c r="U21" s="666">
        <f>H21</f>
        <v>100</v>
      </c>
      <c r="V21" s="665" t="s">
        <v>14</v>
      </c>
      <c r="W21" s="666">
        <f>J21</f>
        <v>100</v>
      </c>
      <c r="X21" s="1263"/>
      <c r="Y21" s="3386"/>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2489"/>
      <c r="M22" s="2484"/>
      <c r="N22" s="2484"/>
      <c r="O22" s="2484"/>
      <c r="P22" s="3452"/>
      <c r="Q22" s="1261"/>
      <c r="R22" s="665"/>
      <c r="S22" s="666"/>
      <c r="T22" s="665"/>
      <c r="U22" s="666"/>
      <c r="V22" s="665"/>
      <c r="W22" s="666"/>
      <c r="X22" s="1263"/>
      <c r="Y22" s="3386"/>
      <c r="Z22" s="1262"/>
      <c r="AA22" s="1262">
        <v>1</v>
      </c>
      <c r="AB22" s="1262">
        <v>1</v>
      </c>
      <c r="AC22" s="1262">
        <v>1</v>
      </c>
    </row>
    <row r="23" spans="1:29" ht="15">
      <c r="A23" s="367"/>
      <c r="B23" s="390" t="s">
        <v>1261</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9"/>
      <c r="M23" s="2484"/>
      <c r="N23" s="2484"/>
      <c r="O23" s="2484"/>
      <c r="P23" s="3452"/>
      <c r="Q23" s="1261" t="str">
        <f>B23</f>
        <v>自然及人文环境</v>
      </c>
      <c r="R23" s="665" t="s">
        <v>14</v>
      </c>
      <c r="S23" s="666">
        <f>F23</f>
        <v>100</v>
      </c>
      <c r="T23" s="665" t="s">
        <v>14</v>
      </c>
      <c r="U23" s="666">
        <f>H23</f>
        <v>100</v>
      </c>
      <c r="V23" s="665" t="s">
        <v>14</v>
      </c>
      <c r="W23" s="666">
        <f>J23</f>
        <v>100</v>
      </c>
      <c r="X23" s="1263"/>
      <c r="Y23" s="3386"/>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39"/>
      <c r="L24" s="2489"/>
      <c r="M24" s="2484"/>
      <c r="N24" s="2484"/>
      <c r="O24" s="2484"/>
      <c r="P24" s="3452"/>
      <c r="Q24" s="1261"/>
      <c r="R24" s="665"/>
      <c r="S24" s="666"/>
      <c r="T24" s="665"/>
      <c r="U24" s="666"/>
      <c r="V24" s="665"/>
      <c r="W24" s="666"/>
      <c r="X24" s="1263"/>
      <c r="Y24" s="3386"/>
      <c r="Z24" s="1262"/>
      <c r="AA24" s="1262">
        <v>1</v>
      </c>
      <c r="AB24" s="1262">
        <v>1</v>
      </c>
      <c r="AC24" s="1262">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9"/>
      <c r="M25" s="2484"/>
      <c r="N25" s="2484"/>
      <c r="O25" s="2484"/>
      <c r="P25" s="3452"/>
      <c r="Q25" s="1261" t="str">
        <f t="shared" ref="Q25:Q46" si="11">B25</f>
        <v>临街状况</v>
      </c>
      <c r="R25" s="665" t="s">
        <v>14</v>
      </c>
      <c r="S25" s="666">
        <f>F25</f>
        <v>100</v>
      </c>
      <c r="T25" s="665" t="s">
        <v>14</v>
      </c>
      <c r="U25" s="666">
        <f>H25</f>
        <v>100</v>
      </c>
      <c r="V25" s="665" t="s">
        <v>14</v>
      </c>
      <c r="W25" s="666">
        <f>J25</f>
        <v>100</v>
      </c>
      <c r="X25" s="1263"/>
      <c r="Y25" s="3386"/>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7"/>
      <c r="L26" s="2489"/>
      <c r="M26" s="2484"/>
      <c r="N26" s="2484"/>
      <c r="O26" s="2484"/>
      <c r="P26" s="3452"/>
      <c r="Q26" s="1261" t="str">
        <f t="shared" si="11"/>
        <v>平面位置/可视性</v>
      </c>
      <c r="R26" s="665" t="s">
        <v>14</v>
      </c>
      <c r="S26" s="666">
        <f>F26</f>
        <v>100</v>
      </c>
      <c r="T26" s="665" t="s">
        <v>14</v>
      </c>
      <c r="U26" s="666">
        <f>H26</f>
        <v>100</v>
      </c>
      <c r="V26" s="665" t="s">
        <v>14</v>
      </c>
      <c r="W26" s="666">
        <f>J26</f>
        <v>100</v>
      </c>
      <c r="X26" s="1263"/>
      <c r="Y26" s="3386"/>
      <c r="Z26" s="1262" t="str">
        <f>Q26</f>
        <v>平面位置/可视性</v>
      </c>
      <c r="AA26" s="1262">
        <f t="shared" si="3"/>
        <v>1</v>
      </c>
      <c r="AB26" s="1262">
        <f t="shared" si="4"/>
        <v>1</v>
      </c>
      <c r="AC26" s="1262">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6"/>
      <c r="L27" s="2485"/>
      <c r="M27" s="2436"/>
      <c r="N27" s="2436"/>
      <c r="O27" s="2436"/>
      <c r="P27" s="3452"/>
      <c r="Q27" s="528" t="str">
        <f t="shared" si="11"/>
        <v>人流量</v>
      </c>
      <c r="R27" s="662" t="s">
        <v>14</v>
      </c>
      <c r="S27" s="663">
        <f>F27</f>
        <v>100</v>
      </c>
      <c r="T27" s="662" t="s">
        <v>14</v>
      </c>
      <c r="U27" s="663">
        <f>H27</f>
        <v>100</v>
      </c>
      <c r="V27" s="662" t="s">
        <v>14</v>
      </c>
      <c r="W27" s="663">
        <f>J27</f>
        <v>100</v>
      </c>
      <c r="X27" s="664"/>
      <c r="Y27" s="3386"/>
      <c r="Z27" s="50" t="str">
        <f>Q27</f>
        <v>人流量</v>
      </c>
      <c r="AA27" s="1262">
        <f>D27/F27</f>
        <v>1</v>
      </c>
      <c r="AB27" s="1262">
        <f>D27/H27</f>
        <v>1</v>
      </c>
      <c r="AC27" s="1262">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9"/>
      <c r="M28" s="2484"/>
      <c r="N28" s="2484"/>
      <c r="O28" s="2484"/>
      <c r="P28" s="3452"/>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86"/>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7"/>
      <c r="L29" s="2489"/>
      <c r="M29" s="2484"/>
      <c r="N29" s="2484"/>
      <c r="O29" s="2484"/>
      <c r="P29" s="3452"/>
      <c r="Q29" s="1261">
        <f t="shared" si="11"/>
        <v>111</v>
      </c>
      <c r="R29" s="665" t="s">
        <v>14</v>
      </c>
      <c r="S29" s="666">
        <f t="shared" si="12"/>
        <v>100</v>
      </c>
      <c r="T29" s="665" t="s">
        <v>14</v>
      </c>
      <c r="U29" s="666">
        <f t="shared" si="13"/>
        <v>100</v>
      </c>
      <c r="V29" s="665" t="s">
        <v>14</v>
      </c>
      <c r="W29" s="666">
        <f t="shared" si="14"/>
        <v>100</v>
      </c>
      <c r="X29" s="1263"/>
      <c r="Y29" s="3386"/>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7"/>
      <c r="L30" s="2489"/>
      <c r="M30" s="2484"/>
      <c r="N30" s="2484"/>
      <c r="O30" s="2484"/>
      <c r="P30" s="3452"/>
      <c r="Q30" s="1261">
        <f t="shared" si="11"/>
        <v>111</v>
      </c>
      <c r="R30" s="665" t="s">
        <v>14</v>
      </c>
      <c r="S30" s="666">
        <f t="shared" si="12"/>
        <v>100</v>
      </c>
      <c r="T30" s="665" t="s">
        <v>14</v>
      </c>
      <c r="U30" s="666">
        <f t="shared" si="13"/>
        <v>100</v>
      </c>
      <c r="V30" s="665" t="s">
        <v>14</v>
      </c>
      <c r="W30" s="666">
        <f t="shared" si="14"/>
        <v>100</v>
      </c>
      <c r="X30" s="1263"/>
      <c r="Y30" s="3386"/>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7"/>
      <c r="L31" s="2489"/>
      <c r="M31" s="2484"/>
      <c r="N31" s="2484"/>
      <c r="O31" s="2484"/>
      <c r="P31" s="3452"/>
      <c r="Q31" s="1261">
        <f t="shared" si="11"/>
        <v>111</v>
      </c>
      <c r="R31" s="665" t="s">
        <v>14</v>
      </c>
      <c r="S31" s="666">
        <f t="shared" si="12"/>
        <v>100</v>
      </c>
      <c r="T31" s="665" t="s">
        <v>14</v>
      </c>
      <c r="U31" s="666">
        <f t="shared" si="13"/>
        <v>100</v>
      </c>
      <c r="V31" s="665" t="s">
        <v>14</v>
      </c>
      <c r="W31" s="666">
        <f t="shared" si="14"/>
        <v>100</v>
      </c>
      <c r="X31" s="1263"/>
      <c r="Y31" s="3386"/>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6"/>
      <c r="L32" s="2489"/>
      <c r="M32" s="2484"/>
      <c r="N32" s="2484"/>
      <c r="O32" s="2484"/>
      <c r="P32" s="3447" t="s">
        <v>1696</v>
      </c>
      <c r="Q32" s="1261" t="str">
        <f t="shared" si="11"/>
        <v>商业类型</v>
      </c>
      <c r="R32" s="665" t="s">
        <v>14</v>
      </c>
      <c r="S32" s="666">
        <f t="shared" si="12"/>
        <v>100</v>
      </c>
      <c r="T32" s="665" t="s">
        <v>14</v>
      </c>
      <c r="U32" s="666">
        <f t="shared" si="13"/>
        <v>100</v>
      </c>
      <c r="V32" s="665" t="s">
        <v>14</v>
      </c>
      <c r="W32" s="666">
        <f t="shared" si="14"/>
        <v>100</v>
      </c>
      <c r="X32" s="1263"/>
      <c r="Y32" s="3388"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8"/>
      <c r="M33" s="2490"/>
      <c r="N33" s="2490"/>
      <c r="O33" s="2490"/>
      <c r="P33" s="3448"/>
      <c r="Q33" s="529" t="str">
        <f t="shared" si="11"/>
        <v>项目建筑规模</v>
      </c>
      <c r="R33" s="667" t="s">
        <v>14</v>
      </c>
      <c r="S33" s="668" t="e">
        <f t="shared" si="12"/>
        <v>#N/A</v>
      </c>
      <c r="T33" s="667" t="s">
        <v>14</v>
      </c>
      <c r="U33" s="668" t="e">
        <f t="shared" si="13"/>
        <v>#N/A</v>
      </c>
      <c r="V33" s="667" t="s">
        <v>14</v>
      </c>
      <c r="W33" s="668" t="e">
        <f t="shared" si="14"/>
        <v>#N/A</v>
      </c>
      <c r="X33" s="669"/>
      <c r="Y33" s="3388"/>
      <c r="Z33" s="670"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9"/>
      <c r="M34" s="2484"/>
      <c r="N34" s="2484"/>
      <c r="O34" s="2484"/>
      <c r="P34" s="3448"/>
      <c r="Q34" s="1261" t="str">
        <f t="shared" si="11"/>
        <v>建筑结构</v>
      </c>
      <c r="R34" s="665" t="s">
        <v>14</v>
      </c>
      <c r="S34" s="666">
        <f t="shared" si="12"/>
        <v>100</v>
      </c>
      <c r="T34" s="665" t="s">
        <v>14</v>
      </c>
      <c r="U34" s="666">
        <f t="shared" si="13"/>
        <v>100</v>
      </c>
      <c r="V34" s="665" t="s">
        <v>14</v>
      </c>
      <c r="W34" s="666">
        <f t="shared" si="14"/>
        <v>100</v>
      </c>
      <c r="X34" s="1263"/>
      <c r="Y34" s="3388"/>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6"/>
      <c r="L35" s="2489"/>
      <c r="M35" s="2484"/>
      <c r="N35" s="2484"/>
      <c r="O35" s="2484"/>
      <c r="P35" s="3448"/>
      <c r="Q35" s="1261" t="str">
        <f t="shared" si="11"/>
        <v>公共部分装修</v>
      </c>
      <c r="R35" s="665" t="s">
        <v>14</v>
      </c>
      <c r="S35" s="666">
        <f t="shared" si="12"/>
        <v>100</v>
      </c>
      <c r="T35" s="665" t="s">
        <v>14</v>
      </c>
      <c r="U35" s="666">
        <f t="shared" si="13"/>
        <v>100</v>
      </c>
      <c r="V35" s="665" t="s">
        <v>14</v>
      </c>
      <c r="W35" s="666">
        <f t="shared" si="14"/>
        <v>100</v>
      </c>
      <c r="X35" s="1263"/>
      <c r="Y35" s="3388"/>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9"/>
      <c r="M36" s="2484"/>
      <c r="N36" s="2484"/>
      <c r="O36" s="2484"/>
      <c r="P36" s="3448"/>
      <c r="Q36" s="1261" t="str">
        <f t="shared" si="11"/>
        <v>成新度</v>
      </c>
      <c r="R36" s="665" t="s">
        <v>14</v>
      </c>
      <c r="S36" s="666" t="e">
        <f t="shared" si="12"/>
        <v>#N/A</v>
      </c>
      <c r="T36" s="665" t="s">
        <v>14</v>
      </c>
      <c r="U36" s="666" t="e">
        <f t="shared" si="13"/>
        <v>#N/A</v>
      </c>
      <c r="V36" s="665" t="s">
        <v>14</v>
      </c>
      <c r="W36" s="666" t="e">
        <f t="shared" si="14"/>
        <v>#N/A</v>
      </c>
      <c r="X36" s="1263"/>
      <c r="Y36" s="3388"/>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6"/>
      <c r="L37" s="2485"/>
      <c r="M37" s="2436"/>
      <c r="N37" s="2436"/>
      <c r="O37" s="2436"/>
      <c r="P37" s="3448"/>
      <c r="Q37" s="528" t="str">
        <f t="shared" si="11"/>
        <v>市政基础设施</v>
      </c>
      <c r="R37" s="662" t="s">
        <v>14</v>
      </c>
      <c r="S37" s="663">
        <f t="shared" si="12"/>
        <v>100</v>
      </c>
      <c r="T37" s="662" t="s">
        <v>14</v>
      </c>
      <c r="U37" s="663">
        <f t="shared" si="13"/>
        <v>100</v>
      </c>
      <c r="V37" s="662" t="s">
        <v>14</v>
      </c>
      <c r="W37" s="663">
        <f t="shared" si="14"/>
        <v>100</v>
      </c>
      <c r="X37" s="664"/>
      <c r="Y37" s="3388"/>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6"/>
      <c r="L38" s="2489"/>
      <c r="M38" s="2484"/>
      <c r="N38" s="2484"/>
      <c r="O38" s="2484"/>
      <c r="P38" s="3448" t="s">
        <v>1696</v>
      </c>
      <c r="Q38" s="1261" t="str">
        <f t="shared" si="11"/>
        <v>业态</v>
      </c>
      <c r="R38" s="665" t="s">
        <v>14</v>
      </c>
      <c r="S38" s="666">
        <f t="shared" si="12"/>
        <v>100</v>
      </c>
      <c r="T38" s="665" t="s">
        <v>14</v>
      </c>
      <c r="U38" s="666">
        <f t="shared" si="13"/>
        <v>100</v>
      </c>
      <c r="V38" s="665" t="s">
        <v>14</v>
      </c>
      <c r="W38" s="666">
        <f t="shared" si="14"/>
        <v>100</v>
      </c>
      <c r="X38" s="1263"/>
      <c r="Y38" s="3388"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6"/>
      <c r="L39" s="2489"/>
      <c r="M39" s="2484"/>
      <c r="N39" s="2484"/>
      <c r="O39" s="2484"/>
      <c r="P39" s="3448"/>
      <c r="Q39" s="1261" t="str">
        <f t="shared" si="11"/>
        <v>层高</v>
      </c>
      <c r="R39" s="665" t="s">
        <v>14</v>
      </c>
      <c r="S39" s="666">
        <f t="shared" si="12"/>
        <v>100</v>
      </c>
      <c r="T39" s="665" t="s">
        <v>14</v>
      </c>
      <c r="U39" s="666">
        <f t="shared" si="13"/>
        <v>100</v>
      </c>
      <c r="V39" s="665" t="s">
        <v>14</v>
      </c>
      <c r="W39" s="666">
        <f t="shared" si="14"/>
        <v>100</v>
      </c>
      <c r="X39" s="1263"/>
      <c r="Y39" s="3388"/>
      <c r="Z39" s="1262" t="str">
        <f t="shared" si="15"/>
        <v>层高</v>
      </c>
      <c r="AA39" s="1262">
        <f t="shared" si="3"/>
        <v>1</v>
      </c>
      <c r="AB39" s="1262">
        <f t="shared" si="4"/>
        <v>1</v>
      </c>
      <c r="AC39" s="1262">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9"/>
      <c r="M40" s="2484"/>
      <c r="N40" s="2484"/>
      <c r="O40" s="2484"/>
      <c r="P40" s="3448"/>
      <c r="Q40" s="1261" t="str">
        <f t="shared" si="11"/>
        <v>单套建筑面积</v>
      </c>
      <c r="R40" s="665" t="s">
        <v>14</v>
      </c>
      <c r="S40" s="666">
        <f t="shared" si="12"/>
        <v>100</v>
      </c>
      <c r="T40" s="665" t="s">
        <v>14</v>
      </c>
      <c r="U40" s="666">
        <f t="shared" si="13"/>
        <v>100</v>
      </c>
      <c r="V40" s="665" t="s">
        <v>14</v>
      </c>
      <c r="W40" s="666">
        <f t="shared" si="14"/>
        <v>100</v>
      </c>
      <c r="X40" s="1263"/>
      <c r="Y40" s="3388"/>
      <c r="Z40" s="1262" t="str">
        <f t="shared" si="15"/>
        <v>单套建筑面积</v>
      </c>
      <c r="AA40" s="1262">
        <f t="shared" si="3"/>
        <v>1</v>
      </c>
      <c r="AB40" s="1262">
        <f t="shared" si="4"/>
        <v>1</v>
      </c>
      <c r="AC40" s="1262">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8"/>
      <c r="M41" s="2490"/>
      <c r="N41" s="2490"/>
      <c r="O41" s="2490"/>
      <c r="P41" s="3448"/>
      <c r="Q41" s="529" t="str">
        <f t="shared" si="11"/>
        <v>进深比</v>
      </c>
      <c r="R41" s="667" t="s">
        <v>14</v>
      </c>
      <c r="S41" s="668">
        <f t="shared" si="12"/>
        <v>100</v>
      </c>
      <c r="T41" s="667" t="s">
        <v>14</v>
      </c>
      <c r="U41" s="668">
        <f t="shared" si="13"/>
        <v>100</v>
      </c>
      <c r="V41" s="667" t="s">
        <v>14</v>
      </c>
      <c r="W41" s="668">
        <f t="shared" si="14"/>
        <v>100</v>
      </c>
      <c r="X41" s="669"/>
      <c r="Y41" s="3388"/>
      <c r="Z41" s="670"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6"/>
      <c r="L42" s="2489"/>
      <c r="M42" s="2484"/>
      <c r="N42" s="2484"/>
      <c r="O42" s="2484"/>
      <c r="P42" s="3448"/>
      <c r="Q42" s="1261" t="str">
        <f t="shared" si="11"/>
        <v>内部装修</v>
      </c>
      <c r="R42" s="665" t="s">
        <v>14</v>
      </c>
      <c r="S42" s="666">
        <f t="shared" si="12"/>
        <v>100</v>
      </c>
      <c r="T42" s="665" t="s">
        <v>14</v>
      </c>
      <c r="U42" s="666">
        <f t="shared" si="13"/>
        <v>100</v>
      </c>
      <c r="V42" s="665" t="s">
        <v>14</v>
      </c>
      <c r="W42" s="666">
        <f t="shared" si="14"/>
        <v>100</v>
      </c>
      <c r="X42" s="1263"/>
      <c r="Y42" s="3388"/>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6"/>
      <c r="L43" s="2489"/>
      <c r="M43" s="2484"/>
      <c r="N43" s="2484"/>
      <c r="O43" s="2484"/>
      <c r="P43" s="3448"/>
      <c r="Q43" s="1261" t="str">
        <f t="shared" si="11"/>
        <v>内部装修维护情况</v>
      </c>
      <c r="R43" s="665" t="s">
        <v>14</v>
      </c>
      <c r="S43" s="666">
        <f t="shared" si="12"/>
        <v>100</v>
      </c>
      <c r="T43" s="665" t="s">
        <v>14</v>
      </c>
      <c r="U43" s="666">
        <f t="shared" si="13"/>
        <v>100</v>
      </c>
      <c r="V43" s="665" t="s">
        <v>14</v>
      </c>
      <c r="W43" s="666">
        <f t="shared" si="14"/>
        <v>100</v>
      </c>
      <c r="X43" s="1263"/>
      <c r="Y43" s="3388"/>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5"/>
      <c r="M44" s="2436"/>
      <c r="N44" s="2436"/>
      <c r="O44" s="2436"/>
      <c r="P44" s="3448"/>
      <c r="Q44" s="528">
        <f t="shared" si="11"/>
        <v>111</v>
      </c>
      <c r="R44" s="662" t="s">
        <v>14</v>
      </c>
      <c r="S44" s="663">
        <f t="shared" si="12"/>
        <v>100</v>
      </c>
      <c r="T44" s="662" t="s">
        <v>14</v>
      </c>
      <c r="U44" s="663">
        <f t="shared" si="13"/>
        <v>100</v>
      </c>
      <c r="V44" s="662" t="s">
        <v>14</v>
      </c>
      <c r="W44" s="663">
        <f t="shared" si="14"/>
        <v>100</v>
      </c>
      <c r="X44" s="664"/>
      <c r="Y44" s="3388"/>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9"/>
      <c r="M45" s="2484"/>
      <c r="N45" s="2484"/>
      <c r="O45" s="2484"/>
      <c r="P45" s="3448"/>
      <c r="Q45" s="1261">
        <f t="shared" si="11"/>
        <v>111</v>
      </c>
      <c r="R45" s="665" t="s">
        <v>14</v>
      </c>
      <c r="S45" s="666">
        <f t="shared" si="12"/>
        <v>100</v>
      </c>
      <c r="T45" s="665" t="s">
        <v>14</v>
      </c>
      <c r="U45" s="666">
        <f t="shared" si="13"/>
        <v>100</v>
      </c>
      <c r="V45" s="665" t="s">
        <v>14</v>
      </c>
      <c r="W45" s="666">
        <f t="shared" si="14"/>
        <v>100</v>
      </c>
      <c r="X45" s="1263"/>
      <c r="Y45" s="3388"/>
      <c r="Z45" s="1262">
        <f t="shared" si="15"/>
        <v>111</v>
      </c>
      <c r="AA45" s="1262">
        <f t="shared" si="3"/>
        <v>1</v>
      </c>
      <c r="AB45" s="1262">
        <f t="shared" si="4"/>
        <v>1</v>
      </c>
      <c r="AC45" s="1262">
        <f t="shared" si="5"/>
        <v>1</v>
      </c>
    </row>
    <row r="46" spans="1:29" ht="15.75" thickBot="1">
      <c r="A46" s="413"/>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9"/>
      <c r="M46" s="2484"/>
      <c r="N46" s="2484"/>
      <c r="O46" s="2484"/>
      <c r="P46" s="3449"/>
      <c r="Q46" s="1261">
        <f t="shared" si="11"/>
        <v>111</v>
      </c>
      <c r="R46" s="665" t="s">
        <v>14</v>
      </c>
      <c r="S46" s="666">
        <f t="shared" si="12"/>
        <v>100</v>
      </c>
      <c r="T46" s="665" t="s">
        <v>14</v>
      </c>
      <c r="U46" s="666">
        <f t="shared" si="13"/>
        <v>100</v>
      </c>
      <c r="V46" s="665" t="s">
        <v>14</v>
      </c>
      <c r="W46" s="666">
        <f t="shared" si="14"/>
        <v>100</v>
      </c>
      <c r="X46" s="1263"/>
      <c r="Y46" s="3450"/>
      <c r="Z46" s="1262">
        <f t="shared" si="15"/>
        <v>111</v>
      </c>
      <c r="AA46" s="1262">
        <f t="shared" si="3"/>
        <v>1</v>
      </c>
      <c r="AB46" s="1262">
        <f t="shared" si="4"/>
        <v>1</v>
      </c>
      <c r="AC46" s="1262">
        <f t="shared" si="5"/>
        <v>1</v>
      </c>
    </row>
    <row r="47" spans="1:29" ht="15">
      <c r="A47" s="414" t="s">
        <v>1708</v>
      </c>
      <c r="B47" s="415"/>
      <c r="C47" s="1079" t="s">
        <v>0</v>
      </c>
      <c r="D47" s="416"/>
      <c r="E47" s="417"/>
      <c r="F47" s="418"/>
      <c r="G47" s="419"/>
      <c r="H47" s="420"/>
      <c r="I47" s="417"/>
      <c r="J47" s="420"/>
      <c r="K47" s="672"/>
      <c r="L47" s="2491"/>
      <c r="M47" s="2484"/>
      <c r="N47" s="2484"/>
      <c r="O47" s="2484"/>
      <c r="P47" s="3384" t="str">
        <f>A47</f>
        <v>成交单价（元/平方米）</v>
      </c>
      <c r="Q47" s="3384"/>
      <c r="R47" s="3389">
        <f>E47</f>
        <v>0</v>
      </c>
      <c r="S47" s="3389"/>
      <c r="T47" s="3389">
        <f>G47</f>
        <v>0</v>
      </c>
      <c r="U47" s="3389"/>
      <c r="V47" s="3389">
        <f>I47</f>
        <v>0</v>
      </c>
      <c r="W47" s="3389"/>
      <c r="X47" s="385"/>
      <c r="Y47" s="671"/>
      <c r="Z47" s="385"/>
      <c r="AA47" s="385"/>
      <c r="AB47" s="385"/>
      <c r="AC47" s="385"/>
    </row>
    <row r="48" spans="1:29" ht="15.75" thickBot="1">
      <c r="A48" s="421" t="s">
        <v>1793</v>
      </c>
      <c r="B48" s="422"/>
      <c r="C48" s="1080" t="e">
        <f>R49</f>
        <v>#DIV/0!</v>
      </c>
      <c r="D48" s="2137" t="s">
        <v>2137</v>
      </c>
      <c r="E48" s="1081" t="e">
        <f>R48</f>
        <v>#DIV/0!</v>
      </c>
      <c r="F48" s="2138"/>
      <c r="G48" s="1080" t="e">
        <f>T48</f>
        <v>#DIV/0!</v>
      </c>
      <c r="H48" s="2138"/>
      <c r="I48" s="1081" t="e">
        <f>V48</f>
        <v>#DIV/0!</v>
      </c>
      <c r="J48" s="2138"/>
      <c r="K48" s="2140">
        <f>F48+H48+J48</f>
        <v>0</v>
      </c>
      <c r="L48" s="2491"/>
      <c r="M48" s="2484"/>
      <c r="N48" s="2484"/>
      <c r="O48" s="2484"/>
      <c r="P48" s="3384" t="str">
        <f>A48</f>
        <v>比较价值（元/平方米）</v>
      </c>
      <c r="Q48" s="3384"/>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1"/>
      <c r="M49" s="2484"/>
      <c r="N49" s="2484"/>
      <c r="O49" s="2484"/>
      <c r="P49" s="3378" t="str">
        <f>A49</f>
        <v>估价对象XX用房的比较价值（楼面单价，元/平方米）</v>
      </c>
      <c r="Q49" s="3379"/>
      <c r="R49" s="3446" t="e">
        <f>IF(F1="售价",ROUND(IF(D48="简单平均",AVERAGE(R48:V48),R48*F48+T48*H48+V48*J48),0),ROUND(IF(D48="简单平均",AVERAGE(R48:V48),R48*F48+T48*H48+V48*J48),1))</f>
        <v>#DIV/0!</v>
      </c>
      <c r="S49" s="3446"/>
      <c r="T49" s="3446"/>
      <c r="U49" s="3446"/>
      <c r="V49" s="3446"/>
      <c r="W49" s="344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5" customFormat="1" ht="13.5" customHeight="1">
      <c r="A54" s="2494"/>
      <c r="B54" s="2494"/>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5"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5"/>
      <c r="C57" s="657"/>
      <c r="D57" s="657"/>
      <c r="E57" s="657"/>
      <c r="F57" s="658"/>
      <c r="G57" s="658"/>
      <c r="H57" s="657"/>
      <c r="I57" s="657"/>
      <c r="J57" s="657"/>
      <c r="K57" s="659"/>
      <c r="L57" s="886"/>
      <c r="M57" s="884"/>
      <c r="N57" s="884"/>
      <c r="O57" s="884"/>
      <c r="P57" s="2504"/>
      <c r="Q57" s="2505"/>
      <c r="R57" s="2484"/>
      <c r="S57" s="2484"/>
      <c r="T57" s="2484"/>
      <c r="U57" s="2484"/>
      <c r="V57" s="2484"/>
      <c r="W57" s="2484"/>
      <c r="X57" s="2484"/>
      <c r="Y57" s="2484"/>
      <c r="Z57" s="2484"/>
      <c r="AA57" s="2484"/>
      <c r="AB57" s="2484"/>
      <c r="AC57" s="2484"/>
    </row>
    <row r="58" spans="1:29" s="440" customFormat="1" ht="15">
      <c r="A58" s="438" t="s">
        <v>1679</v>
      </c>
      <c r="B58" s="439"/>
      <c r="C58" s="1101" t="str">
        <f>YEAR(C7)&amp;"-"&amp;MONTH(C7)</f>
        <v>2025-5</v>
      </c>
      <c r="D58" s="1102">
        <f>EDATE(C58,-1)</f>
        <v>45748</v>
      </c>
      <c r="E58" s="1102">
        <f t="shared" ref="E58:N58" si="16">EDATE(D58,-1)</f>
        <v>45717</v>
      </c>
      <c r="F58" s="1102">
        <f t="shared" si="16"/>
        <v>45689</v>
      </c>
      <c r="G58" s="1102">
        <f t="shared" si="16"/>
        <v>45658</v>
      </c>
      <c r="H58" s="1102">
        <f t="shared" si="16"/>
        <v>45627</v>
      </c>
      <c r="I58" s="1102">
        <f t="shared" si="16"/>
        <v>45597</v>
      </c>
      <c r="J58" s="1102">
        <f t="shared" si="16"/>
        <v>45566</v>
      </c>
      <c r="K58" s="1102">
        <f t="shared" si="16"/>
        <v>45536</v>
      </c>
      <c r="L58" s="1102">
        <f t="shared" si="16"/>
        <v>45505</v>
      </c>
      <c r="M58" s="1102">
        <f t="shared" si="16"/>
        <v>45474</v>
      </c>
      <c r="N58" s="1102">
        <f t="shared" si="16"/>
        <v>45444</v>
      </c>
      <c r="O58" s="1102">
        <f>EDATE(N58,-1)</f>
        <v>45413</v>
      </c>
      <c r="P58" s="2506"/>
      <c r="Q58" s="2507"/>
      <c r="R58" s="2507"/>
      <c r="S58" s="2507"/>
      <c r="T58" s="2507"/>
      <c r="U58" s="2507"/>
      <c r="V58" s="2507"/>
      <c r="W58" s="2507"/>
      <c r="X58" s="2507"/>
      <c r="Y58" s="2507"/>
      <c r="Z58" s="2507"/>
      <c r="AA58" s="2507"/>
      <c r="AB58" s="2507"/>
      <c r="AC58" s="2507"/>
    </row>
    <row r="59" spans="1:29" s="102" customFormat="1" ht="15">
      <c r="A59" s="441"/>
      <c r="B59" s="442"/>
      <c r="C59" s="1100">
        <v>100</v>
      </c>
      <c r="D59" s="444"/>
      <c r="E59" s="444"/>
      <c r="F59" s="444"/>
      <c r="G59" s="444"/>
      <c r="H59" s="444"/>
      <c r="I59" s="444"/>
      <c r="J59" s="444"/>
      <c r="K59" s="444"/>
      <c r="L59" s="444"/>
      <c r="M59" s="445"/>
      <c r="N59" s="444"/>
      <c r="O59" s="445"/>
      <c r="P59" s="2508"/>
      <c r="Q59" s="2436"/>
      <c r="R59" s="2436"/>
      <c r="S59" s="2436"/>
      <c r="T59" s="2436"/>
      <c r="U59" s="2436"/>
      <c r="V59" s="2436"/>
      <c r="W59" s="2436"/>
      <c r="X59" s="2436"/>
      <c r="Y59" s="2436"/>
      <c r="Z59" s="2436"/>
      <c r="AA59" s="2436"/>
      <c r="AB59" s="2436"/>
      <c r="AC59" s="2436"/>
    </row>
    <row r="60" spans="1:29" s="102" customFormat="1" ht="15.75" thickBot="1">
      <c r="A60" s="447" t="s">
        <v>1716</v>
      </c>
      <c r="B60" s="448"/>
      <c r="C60" s="449"/>
      <c r="D60" s="450"/>
      <c r="E60" s="450"/>
      <c r="F60" s="450"/>
      <c r="G60" s="450"/>
      <c r="H60" s="450"/>
      <c r="I60" s="450"/>
      <c r="J60" s="450"/>
      <c r="K60" s="450"/>
      <c r="L60" s="450"/>
      <c r="M60" s="451"/>
      <c r="N60" s="450"/>
      <c r="O60" s="451"/>
      <c r="P60" s="2508"/>
      <c r="Q60" s="2505"/>
      <c r="R60" s="2436"/>
      <c r="S60" s="2436"/>
      <c r="T60" s="2436"/>
      <c r="U60" s="2436"/>
      <c r="V60" s="2436"/>
      <c r="W60" s="2436"/>
      <c r="X60" s="2436"/>
      <c r="Y60" s="2436"/>
      <c r="Z60" s="2436"/>
      <c r="AA60" s="2436"/>
      <c r="AB60" s="2436"/>
      <c r="AC60" s="2436"/>
    </row>
    <row r="61" spans="1:29" s="102" customFormat="1" ht="15">
      <c r="A61" s="453" t="s">
        <v>1681</v>
      </c>
      <c r="B61" s="442"/>
      <c r="C61" s="454" t="s">
        <v>1776</v>
      </c>
      <c r="D61" s="31"/>
      <c r="E61" s="31"/>
      <c r="F61" s="31"/>
      <c r="G61" s="31"/>
      <c r="H61" s="31"/>
      <c r="I61" s="31"/>
      <c r="J61" s="31"/>
      <c r="K61" s="31"/>
      <c r="L61" s="455"/>
      <c r="M61" s="456"/>
      <c r="N61" s="2517"/>
      <c r="O61" s="2517"/>
      <c r="P61" s="2509"/>
      <c r="Q61" s="2505"/>
      <c r="R61" s="2436"/>
      <c r="S61" s="2436"/>
      <c r="T61" s="2436"/>
      <c r="U61" s="2436"/>
      <c r="V61" s="2436"/>
      <c r="W61" s="2436"/>
      <c r="X61" s="2436"/>
      <c r="Y61" s="2436"/>
      <c r="Z61" s="2436"/>
      <c r="AA61" s="2436"/>
      <c r="AB61" s="2436"/>
      <c r="AC61" s="2436"/>
    </row>
    <row r="62" spans="1:29" s="102" customFormat="1" ht="15.75" thickBot="1">
      <c r="A62" s="453"/>
      <c r="B62" s="442"/>
      <c r="C62" s="443">
        <v>100</v>
      </c>
      <c r="D62" s="444"/>
      <c r="E62" s="444"/>
      <c r="F62" s="444"/>
      <c r="G62" s="444"/>
      <c r="H62" s="444"/>
      <c r="I62" s="444"/>
      <c r="J62" s="444"/>
      <c r="K62" s="444"/>
      <c r="L62" s="444"/>
      <c r="M62" s="446"/>
      <c r="N62" s="2517"/>
      <c r="O62" s="2517"/>
      <c r="P62" s="2508"/>
      <c r="Q62" s="2505"/>
      <c r="R62" s="2436"/>
      <c r="S62" s="2436"/>
      <c r="T62" s="2436"/>
      <c r="U62" s="2436"/>
      <c r="V62" s="2436"/>
      <c r="W62" s="2436"/>
      <c r="X62" s="2436"/>
      <c r="Y62" s="2436"/>
      <c r="Z62" s="2436"/>
      <c r="AA62" s="2436"/>
      <c r="AB62" s="2436"/>
      <c r="AC62" s="2436"/>
    </row>
    <row r="63" spans="1:29">
      <c r="A63" s="379" t="s">
        <v>1719</v>
      </c>
      <c r="B63" s="458" t="s">
        <v>1685</v>
      </c>
      <c r="C63" s="459">
        <f>C9</f>
        <v>0</v>
      </c>
      <c r="D63" s="460"/>
      <c r="E63" s="460"/>
      <c r="F63" s="460"/>
      <c r="G63" s="460"/>
      <c r="H63" s="460"/>
      <c r="I63" s="460"/>
      <c r="J63" s="460"/>
      <c r="K63" s="461"/>
      <c r="L63" s="462"/>
      <c r="M63" s="463"/>
      <c r="N63" s="2518"/>
      <c r="O63" s="2518"/>
      <c r="P63" s="2510"/>
      <c r="Q63" s="2505"/>
      <c r="R63" s="2484"/>
      <c r="S63" s="2484"/>
      <c r="T63" s="2484"/>
      <c r="U63" s="2484"/>
      <c r="V63" s="2484"/>
      <c r="W63" s="2484"/>
      <c r="X63" s="2484"/>
      <c r="Y63" s="2484"/>
      <c r="Z63" s="2484"/>
      <c r="AA63" s="2484"/>
      <c r="AB63" s="2484"/>
      <c r="AC63" s="2484"/>
    </row>
    <row r="64" spans="1:29" ht="15.75" thickBot="1">
      <c r="A64" s="367"/>
      <c r="B64" s="464"/>
      <c r="C64" s="465">
        <v>100</v>
      </c>
      <c r="D64" s="465"/>
      <c r="E64" s="465"/>
      <c r="F64" s="465"/>
      <c r="G64" s="465"/>
      <c r="H64" s="465"/>
      <c r="I64" s="465"/>
      <c r="J64" s="465"/>
      <c r="K64" s="465"/>
      <c r="L64" s="465"/>
      <c r="M64" s="466"/>
      <c r="N64" s="2519"/>
      <c r="O64" s="2519"/>
      <c r="P64" s="2510"/>
      <c r="Q64" s="2505"/>
      <c r="R64" s="2484"/>
      <c r="S64" s="2484"/>
      <c r="T64" s="2484"/>
      <c r="U64" s="2484"/>
      <c r="V64" s="2484"/>
      <c r="W64" s="2484"/>
      <c r="X64" s="2484"/>
      <c r="Y64" s="2484"/>
      <c r="Z64" s="2484"/>
      <c r="AA64" s="2484"/>
      <c r="AB64" s="2484"/>
      <c r="AC64" s="2484"/>
    </row>
    <row r="65" spans="1:29" ht="27.75" thickTop="1">
      <c r="A65" s="367"/>
      <c r="B65" s="467" t="s">
        <v>1688</v>
      </c>
      <c r="C65" s="511"/>
      <c r="D65" s="511"/>
      <c r="E65" s="511"/>
      <c r="F65" s="511"/>
      <c r="G65" s="511"/>
      <c r="H65" s="511"/>
      <c r="I65" s="511"/>
      <c r="J65" s="511"/>
      <c r="K65" s="512"/>
      <c r="L65" s="513"/>
      <c r="M65" s="514"/>
      <c r="N65" s="2518"/>
      <c r="O65" s="2518"/>
      <c r="P65" s="2510"/>
      <c r="Q65" s="2505"/>
      <c r="R65" s="2484"/>
      <c r="S65" s="2484"/>
      <c r="T65" s="2484"/>
      <c r="U65" s="2484"/>
      <c r="V65" s="2484"/>
      <c r="W65" s="2484"/>
      <c r="X65" s="2484"/>
      <c r="Y65" s="2484"/>
      <c r="Z65" s="2484"/>
      <c r="AA65" s="2484"/>
      <c r="AB65" s="2484"/>
      <c r="AC65" s="2484"/>
    </row>
    <row r="66" spans="1:29" ht="15.75" thickBot="1">
      <c r="A66" s="367"/>
      <c r="B66" s="472"/>
      <c r="C66" s="465"/>
      <c r="D66" s="465"/>
      <c r="E66" s="465"/>
      <c r="F66" s="465"/>
      <c r="G66" s="465"/>
      <c r="H66" s="465"/>
      <c r="I66" s="465"/>
      <c r="J66" s="465"/>
      <c r="K66" s="465"/>
      <c r="L66" s="465"/>
      <c r="M66" s="466"/>
      <c r="N66" s="2519"/>
      <c r="O66" s="2519"/>
      <c r="P66" s="2510"/>
      <c r="Q66" s="2505"/>
      <c r="R66" s="2484"/>
      <c r="S66" s="2484"/>
      <c r="T66" s="2484"/>
      <c r="U66" s="2484"/>
      <c r="V66" s="2484"/>
      <c r="W66" s="2484"/>
      <c r="X66" s="2484"/>
      <c r="Y66" s="2484"/>
      <c r="Z66" s="2484"/>
      <c r="AA66" s="2484"/>
      <c r="AB66" s="2484"/>
      <c r="AC66" s="2484"/>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7"/>
      <c r="C68" s="478"/>
      <c r="D68" s="478"/>
      <c r="E68" s="478"/>
      <c r="F68" s="478"/>
      <c r="G68" s="478"/>
      <c r="H68" s="478"/>
      <c r="I68" s="478"/>
      <c r="J68" s="478"/>
      <c r="K68" s="479"/>
      <c r="L68" s="480"/>
      <c r="M68" s="481"/>
      <c r="N68" s="2518"/>
      <c r="O68" s="2518"/>
      <c r="P68" s="2510"/>
      <c r="Q68" s="2505"/>
      <c r="R68" s="2484"/>
      <c r="S68" s="2484"/>
      <c r="T68" s="2484"/>
      <c r="U68" s="2484"/>
      <c r="V68" s="2484"/>
      <c r="W68" s="2484"/>
      <c r="X68" s="2484"/>
      <c r="Y68" s="2484"/>
      <c r="Z68" s="2484"/>
      <c r="AA68" s="2484"/>
      <c r="AB68" s="2484"/>
      <c r="AC68" s="2484"/>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2"/>
      <c r="B70" s="467">
        <f>B12</f>
        <v>111</v>
      </c>
      <c r="C70" s="483"/>
      <c r="D70" s="483"/>
      <c r="E70" s="483"/>
      <c r="F70" s="483"/>
      <c r="G70" s="483"/>
      <c r="H70" s="484"/>
      <c r="I70" s="484"/>
      <c r="J70" s="484"/>
      <c r="K70" s="484"/>
      <c r="L70" s="485"/>
      <c r="M70" s="486"/>
      <c r="N70" s="2520"/>
      <c r="O70" s="2520"/>
      <c r="P70" s="2511"/>
      <c r="Q70" s="2512"/>
      <c r="R70" s="2490"/>
      <c r="S70" s="2490"/>
      <c r="T70" s="2490"/>
      <c r="U70" s="2490"/>
      <c r="V70" s="2490"/>
      <c r="W70" s="2490"/>
      <c r="X70" s="2490"/>
      <c r="Y70" s="2490"/>
      <c r="Z70" s="2490"/>
      <c r="AA70" s="2490"/>
      <c r="AB70" s="2490"/>
      <c r="AC70" s="2490"/>
    </row>
    <row r="71" spans="1:29" s="408" customFormat="1" ht="15.75" thickBot="1">
      <c r="A71" s="482"/>
      <c r="B71" s="472"/>
      <c r="C71" s="489"/>
      <c r="D71" s="465"/>
      <c r="E71" s="465"/>
      <c r="F71" s="465"/>
      <c r="G71" s="465"/>
      <c r="H71" s="465"/>
      <c r="I71" s="465"/>
      <c r="J71" s="465"/>
      <c r="K71" s="465"/>
      <c r="L71" s="465"/>
      <c r="M71" s="466"/>
      <c r="N71" s="2519"/>
      <c r="O71" s="2519"/>
      <c r="P71" s="2511"/>
      <c r="Q71" s="2512"/>
      <c r="R71" s="2490"/>
      <c r="S71" s="2490"/>
      <c r="T71" s="2490"/>
      <c r="U71" s="2490"/>
      <c r="V71" s="2490"/>
      <c r="W71" s="2490"/>
      <c r="X71" s="2490"/>
      <c r="Y71" s="2490"/>
      <c r="Z71" s="2490"/>
      <c r="AA71" s="2490"/>
      <c r="AB71" s="2490"/>
      <c r="AC71" s="2490"/>
    </row>
    <row r="72" spans="1:29" s="408" customFormat="1" ht="15.75" thickTop="1">
      <c r="A72" s="482"/>
      <c r="B72" s="467">
        <f>B13</f>
        <v>111</v>
      </c>
      <c r="C72" s="483"/>
      <c r="D72" s="483"/>
      <c r="E72" s="483"/>
      <c r="F72" s="483"/>
      <c r="G72" s="483"/>
      <c r="H72" s="484"/>
      <c r="I72" s="484"/>
      <c r="J72" s="484"/>
      <c r="K72" s="484"/>
      <c r="L72" s="485"/>
      <c r="M72" s="486"/>
      <c r="N72" s="2520"/>
      <c r="O72" s="2520"/>
      <c r="P72" s="2513"/>
      <c r="Q72" s="2514"/>
      <c r="R72" s="2490"/>
      <c r="S72" s="2490"/>
      <c r="T72" s="2490"/>
      <c r="U72" s="2490"/>
      <c r="V72" s="2490"/>
      <c r="W72" s="2490"/>
      <c r="X72" s="2490"/>
      <c r="Y72" s="2490"/>
      <c r="Z72" s="2490"/>
      <c r="AA72" s="2490"/>
      <c r="AB72" s="2490"/>
      <c r="AC72" s="2490"/>
    </row>
    <row r="73" spans="1:29" s="408" customFormat="1" ht="15.75" thickBot="1">
      <c r="A73" s="482"/>
      <c r="B73" s="472"/>
      <c r="C73" s="489"/>
      <c r="D73" s="465"/>
      <c r="E73" s="465"/>
      <c r="F73" s="465"/>
      <c r="G73" s="489"/>
      <c r="H73" s="491"/>
      <c r="I73" s="491"/>
      <c r="J73" s="491"/>
      <c r="K73" s="491"/>
      <c r="L73" s="491"/>
      <c r="M73" s="492"/>
      <c r="N73" s="2520"/>
      <c r="O73" s="2520"/>
      <c r="P73" s="2511"/>
      <c r="Q73" s="2512"/>
      <c r="R73" s="2490"/>
      <c r="S73" s="2490"/>
      <c r="T73" s="2490"/>
      <c r="U73" s="2490"/>
      <c r="V73" s="2490"/>
      <c r="W73" s="2490"/>
      <c r="X73" s="2490"/>
      <c r="Y73" s="2490"/>
      <c r="Z73" s="2490"/>
      <c r="AA73" s="2490"/>
      <c r="AB73" s="2490"/>
      <c r="AC73" s="2490"/>
    </row>
    <row r="74" spans="1:29" s="408" customFormat="1" ht="15.75" thickTop="1">
      <c r="A74" s="482"/>
      <c r="B74" s="475">
        <f>B14</f>
        <v>111</v>
      </c>
      <c r="C74" s="483"/>
      <c r="D74" s="483"/>
      <c r="E74" s="483"/>
      <c r="F74" s="483"/>
      <c r="G74" s="31"/>
      <c r="H74" s="493"/>
      <c r="I74" s="493"/>
      <c r="J74" s="493"/>
      <c r="K74" s="493"/>
      <c r="L74" s="494"/>
      <c r="M74" s="495"/>
      <c r="N74" s="2520"/>
      <c r="O74" s="2520"/>
      <c r="P74" s="2515"/>
      <c r="Q74" s="2512"/>
      <c r="R74" s="2490"/>
      <c r="S74" s="2490"/>
      <c r="T74" s="2490"/>
      <c r="U74" s="2490"/>
      <c r="V74" s="2490"/>
      <c r="W74" s="2490"/>
      <c r="X74" s="2490"/>
      <c r="Y74" s="2490"/>
      <c r="Z74" s="2490"/>
      <c r="AA74" s="2490"/>
      <c r="AB74" s="2490"/>
      <c r="AC74" s="2490"/>
    </row>
    <row r="75" spans="1:29" s="408" customFormat="1" ht="15.75" thickBot="1">
      <c r="A75" s="497"/>
      <c r="B75" s="498"/>
      <c r="C75" s="499"/>
      <c r="D75" s="499"/>
      <c r="E75" s="499"/>
      <c r="F75" s="499"/>
      <c r="G75" s="499"/>
      <c r="H75" s="500"/>
      <c r="I75" s="500"/>
      <c r="J75" s="500"/>
      <c r="K75" s="500"/>
      <c r="L75" s="500"/>
      <c r="M75" s="501"/>
      <c r="N75" s="2520"/>
      <c r="O75" s="2520"/>
      <c r="P75" s="2511"/>
      <c r="Q75" s="2512"/>
      <c r="R75" s="2490"/>
      <c r="S75" s="2490"/>
      <c r="T75" s="2490"/>
      <c r="U75" s="2490"/>
      <c r="V75" s="2490"/>
      <c r="W75" s="2490"/>
      <c r="X75" s="2490"/>
      <c r="Y75" s="2490"/>
      <c r="Z75" s="2490"/>
      <c r="AA75" s="2490"/>
      <c r="AB75" s="2490"/>
      <c r="AC75" s="2490"/>
    </row>
    <row r="76" spans="1:29">
      <c r="A76" s="379" t="s">
        <v>1690</v>
      </c>
      <c r="B76" s="458" t="s">
        <v>1720</v>
      </c>
      <c r="C76" s="502" t="s">
        <v>1721</v>
      </c>
      <c r="D76" s="502" t="s">
        <v>1722</v>
      </c>
      <c r="E76" s="502" t="s">
        <v>1723</v>
      </c>
      <c r="F76" s="502" t="s">
        <v>1724</v>
      </c>
      <c r="G76" s="502" t="s">
        <v>1725</v>
      </c>
      <c r="H76" s="459"/>
      <c r="I76" s="459"/>
      <c r="J76" s="459"/>
      <c r="K76" s="503"/>
      <c r="L76" s="504"/>
      <c r="M76" s="505"/>
      <c r="N76" s="2518"/>
      <c r="O76" s="2518"/>
      <c r="P76" s="2516"/>
      <c r="Q76" s="2505"/>
      <c r="R76" s="2484"/>
      <c r="S76" s="2484"/>
      <c r="T76" s="2484"/>
      <c r="U76" s="2484"/>
      <c r="V76" s="2484"/>
      <c r="W76" s="2484"/>
      <c r="X76" s="2484"/>
      <c r="Y76" s="2484"/>
      <c r="Z76" s="2484"/>
      <c r="AA76" s="2484"/>
      <c r="AB76" s="2484"/>
      <c r="AC76" s="2484"/>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9"/>
      <c r="O77" s="2519"/>
      <c r="P77" s="2510"/>
      <c r="Q77" s="2505"/>
      <c r="R77" s="2484"/>
      <c r="S77" s="2484"/>
      <c r="T77" s="2484"/>
      <c r="U77" s="2484"/>
      <c r="V77" s="2484"/>
      <c r="W77" s="2484"/>
      <c r="X77" s="2484"/>
      <c r="Y77" s="2484"/>
      <c r="Z77" s="2484"/>
      <c r="AA77" s="2484"/>
      <c r="AB77" s="2484"/>
      <c r="AC77" s="2484"/>
    </row>
    <row r="78" spans="1:29" ht="15.75" thickTop="1">
      <c r="A78" s="367"/>
      <c r="B78" s="467" t="s">
        <v>1726</v>
      </c>
      <c r="C78" s="507" t="s">
        <v>1721</v>
      </c>
      <c r="D78" s="507" t="s">
        <v>1722</v>
      </c>
      <c r="E78" s="507" t="s">
        <v>1723</v>
      </c>
      <c r="F78" s="507" t="s">
        <v>1724</v>
      </c>
      <c r="G78" s="507" t="s">
        <v>1725</v>
      </c>
      <c r="H78" s="468"/>
      <c r="I78" s="468"/>
      <c r="J78" s="468"/>
      <c r="K78" s="469"/>
      <c r="L78" s="470"/>
      <c r="M78" s="471"/>
      <c r="N78" s="2518"/>
      <c r="O78" s="2518"/>
      <c r="P78" s="2510"/>
      <c r="Q78" s="2505"/>
      <c r="R78" s="2484"/>
      <c r="S78" s="2484"/>
      <c r="T78" s="2484"/>
      <c r="U78" s="2484"/>
      <c r="V78" s="2484"/>
      <c r="W78" s="2484"/>
      <c r="X78" s="2484"/>
      <c r="Y78" s="2484"/>
      <c r="Z78" s="2484"/>
      <c r="AA78" s="2484"/>
      <c r="AB78" s="2484"/>
      <c r="AC78" s="2484"/>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9"/>
      <c r="O79" s="2519"/>
      <c r="P79" s="2510"/>
      <c r="Q79" s="2505"/>
      <c r="R79" s="2484"/>
      <c r="S79" s="2484"/>
      <c r="T79" s="2484"/>
      <c r="U79" s="2484"/>
      <c r="V79" s="2484"/>
      <c r="W79" s="2484"/>
      <c r="X79" s="2484"/>
      <c r="Y79" s="2484"/>
      <c r="Z79" s="2484"/>
      <c r="AA79" s="2484"/>
      <c r="AB79" s="2484"/>
      <c r="AC79" s="2484"/>
    </row>
    <row r="80" spans="1:29" ht="15.75" thickTop="1">
      <c r="A80" s="367"/>
      <c r="B80" s="467" t="s">
        <v>1727</v>
      </c>
      <c r="C80" s="507" t="s">
        <v>1721</v>
      </c>
      <c r="D80" s="507" t="s">
        <v>1722</v>
      </c>
      <c r="E80" s="507" t="s">
        <v>1723</v>
      </c>
      <c r="F80" s="507" t="s">
        <v>1724</v>
      </c>
      <c r="G80" s="507" t="s">
        <v>1725</v>
      </c>
      <c r="H80" s="468"/>
      <c r="I80" s="468"/>
      <c r="J80" s="468"/>
      <c r="K80" s="469"/>
      <c r="L80" s="470"/>
      <c r="M80" s="471"/>
      <c r="N80" s="2518"/>
      <c r="O80" s="2518"/>
      <c r="P80" s="2510"/>
      <c r="Q80" s="2505"/>
      <c r="R80" s="2484"/>
      <c r="S80" s="2484"/>
      <c r="T80" s="2484"/>
      <c r="U80" s="2484"/>
      <c r="V80" s="2484"/>
      <c r="W80" s="2484"/>
      <c r="X80" s="2484"/>
      <c r="Y80" s="2484"/>
      <c r="Z80" s="2484"/>
      <c r="AA80" s="2484"/>
      <c r="AB80" s="2484"/>
      <c r="AC80" s="2484"/>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9"/>
      <c r="O81" s="2519"/>
      <c r="P81" s="2510"/>
      <c r="Q81" s="2505"/>
      <c r="R81" s="2484"/>
      <c r="S81" s="2484"/>
      <c r="T81" s="2484"/>
      <c r="U81" s="2484"/>
      <c r="V81" s="2484"/>
      <c r="W81" s="2484"/>
      <c r="X81" s="2484"/>
      <c r="Y81" s="2484"/>
      <c r="Z81" s="2484"/>
      <c r="AA81" s="2484"/>
      <c r="AB81" s="2484"/>
      <c r="AC81" s="2484"/>
    </row>
    <row r="82" spans="1:29" ht="15.75" thickTop="1">
      <c r="A82" s="367"/>
      <c r="B82" s="475" t="s">
        <v>1779</v>
      </c>
      <c r="C82" s="579" t="s">
        <v>1799</v>
      </c>
      <c r="D82" s="579" t="s">
        <v>1800</v>
      </c>
      <c r="E82" s="579" t="s">
        <v>1801</v>
      </c>
      <c r="F82" s="579" t="s">
        <v>1802</v>
      </c>
      <c r="G82" s="579" t="s">
        <v>1803</v>
      </c>
      <c r="H82" s="468"/>
      <c r="I82" s="468"/>
      <c r="J82" s="468"/>
      <c r="K82" s="468"/>
      <c r="L82" s="468"/>
      <c r="M82" s="1061"/>
      <c r="N82" s="2519"/>
      <c r="O82" s="2519"/>
      <c r="P82" s="2510"/>
      <c r="Q82" s="2505"/>
      <c r="R82" s="2484"/>
      <c r="S82" s="2484"/>
      <c r="T82" s="2484"/>
      <c r="U82" s="2484"/>
      <c r="V82" s="2484"/>
      <c r="W82" s="2484"/>
      <c r="X82" s="2484"/>
      <c r="Y82" s="2484"/>
      <c r="Z82" s="2484"/>
      <c r="AA82" s="2484"/>
      <c r="AB82" s="2484"/>
      <c r="AC82" s="2484"/>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7" t="s">
        <v>1733</v>
      </c>
      <c r="C84" s="507" t="s">
        <v>1721</v>
      </c>
      <c r="D84" s="507" t="s">
        <v>1722</v>
      </c>
      <c r="E84" s="507" t="s">
        <v>1723</v>
      </c>
      <c r="F84" s="507" t="s">
        <v>1724</v>
      </c>
      <c r="G84" s="507" t="s">
        <v>1725</v>
      </c>
      <c r="H84" s="468"/>
      <c r="I84" s="468"/>
      <c r="J84" s="468"/>
      <c r="K84" s="469"/>
      <c r="L84" s="470"/>
      <c r="M84" s="471"/>
      <c r="N84" s="2518"/>
      <c r="O84" s="2518"/>
      <c r="P84" s="2510"/>
      <c r="Q84" s="2505"/>
      <c r="R84" s="2484"/>
      <c r="S84" s="2484"/>
      <c r="T84" s="2484"/>
      <c r="U84" s="2484"/>
      <c r="V84" s="2484"/>
      <c r="W84" s="2484"/>
      <c r="X84" s="2484"/>
      <c r="Y84" s="2484"/>
      <c r="Z84" s="2484"/>
      <c r="AA84" s="2484"/>
      <c r="AB84" s="2484"/>
      <c r="AC84" s="2484"/>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7" t="s">
        <v>1804</v>
      </c>
      <c r="C86" s="483"/>
      <c r="D86" s="483"/>
      <c r="E86" s="483"/>
      <c r="F86" s="483"/>
      <c r="G86" s="483"/>
      <c r="H86" s="483"/>
      <c r="I86" s="483"/>
      <c r="J86" s="483"/>
      <c r="K86" s="483"/>
      <c r="L86" s="508"/>
      <c r="M86" s="509"/>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7" t="str">
        <f>B26</f>
        <v>平面位置/可视性</v>
      </c>
      <c r="C88" s="483"/>
      <c r="D88" s="483"/>
      <c r="E88" s="483"/>
      <c r="F88" s="1776"/>
      <c r="G88" s="483"/>
      <c r="H88" s="483"/>
      <c r="I88" s="483"/>
      <c r="J88" s="483"/>
      <c r="K88" s="483"/>
      <c r="L88" s="483"/>
      <c r="M88" s="509"/>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2"/>
      <c r="C89" s="489"/>
      <c r="D89" s="465"/>
      <c r="E89" s="465"/>
      <c r="F89" s="465"/>
      <c r="G89" s="465"/>
      <c r="H89" s="465"/>
      <c r="I89" s="465"/>
      <c r="J89" s="465"/>
      <c r="K89" s="465"/>
      <c r="L89" s="465"/>
      <c r="M89" s="465"/>
      <c r="N89" s="2519"/>
      <c r="O89" s="2519"/>
      <c r="P89" s="2510"/>
      <c r="Q89" s="2505"/>
      <c r="R89" s="2436"/>
      <c r="S89" s="2436"/>
      <c r="T89" s="2436"/>
      <c r="U89" s="2436"/>
      <c r="V89" s="2436"/>
      <c r="W89" s="2436"/>
      <c r="X89" s="2436"/>
      <c r="Y89" s="2436"/>
      <c r="Z89" s="2436"/>
      <c r="AA89" s="2436"/>
      <c r="AB89" s="2436"/>
      <c r="AC89" s="2436"/>
    </row>
    <row r="90" spans="1:29" s="408" customFormat="1" ht="15.75" thickTop="1">
      <c r="A90" s="482"/>
      <c r="B90" s="467" t="str">
        <f>B27</f>
        <v>人流量</v>
      </c>
      <c r="C90" s="483"/>
      <c r="D90" s="483"/>
      <c r="E90" s="483"/>
      <c r="F90" s="483"/>
      <c r="G90" s="483"/>
      <c r="H90" s="484"/>
      <c r="I90" s="484"/>
      <c r="J90" s="484"/>
      <c r="K90" s="484"/>
      <c r="L90" s="485"/>
      <c r="M90" s="486"/>
      <c r="N90" s="2520"/>
      <c r="O90" s="2520"/>
      <c r="P90" s="2511"/>
      <c r="Q90" s="2512"/>
      <c r="R90" s="2490"/>
      <c r="S90" s="2490"/>
      <c r="T90" s="2490"/>
      <c r="U90" s="2490"/>
      <c r="V90" s="2490"/>
      <c r="W90" s="2490"/>
      <c r="X90" s="2490"/>
      <c r="Y90" s="2490"/>
      <c r="Z90" s="2490"/>
      <c r="AA90" s="2490"/>
      <c r="AB90" s="2490"/>
      <c r="AC90" s="2490"/>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7" t="str">
        <f>B28</f>
        <v>楼层</v>
      </c>
      <c r="C92" s="483"/>
      <c r="D92" s="483"/>
      <c r="E92" s="483"/>
      <c r="F92" s="483"/>
      <c r="G92" s="483"/>
      <c r="H92" s="483"/>
      <c r="I92" s="483"/>
      <c r="J92" s="483"/>
      <c r="K92" s="483"/>
      <c r="L92" s="508"/>
      <c r="M92" s="509"/>
      <c r="N92" s="2518"/>
      <c r="O92" s="2518"/>
      <c r="P92" s="2510"/>
      <c r="Q92" s="2505"/>
      <c r="R92" s="2484"/>
      <c r="S92" s="2484"/>
      <c r="T92" s="2484"/>
      <c r="U92" s="2484"/>
      <c r="V92" s="2484"/>
      <c r="W92" s="2484"/>
      <c r="X92" s="2484"/>
      <c r="Y92" s="2484"/>
      <c r="Z92" s="2484"/>
      <c r="AA92" s="2484"/>
      <c r="AB92" s="2484"/>
      <c r="AC92" s="2484"/>
    </row>
    <row r="93" spans="1:29" ht="15.75" thickBot="1">
      <c r="A93" s="367"/>
      <c r="B93" s="472"/>
      <c r="C93" s="465"/>
      <c r="D93" s="465"/>
      <c r="E93" s="465"/>
      <c r="F93" s="465"/>
      <c r="G93" s="465"/>
      <c r="H93" s="465"/>
      <c r="I93" s="465"/>
      <c r="J93" s="465"/>
      <c r="K93" s="465"/>
      <c r="L93" s="465"/>
      <c r="M93" s="466"/>
      <c r="N93" s="2519"/>
      <c r="O93" s="2519"/>
      <c r="P93" s="2510"/>
      <c r="Q93" s="2505"/>
      <c r="R93" s="2484"/>
      <c r="S93" s="2484"/>
      <c r="T93" s="2484"/>
      <c r="U93" s="2484"/>
      <c r="V93" s="2484"/>
      <c r="W93" s="2484"/>
      <c r="X93" s="2484"/>
      <c r="Y93" s="2484"/>
      <c r="Z93" s="2484"/>
      <c r="AA93" s="2484"/>
      <c r="AB93" s="2484"/>
      <c r="AC93" s="2484"/>
    </row>
    <row r="94" spans="1:29" ht="15.75" thickTop="1">
      <c r="A94" s="367"/>
      <c r="B94" s="467">
        <f>B29</f>
        <v>111</v>
      </c>
      <c r="C94" s="483"/>
      <c r="D94" s="483"/>
      <c r="E94" s="483"/>
      <c r="F94" s="483"/>
      <c r="G94" s="511"/>
      <c r="H94" s="511"/>
      <c r="I94" s="511"/>
      <c r="J94" s="511"/>
      <c r="K94" s="512"/>
      <c r="L94" s="513"/>
      <c r="M94" s="514"/>
      <c r="N94" s="2518"/>
      <c r="O94" s="2518"/>
      <c r="P94" s="2510"/>
      <c r="Q94" s="2505"/>
      <c r="R94" s="2484"/>
      <c r="S94" s="2484"/>
      <c r="T94" s="2484"/>
      <c r="U94" s="2484"/>
      <c r="V94" s="2484"/>
      <c r="W94" s="2484"/>
      <c r="X94" s="2484"/>
      <c r="Y94" s="2484"/>
      <c r="Z94" s="2484"/>
      <c r="AA94" s="2484"/>
      <c r="AB94" s="2484"/>
      <c r="AC94" s="2484"/>
    </row>
    <row r="95" spans="1:29" ht="15.75" thickBot="1">
      <c r="A95" s="367"/>
      <c r="B95" s="472"/>
      <c r="C95" s="489"/>
      <c r="D95" s="465"/>
      <c r="E95" s="465"/>
      <c r="F95" s="465"/>
      <c r="G95" s="465"/>
      <c r="H95" s="465"/>
      <c r="I95" s="465"/>
      <c r="J95" s="465"/>
      <c r="K95" s="465"/>
      <c r="L95" s="465"/>
      <c r="M95" s="466"/>
      <c r="N95" s="2519"/>
      <c r="O95" s="2519"/>
      <c r="P95" s="2510"/>
      <c r="Q95" s="2505"/>
      <c r="R95" s="2484"/>
      <c r="S95" s="2484"/>
      <c r="T95" s="2484"/>
      <c r="U95" s="2484"/>
      <c r="V95" s="2484"/>
      <c r="W95" s="2484"/>
      <c r="X95" s="2484"/>
      <c r="Y95" s="2484"/>
      <c r="Z95" s="2484"/>
      <c r="AA95" s="2484"/>
      <c r="AB95" s="2484"/>
      <c r="AC95" s="2484"/>
    </row>
    <row r="96" spans="1:29" ht="15.75" thickTop="1">
      <c r="A96" s="367"/>
      <c r="B96" s="467">
        <f>B30</f>
        <v>111</v>
      </c>
      <c r="C96" s="483"/>
      <c r="D96" s="483"/>
      <c r="E96" s="483"/>
      <c r="F96" s="483"/>
      <c r="G96" s="511"/>
      <c r="H96" s="511"/>
      <c r="I96" s="511"/>
      <c r="J96" s="511"/>
      <c r="K96" s="512"/>
      <c r="L96" s="513"/>
      <c r="M96" s="514"/>
      <c r="N96" s="2518"/>
      <c r="O96" s="2518"/>
      <c r="P96" s="2510"/>
      <c r="Q96" s="2505"/>
      <c r="R96" s="2484"/>
      <c r="S96" s="2484"/>
      <c r="T96" s="2484"/>
      <c r="U96" s="2484"/>
      <c r="V96" s="2484"/>
      <c r="W96" s="2484"/>
      <c r="X96" s="2484"/>
      <c r="Y96" s="2484"/>
      <c r="Z96" s="2484"/>
      <c r="AA96" s="2484"/>
      <c r="AB96" s="2484"/>
      <c r="AC96" s="2484"/>
    </row>
    <row r="97" spans="1:29" ht="15.75" thickBot="1">
      <c r="A97" s="367"/>
      <c r="B97" s="472"/>
      <c r="C97" s="489"/>
      <c r="D97" s="465"/>
      <c r="E97" s="465"/>
      <c r="F97" s="465"/>
      <c r="G97" s="465"/>
      <c r="H97" s="465"/>
      <c r="I97" s="465"/>
      <c r="J97" s="465"/>
      <c r="K97" s="465"/>
      <c r="L97" s="465"/>
      <c r="M97" s="466"/>
      <c r="N97" s="2519"/>
      <c r="O97" s="2519"/>
      <c r="P97" s="2510"/>
      <c r="Q97" s="2505"/>
      <c r="R97" s="2484"/>
      <c r="S97" s="2484"/>
      <c r="T97" s="2484"/>
      <c r="U97" s="2484"/>
      <c r="V97" s="2484"/>
      <c r="W97" s="2484"/>
      <c r="X97" s="2484"/>
      <c r="Y97" s="2484"/>
      <c r="Z97" s="2484"/>
      <c r="AA97" s="2484"/>
      <c r="AB97" s="2484"/>
      <c r="AC97" s="2484"/>
    </row>
    <row r="98" spans="1:29" ht="15.75" thickTop="1">
      <c r="A98" s="367"/>
      <c r="B98" s="475">
        <f>B31</f>
        <v>111</v>
      </c>
      <c r="C98" s="483"/>
      <c r="D98" s="483"/>
      <c r="E98" s="483"/>
      <c r="F98" s="483"/>
      <c r="G98" s="515"/>
      <c r="H98" s="515"/>
      <c r="I98" s="515"/>
      <c r="J98" s="515"/>
      <c r="K98" s="516"/>
      <c r="L98" s="517"/>
      <c r="M98" s="518"/>
      <c r="N98" s="2518"/>
      <c r="O98" s="2518"/>
      <c r="P98" s="2510"/>
      <c r="Q98" s="2505"/>
      <c r="R98" s="2484"/>
      <c r="S98" s="2484"/>
      <c r="T98" s="2484"/>
      <c r="U98" s="2484"/>
      <c r="V98" s="2484"/>
      <c r="W98" s="2484"/>
      <c r="X98" s="2484"/>
      <c r="Y98" s="2484"/>
      <c r="Z98" s="2484"/>
      <c r="AA98" s="2484"/>
      <c r="AB98" s="2484"/>
      <c r="AC98" s="2484"/>
    </row>
    <row r="99" spans="1:29" ht="15.75" thickBot="1">
      <c r="A99" s="375"/>
      <c r="B99" s="498"/>
      <c r="C99" s="499"/>
      <c r="D99" s="499"/>
      <c r="E99" s="499"/>
      <c r="F99" s="499"/>
      <c r="G99" s="519"/>
      <c r="H99" s="519"/>
      <c r="I99" s="519"/>
      <c r="J99" s="519"/>
      <c r="K99" s="519"/>
      <c r="L99" s="519"/>
      <c r="M99" s="520"/>
      <c r="N99" s="2519"/>
      <c r="O99" s="2519"/>
      <c r="P99" s="2510"/>
      <c r="Q99" s="2505"/>
      <c r="R99" s="2484"/>
      <c r="S99" s="2484"/>
      <c r="T99" s="2484"/>
      <c r="U99" s="2484"/>
      <c r="V99" s="2484"/>
      <c r="W99" s="2484"/>
      <c r="X99" s="2484"/>
      <c r="Y99" s="2484"/>
      <c r="Z99" s="2484"/>
      <c r="AA99" s="2484"/>
      <c r="AB99" s="2484"/>
      <c r="AC99" s="2484"/>
    </row>
    <row r="100" spans="1:29">
      <c r="A100" s="379" t="s">
        <v>1694</v>
      </c>
      <c r="B100" s="458" t="s">
        <v>1805</v>
      </c>
      <c r="C100" s="460"/>
      <c r="D100" s="460"/>
      <c r="E100" s="460"/>
      <c r="F100" s="460"/>
      <c r="G100" s="460"/>
      <c r="H100" s="460"/>
      <c r="I100" s="460"/>
      <c r="J100" s="460"/>
      <c r="K100" s="461"/>
      <c r="L100" s="462"/>
      <c r="M100" s="463"/>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1"/>
      <c r="C103" s="6"/>
      <c r="D103" s="6"/>
      <c r="E103" s="6"/>
      <c r="F103" s="6"/>
      <c r="G103" s="6"/>
      <c r="H103" s="6"/>
      <c r="I103" s="6"/>
      <c r="J103" s="522"/>
      <c r="K103" s="522"/>
      <c r="L103" s="523"/>
      <c r="M103" s="524"/>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2"/>
      <c r="B104" s="472"/>
      <c r="C104" s="489"/>
      <c r="D104" s="465"/>
      <c r="E104" s="465"/>
      <c r="F104" s="465"/>
      <c r="G104" s="465"/>
      <c r="H104" s="465"/>
      <c r="I104" s="465"/>
      <c r="J104" s="465"/>
      <c r="K104" s="465"/>
      <c r="L104" s="465"/>
      <c r="M104" s="466"/>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7" t="s">
        <v>1738</v>
      </c>
      <c r="C105" s="483"/>
      <c r="D105" s="483"/>
      <c r="E105" s="511"/>
      <c r="F105" s="511"/>
      <c r="G105" s="511"/>
      <c r="H105" s="511"/>
      <c r="I105" s="511"/>
      <c r="J105" s="511"/>
      <c r="K105" s="512"/>
      <c r="L105" s="513"/>
      <c r="M105" s="514"/>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7" t="s">
        <v>1740</v>
      </c>
      <c r="C107" s="483"/>
      <c r="D107" s="483"/>
      <c r="E107" s="483"/>
      <c r="F107" s="511"/>
      <c r="G107" s="511"/>
      <c r="H107" s="511"/>
      <c r="I107" s="511"/>
      <c r="J107" s="511"/>
      <c r="K107" s="512"/>
      <c r="L107" s="513"/>
      <c r="M107" s="514"/>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8"/>
      <c r="O109" s="2518"/>
      <c r="P109" s="2510"/>
      <c r="Q109" s="2505"/>
      <c r="R109" s="2484"/>
      <c r="S109" s="2484"/>
      <c r="T109" s="2484"/>
      <c r="U109" s="2484"/>
      <c r="V109" s="2484"/>
      <c r="W109" s="2484"/>
      <c r="X109" s="2484"/>
      <c r="Y109" s="2484"/>
      <c r="Z109" s="2484"/>
      <c r="AA109" s="2484"/>
      <c r="AB109" s="2484"/>
      <c r="AC109" s="2484"/>
    </row>
    <row r="110" spans="1:29">
      <c r="A110" s="409"/>
      <c r="B110" s="475"/>
      <c r="C110" s="528">
        <v>0.5</v>
      </c>
      <c r="D110" s="528">
        <v>0.6</v>
      </c>
      <c r="E110" s="528">
        <v>0.7</v>
      </c>
      <c r="F110" s="528">
        <v>0.8</v>
      </c>
      <c r="G110" s="528">
        <v>0.9</v>
      </c>
      <c r="H110" s="528">
        <v>1.0001</v>
      </c>
      <c r="I110" s="546"/>
      <c r="J110" s="546"/>
      <c r="K110" s="547"/>
      <c r="L110" s="548"/>
      <c r="M110" s="549"/>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7" t="s">
        <v>1742</v>
      </c>
      <c r="C112" s="483"/>
      <c r="D112" s="483"/>
      <c r="E112" s="483"/>
      <c r="F112" s="483"/>
      <c r="G112" s="483"/>
      <c r="H112" s="511"/>
      <c r="I112" s="511"/>
      <c r="J112" s="511"/>
      <c r="K112" s="512"/>
      <c r="L112" s="513"/>
      <c r="M112" s="514"/>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7" t="s">
        <v>1806</v>
      </c>
      <c r="C114" s="483"/>
      <c r="D114" s="483"/>
      <c r="E114" s="511"/>
      <c r="F114" s="511"/>
      <c r="G114" s="511"/>
      <c r="H114" s="511"/>
      <c r="I114" s="511"/>
      <c r="J114" s="511"/>
      <c r="K114" s="512"/>
      <c r="L114" s="513"/>
      <c r="M114" s="514"/>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7" t="s">
        <v>1807</v>
      </c>
      <c r="C116" s="483"/>
      <c r="D116" s="483"/>
      <c r="E116" s="483"/>
      <c r="F116" s="483"/>
      <c r="G116" s="483"/>
      <c r="H116" s="511"/>
      <c r="I116" s="511"/>
      <c r="J116" s="511"/>
      <c r="K116" s="512"/>
      <c r="L116" s="513"/>
      <c r="M116" s="514"/>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7" t="s">
        <v>1808</v>
      </c>
      <c r="C118" s="550"/>
      <c r="D118" s="550"/>
      <c r="E118" s="550"/>
      <c r="F118" s="550"/>
      <c r="G118" s="550"/>
      <c r="H118" s="484"/>
      <c r="I118" s="484"/>
      <c r="J118" s="484"/>
      <c r="K118" s="484"/>
      <c r="L118" s="485"/>
      <c r="M118" s="486"/>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2"/>
      <c r="C119" s="489"/>
      <c r="D119" s="465"/>
      <c r="E119" s="465"/>
      <c r="F119" s="465"/>
      <c r="G119" s="465"/>
      <c r="H119" s="465"/>
      <c r="I119" s="465"/>
      <c r="J119" s="465"/>
      <c r="K119" s="465"/>
      <c r="L119" s="465"/>
      <c r="M119" s="466"/>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7" t="s">
        <v>1809</v>
      </c>
      <c r="C120" s="511"/>
      <c r="D120" s="511"/>
      <c r="E120" s="511"/>
      <c r="F120" s="511"/>
      <c r="G120" s="484"/>
      <c r="H120" s="484"/>
      <c r="I120" s="484"/>
      <c r="J120" s="484"/>
      <c r="K120" s="484"/>
      <c r="L120" s="485"/>
      <c r="M120" s="486"/>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7" t="s">
        <v>1744</v>
      </c>
      <c r="C122" s="483"/>
      <c r="D122" s="483"/>
      <c r="E122" s="483"/>
      <c r="F122" s="511"/>
      <c r="G122" s="511"/>
      <c r="H122" s="511"/>
      <c r="I122" s="511"/>
      <c r="J122" s="511"/>
      <c r="K122" s="512"/>
      <c r="L122" s="513"/>
      <c r="M122" s="514"/>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7">
        <f>B44</f>
        <v>111</v>
      </c>
      <c r="C126" s="483"/>
      <c r="D126" s="483"/>
      <c r="E126" s="483"/>
      <c r="F126" s="483"/>
      <c r="G126" s="483"/>
      <c r="H126" s="484"/>
      <c r="I126" s="484"/>
      <c r="J126" s="484"/>
      <c r="K126" s="484"/>
      <c r="L126" s="485"/>
      <c r="M126" s="486"/>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2"/>
      <c r="B127" s="472"/>
      <c r="C127" s="489"/>
      <c r="D127" s="465"/>
      <c r="E127" s="465"/>
      <c r="F127" s="465"/>
      <c r="G127" s="489"/>
      <c r="H127" s="491"/>
      <c r="I127" s="491"/>
      <c r="J127" s="491"/>
      <c r="K127" s="491"/>
      <c r="L127" s="491"/>
      <c r="M127" s="492"/>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7">
        <f>B45</f>
        <v>111</v>
      </c>
      <c r="C128" s="483"/>
      <c r="D128" s="483"/>
      <c r="E128" s="483"/>
      <c r="F128" s="483"/>
      <c r="G128" s="511"/>
      <c r="H128" s="511"/>
      <c r="I128" s="511"/>
      <c r="J128" s="511"/>
      <c r="K128" s="512"/>
      <c r="L128" s="513"/>
      <c r="M128" s="514"/>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2"/>
      <c r="C129" s="489"/>
      <c r="D129" s="465"/>
      <c r="E129" s="465"/>
      <c r="F129" s="465"/>
      <c r="G129" s="465"/>
      <c r="H129" s="465"/>
      <c r="I129" s="465"/>
      <c r="J129" s="465"/>
      <c r="K129" s="465"/>
      <c r="L129" s="465"/>
      <c r="M129" s="466"/>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5">
        <f>B46</f>
        <v>111</v>
      </c>
      <c r="C130" s="483"/>
      <c r="D130" s="483"/>
      <c r="E130" s="483"/>
      <c r="F130" s="483"/>
      <c r="G130" s="515"/>
      <c r="H130" s="515"/>
      <c r="I130" s="515"/>
      <c r="J130" s="515"/>
      <c r="K130" s="31"/>
      <c r="L130" s="455"/>
      <c r="M130" s="518"/>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498"/>
      <c r="C131" s="499"/>
      <c r="D131" s="499"/>
      <c r="E131" s="499"/>
      <c r="F131" s="499"/>
      <c r="G131" s="519"/>
      <c r="H131" s="519"/>
      <c r="I131" s="519"/>
      <c r="J131" s="519"/>
      <c r="K131" s="519"/>
      <c r="L131" s="519"/>
      <c r="M131" s="520"/>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1810</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74277.419999999867</v>
      </c>
      <c r="E3" s="1801"/>
      <c r="F3" s="854"/>
      <c r="G3" s="853"/>
      <c r="H3" s="853"/>
      <c r="I3" s="853"/>
      <c r="J3" s="853"/>
      <c r="K3" s="855"/>
      <c r="L3" s="2500"/>
      <c r="M3" s="2501"/>
      <c r="N3" s="2501"/>
      <c r="O3" s="2501"/>
      <c r="P3" s="341"/>
      <c r="Q3" s="341"/>
      <c r="R3" s="341"/>
      <c r="S3" s="341"/>
      <c r="T3" s="341"/>
      <c r="U3" s="341"/>
      <c r="V3" s="341"/>
      <c r="W3" s="341"/>
      <c r="X3" s="341"/>
      <c r="Y3" s="341"/>
      <c r="Z3" s="341"/>
      <c r="AA3" s="341"/>
      <c r="AB3" s="341"/>
      <c r="AC3" s="661"/>
    </row>
    <row r="4" spans="1:29" ht="15">
      <c r="A4" s="345" t="s">
        <v>1769</v>
      </c>
      <c r="B4" s="346"/>
      <c r="C4" s="3381" t="s">
        <v>1770</v>
      </c>
      <c r="D4" s="3393"/>
      <c r="E4" s="3394" t="s">
        <v>1771</v>
      </c>
      <c r="F4" s="3395"/>
      <c r="G4" s="3381" t="s">
        <v>1772</v>
      </c>
      <c r="H4" s="3393"/>
      <c r="I4" s="3381" t="s">
        <v>1773</v>
      </c>
      <c r="J4" s="3393"/>
      <c r="K4" s="535" t="s">
        <v>1774</v>
      </c>
      <c r="L4" s="2483"/>
      <c r="M4" s="2484"/>
      <c r="N4" s="2484"/>
      <c r="O4" s="2484"/>
      <c r="P4" s="3460" t="s">
        <v>1775</v>
      </c>
      <c r="Q4" s="3461"/>
      <c r="R4" s="3464" t="s">
        <v>1771</v>
      </c>
      <c r="S4" s="3465"/>
      <c r="T4" s="3464" t="s">
        <v>1772</v>
      </c>
      <c r="U4" s="3465"/>
      <c r="V4" s="3466" t="s">
        <v>1773</v>
      </c>
      <c r="W4" s="3466"/>
      <c r="X4" s="1805"/>
      <c r="Y4" s="3464" t="s">
        <v>1775</v>
      </c>
      <c r="Z4" s="3465"/>
      <c r="AA4" s="3468" t="s">
        <v>1771</v>
      </c>
      <c r="AB4" s="3468" t="s">
        <v>1772</v>
      </c>
      <c r="AC4" s="3457" t="s">
        <v>1773</v>
      </c>
    </row>
    <row r="5" spans="1:29" ht="15">
      <c r="A5" s="348"/>
      <c r="B5" s="349"/>
      <c r="C5" s="3415" t="s">
        <v>1673</v>
      </c>
      <c r="D5" s="3411"/>
      <c r="E5" s="3453" t="s">
        <v>1674</v>
      </c>
      <c r="F5" s="3419"/>
      <c r="G5" s="3415" t="s">
        <v>1675</v>
      </c>
      <c r="H5" s="3411"/>
      <c r="I5" s="3415" t="s">
        <v>1676</v>
      </c>
      <c r="J5" s="3411"/>
      <c r="K5" s="535"/>
      <c r="L5" s="2483"/>
      <c r="M5" s="2484"/>
      <c r="N5" s="2484"/>
      <c r="O5" s="2484"/>
      <c r="P5" s="3462"/>
      <c r="Q5" s="3399"/>
      <c r="R5" s="3404"/>
      <c r="S5" s="3405"/>
      <c r="T5" s="3404"/>
      <c r="U5" s="3405"/>
      <c r="V5" s="3389"/>
      <c r="W5" s="3389"/>
      <c r="X5" s="1263"/>
      <c r="Y5" s="3404"/>
      <c r="Z5" s="3405"/>
      <c r="AA5" s="3391"/>
      <c r="AB5" s="3391"/>
      <c r="AC5" s="3458"/>
    </row>
    <row r="6" spans="1:29" ht="15.75" thickBot="1">
      <c r="A6" s="350"/>
      <c r="B6" s="351"/>
      <c r="C6" s="3408" t="s">
        <v>1677</v>
      </c>
      <c r="D6" s="3409"/>
      <c r="E6" s="3416" t="s">
        <v>1677</v>
      </c>
      <c r="F6" s="3417"/>
      <c r="G6" s="3408" t="s">
        <v>1677</v>
      </c>
      <c r="H6" s="3409"/>
      <c r="I6" s="3408" t="s">
        <v>1677</v>
      </c>
      <c r="J6" s="3409"/>
      <c r="K6" s="535" t="s">
        <v>1678</v>
      </c>
      <c r="L6" s="2483"/>
      <c r="M6" s="2484"/>
      <c r="N6" s="2484"/>
      <c r="O6" s="2484"/>
      <c r="P6" s="3463"/>
      <c r="Q6" s="3401"/>
      <c r="R6" s="3404"/>
      <c r="S6" s="3405"/>
      <c r="T6" s="3406"/>
      <c r="U6" s="3407"/>
      <c r="V6" s="3389"/>
      <c r="W6" s="3389"/>
      <c r="X6" s="1263"/>
      <c r="Y6" s="3406"/>
      <c r="Z6" s="3407"/>
      <c r="AA6" s="3392"/>
      <c r="AB6" s="3392"/>
      <c r="AC6" s="3459"/>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5"/>
      <c r="M7" s="2436"/>
      <c r="N7" s="2436"/>
      <c r="O7" s="2436"/>
      <c r="P7" s="3467"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67" t="s">
        <v>1683</v>
      </c>
      <c r="Q8" s="3413"/>
      <c r="R8" s="662" t="s">
        <v>14</v>
      </c>
      <c r="S8" s="663">
        <f t="shared" si="0"/>
        <v>100</v>
      </c>
      <c r="T8" s="662" t="s">
        <v>14</v>
      </c>
      <c r="U8" s="663">
        <f t="shared" si="1"/>
        <v>100</v>
      </c>
      <c r="V8" s="662" t="s">
        <v>14</v>
      </c>
      <c r="W8" s="663">
        <f t="shared" si="2"/>
        <v>100</v>
      </c>
      <c r="X8" s="664"/>
      <c r="Y8" s="3412" t="s">
        <v>1683</v>
      </c>
      <c r="Z8" s="3413"/>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83" t="s">
        <v>1686</v>
      </c>
      <c r="Q9" s="528" t="str">
        <f t="shared" ref="Q9:Q15" si="6">B9</f>
        <v>用途</v>
      </c>
      <c r="R9" s="662" t="s">
        <v>14</v>
      </c>
      <c r="S9" s="663">
        <f t="shared" si="0"/>
        <v>100</v>
      </c>
      <c r="T9" s="662" t="s">
        <v>14</v>
      </c>
      <c r="U9" s="663">
        <f t="shared" si="1"/>
        <v>100</v>
      </c>
      <c r="V9" s="662" t="s">
        <v>14</v>
      </c>
      <c r="W9" s="663">
        <f t="shared" si="2"/>
        <v>100</v>
      </c>
      <c r="X9" s="664"/>
      <c r="Y9" s="3281" t="s">
        <v>1687</v>
      </c>
      <c r="Z9" s="50" t="str">
        <f t="shared" ref="Z9:Z15" si="7">Q9</f>
        <v>用途</v>
      </c>
      <c r="AA9" s="50">
        <f t="shared" si="3"/>
        <v>1</v>
      </c>
      <c r="AB9" s="50">
        <f t="shared" si="4"/>
        <v>1</v>
      </c>
      <c r="AC9" s="800">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3"/>
      <c r="Q10" s="528"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8"/>
      <c r="M11" s="2484"/>
      <c r="N11" s="2484"/>
      <c r="O11" s="2484"/>
      <c r="P11" s="3383"/>
      <c r="Q11" s="528" t="str">
        <f t="shared" si="6"/>
        <v>容积率</v>
      </c>
      <c r="R11" s="662" t="s">
        <v>14</v>
      </c>
      <c r="S11" s="663">
        <f t="shared" si="0"/>
        <v>100</v>
      </c>
      <c r="T11" s="662" t="s">
        <v>14</v>
      </c>
      <c r="U11" s="663">
        <f t="shared" si="1"/>
        <v>100</v>
      </c>
      <c r="V11" s="662" t="s">
        <v>14</v>
      </c>
      <c r="W11" s="663">
        <f t="shared" si="2"/>
        <v>100</v>
      </c>
      <c r="X11" s="664"/>
      <c r="Y11" s="3281"/>
      <c r="Z11" s="50" t="str">
        <f t="shared" si="7"/>
        <v>容积率</v>
      </c>
      <c r="AA11" s="50">
        <f t="shared" si="3"/>
        <v>1</v>
      </c>
      <c r="AB11" s="50">
        <f t="shared" si="4"/>
        <v>1</v>
      </c>
      <c r="AC11" s="800">
        <f t="shared" si="5"/>
        <v>1</v>
      </c>
    </row>
    <row r="12" spans="1:29" s="102" customFormat="1" ht="15">
      <c r="A12" s="370"/>
      <c r="B12" s="445">
        <v>111</v>
      </c>
      <c r="C12" s="371"/>
      <c r="D12" s="372">
        <v>100</v>
      </c>
      <c r="E12" s="371"/>
      <c r="F12" s="119">
        <f>SUMIF(71:71,E12,72:72)-SUMIF(71:71,C12,72:72)+100</f>
        <v>100</v>
      </c>
      <c r="G12" s="1806"/>
      <c r="H12" s="119">
        <f>SUMIF(71:71,G12,72:72)-SUMIF(71:71,C12,72:72)+100</f>
        <v>100</v>
      </c>
      <c r="I12" s="371"/>
      <c r="J12" s="119">
        <f>SUMIF(71:71,I12,72:72)-SUMIF(71:71,C12,72:72)+100</f>
        <v>100</v>
      </c>
      <c r="K12" s="537"/>
      <c r="L12" s="2485"/>
      <c r="M12" s="2436"/>
      <c r="N12" s="2436"/>
      <c r="O12" s="2436"/>
      <c r="P12" s="3383"/>
      <c r="Q12" s="528">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800">
        <f>D12/J12</f>
        <v>1</v>
      </c>
    </row>
    <row r="13" spans="1:29" ht="15">
      <c r="A13" s="367"/>
      <c r="B13" s="445">
        <v>111</v>
      </c>
      <c r="C13" s="373"/>
      <c r="D13" s="374">
        <v>100</v>
      </c>
      <c r="E13" s="371"/>
      <c r="F13" s="119">
        <f>SUMIF(73:73,E13,74:74)-SUMIF(73:73,C13,74:74)+100</f>
        <v>100</v>
      </c>
      <c r="G13" s="1806"/>
      <c r="H13" s="374">
        <f>SUMIF(73:73,G13,74:74)-SUMIF(73:73,C13,74:74)+100</f>
        <v>100</v>
      </c>
      <c r="I13" s="371"/>
      <c r="J13" s="374">
        <f>SUMIF(73:73,I13,74:74)-SUMIF(73:73,C13,74:74)+100</f>
        <v>100</v>
      </c>
      <c r="K13" s="537"/>
      <c r="L13" s="2489"/>
      <c r="M13" s="2484"/>
      <c r="N13" s="2484"/>
      <c r="O13" s="2484"/>
      <c r="P13" s="3383"/>
      <c r="Q13" s="528">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800">
        <f t="shared" si="5"/>
        <v>1</v>
      </c>
    </row>
    <row r="14" spans="1:29" ht="15.75" thickBot="1">
      <c r="A14" s="375"/>
      <c r="B14" s="1747">
        <v>111</v>
      </c>
      <c r="C14" s="376"/>
      <c r="D14" s="377">
        <v>100</v>
      </c>
      <c r="E14" s="551"/>
      <c r="F14" s="377">
        <f>SUMIF(75:75,E14,76:76)-SUMIF(75:75,C14,76:76)+100</f>
        <v>100</v>
      </c>
      <c r="G14" s="1806"/>
      <c r="H14" s="377">
        <f>SUMIF(75:75,G14,76:76)-SUMIF(75:75,C14,76:76)+100</f>
        <v>100</v>
      </c>
      <c r="I14" s="371"/>
      <c r="J14" s="377">
        <f>SUMIF(75:75,I14,76:76)-SUMIF(75:75,C14,76:76)+100</f>
        <v>100</v>
      </c>
      <c r="K14" s="537"/>
      <c r="L14" s="2489"/>
      <c r="M14" s="2484"/>
      <c r="N14" s="2484"/>
      <c r="O14" s="2484"/>
      <c r="P14" s="3383"/>
      <c r="Q14" s="528">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800">
        <f t="shared" si="5"/>
        <v>1</v>
      </c>
    </row>
    <row r="15" spans="1:29" ht="15">
      <c r="A15" s="379" t="s">
        <v>1690</v>
      </c>
      <c r="B15" s="552" t="s">
        <v>1811</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9"/>
      <c r="M15" s="2484"/>
      <c r="N15" s="2484"/>
      <c r="O15" s="2484"/>
      <c r="P15" s="3451" t="s">
        <v>1691</v>
      </c>
      <c r="Q15" s="1261" t="str">
        <f t="shared" si="6"/>
        <v>办公集聚程度</v>
      </c>
      <c r="R15" s="665" t="s">
        <v>14</v>
      </c>
      <c r="S15" s="666">
        <f t="shared" si="0"/>
        <v>100</v>
      </c>
      <c r="T15" s="665" t="s">
        <v>14</v>
      </c>
      <c r="U15" s="666">
        <f t="shared" si="1"/>
        <v>100</v>
      </c>
      <c r="V15" s="665" t="s">
        <v>14</v>
      </c>
      <c r="W15" s="666">
        <f t="shared" si="2"/>
        <v>100</v>
      </c>
      <c r="X15" s="1263"/>
      <c r="Y15" s="3385" t="s">
        <v>1691</v>
      </c>
      <c r="Z15" s="1262" t="str">
        <f t="shared" si="7"/>
        <v>办公集聚程度</v>
      </c>
      <c r="AA15" s="1262">
        <f t="shared" si="3"/>
        <v>1</v>
      </c>
      <c r="AB15" s="1262">
        <f t="shared" si="4"/>
        <v>1</v>
      </c>
      <c r="AC15" s="1808">
        <f t="shared" si="5"/>
        <v>1</v>
      </c>
    </row>
    <row r="16" spans="1:29" ht="15">
      <c r="A16" s="367"/>
      <c r="B16" s="553"/>
      <c r="C16" s="1756"/>
      <c r="D16" s="387"/>
      <c r="E16" s="386"/>
      <c r="F16" s="387"/>
      <c r="G16" s="1756"/>
      <c r="H16" s="389"/>
      <c r="I16" s="386"/>
      <c r="J16" s="387"/>
      <c r="K16" s="539"/>
      <c r="L16" s="2489"/>
      <c r="M16" s="2484"/>
      <c r="N16" s="2484"/>
      <c r="O16" s="2484"/>
      <c r="P16" s="3452"/>
      <c r="Q16" s="1261"/>
      <c r="R16" s="665"/>
      <c r="S16" s="666"/>
      <c r="T16" s="665"/>
      <c r="U16" s="666"/>
      <c r="V16" s="665"/>
      <c r="W16" s="666"/>
      <c r="X16" s="1263"/>
      <c r="Y16" s="3386"/>
      <c r="Z16" s="1262"/>
      <c r="AA16" s="1262">
        <v>1</v>
      </c>
      <c r="AB16" s="1262">
        <v>1</v>
      </c>
      <c r="AC16" s="1808">
        <v>1</v>
      </c>
    </row>
    <row r="17" spans="1:29" ht="15">
      <c r="A17" s="367"/>
      <c r="B17" s="554" t="s">
        <v>1259</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9"/>
      <c r="M17" s="2484"/>
      <c r="N17" s="2484"/>
      <c r="O17" s="2484"/>
      <c r="P17" s="3452"/>
      <c r="Q17" s="1261" t="str">
        <f>B17</f>
        <v>交通便捷度</v>
      </c>
      <c r="R17" s="665" t="s">
        <v>14</v>
      </c>
      <c r="S17" s="666">
        <f>F17</f>
        <v>100</v>
      </c>
      <c r="T17" s="665" t="s">
        <v>14</v>
      </c>
      <c r="U17" s="666">
        <f>H17</f>
        <v>100</v>
      </c>
      <c r="V17" s="665" t="s">
        <v>14</v>
      </c>
      <c r="W17" s="666">
        <f>J17</f>
        <v>100</v>
      </c>
      <c r="X17" s="1263"/>
      <c r="Y17" s="3386"/>
      <c r="Z17" s="1262" t="str">
        <f>Q17</f>
        <v>交通便捷度</v>
      </c>
      <c r="AA17" s="1262">
        <f t="shared" si="3"/>
        <v>1</v>
      </c>
      <c r="AB17" s="1262">
        <f t="shared" si="4"/>
        <v>1</v>
      </c>
      <c r="AC17" s="1808">
        <f t="shared" si="5"/>
        <v>1</v>
      </c>
    </row>
    <row r="18" spans="1:29" ht="15">
      <c r="A18" s="367"/>
      <c r="B18" s="401"/>
      <c r="C18" s="1810"/>
      <c r="D18" s="389"/>
      <c r="E18" s="1754"/>
      <c r="F18" s="389"/>
      <c r="G18" s="1755"/>
      <c r="H18" s="387"/>
      <c r="I18" s="1755"/>
      <c r="J18" s="387"/>
      <c r="K18" s="539"/>
      <c r="L18" s="2489"/>
      <c r="M18" s="2484"/>
      <c r="N18" s="2484"/>
      <c r="O18" s="2484"/>
      <c r="P18" s="3452"/>
      <c r="Q18" s="1261"/>
      <c r="R18" s="665"/>
      <c r="S18" s="666"/>
      <c r="T18" s="665"/>
      <c r="U18" s="666"/>
      <c r="V18" s="665"/>
      <c r="W18" s="666"/>
      <c r="X18" s="1263"/>
      <c r="Y18" s="3386"/>
      <c r="Z18" s="1262"/>
      <c r="AA18" s="1262">
        <v>1</v>
      </c>
      <c r="AB18" s="1262">
        <v>1</v>
      </c>
      <c r="AC18" s="1808">
        <v>1</v>
      </c>
    </row>
    <row r="19" spans="1:29" ht="15">
      <c r="A19" s="367"/>
      <c r="B19" s="554" t="s">
        <v>1812</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9"/>
      <c r="M19" s="2484"/>
      <c r="N19" s="2484"/>
      <c r="O19" s="2484"/>
      <c r="P19" s="3452"/>
      <c r="Q19" s="1261" t="str">
        <f>B19</f>
        <v>公共配套设施</v>
      </c>
      <c r="R19" s="665" t="s">
        <v>14</v>
      </c>
      <c r="S19" s="666">
        <f>F19</f>
        <v>100</v>
      </c>
      <c r="T19" s="665" t="s">
        <v>14</v>
      </c>
      <c r="U19" s="666">
        <f>H19</f>
        <v>100</v>
      </c>
      <c r="V19" s="665" t="s">
        <v>14</v>
      </c>
      <c r="W19" s="666">
        <f>J19</f>
        <v>100</v>
      </c>
      <c r="X19" s="1263"/>
      <c r="Y19" s="3386"/>
      <c r="Z19" s="1262" t="str">
        <f>Q19</f>
        <v>公共配套设施</v>
      </c>
      <c r="AA19" s="1262">
        <f t="shared" si="3"/>
        <v>1</v>
      </c>
      <c r="AB19" s="1262">
        <f t="shared" si="4"/>
        <v>1</v>
      </c>
      <c r="AC19" s="1808">
        <f t="shared" si="5"/>
        <v>1</v>
      </c>
    </row>
    <row r="20" spans="1:29" ht="15">
      <c r="A20" s="367"/>
      <c r="B20" s="401"/>
      <c r="C20" s="1756"/>
      <c r="D20" s="387"/>
      <c r="E20" s="1749"/>
      <c r="F20" s="387"/>
      <c r="G20" s="1750"/>
      <c r="H20" s="387"/>
      <c r="I20" s="1750"/>
      <c r="J20" s="387"/>
      <c r="K20" s="539"/>
      <c r="L20" s="2489"/>
      <c r="M20" s="2484"/>
      <c r="N20" s="2484"/>
      <c r="O20" s="2484"/>
      <c r="P20" s="3452"/>
      <c r="Q20" s="1261"/>
      <c r="R20" s="665"/>
      <c r="S20" s="666"/>
      <c r="T20" s="665"/>
      <c r="U20" s="666"/>
      <c r="V20" s="665"/>
      <c r="W20" s="666"/>
      <c r="X20" s="1263"/>
      <c r="Y20" s="3386"/>
      <c r="Z20" s="1262"/>
      <c r="AA20" s="1262">
        <v>1</v>
      </c>
      <c r="AB20" s="1262">
        <v>1</v>
      </c>
      <c r="AC20" s="1808">
        <v>1</v>
      </c>
    </row>
    <row r="21" spans="1:29" ht="15">
      <c r="A21" s="367"/>
      <c r="B21" s="555" t="s">
        <v>1813</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9"/>
      <c r="M21" s="2484"/>
      <c r="N21" s="2484"/>
      <c r="O21" s="2484"/>
      <c r="P21" s="3452"/>
      <c r="Q21" s="1261" t="str">
        <f>B21</f>
        <v>基础设施水平</v>
      </c>
      <c r="R21" s="665" t="s">
        <v>14</v>
      </c>
      <c r="S21" s="666">
        <f>F21</f>
        <v>100</v>
      </c>
      <c r="T21" s="665" t="s">
        <v>14</v>
      </c>
      <c r="U21" s="666">
        <f>H21</f>
        <v>100</v>
      </c>
      <c r="V21" s="665" t="s">
        <v>14</v>
      </c>
      <c r="W21" s="666">
        <f>J21</f>
        <v>100</v>
      </c>
      <c r="X21" s="1263"/>
      <c r="Y21" s="3386"/>
      <c r="Z21" s="1262" t="str">
        <f>Q21</f>
        <v>基础设施水平</v>
      </c>
      <c r="AA21" s="1262">
        <f t="shared" ref="AA21" si="8">D21/F21</f>
        <v>1</v>
      </c>
      <c r="AB21" s="1262">
        <f t="shared" ref="AB21" si="9">D21/H21</f>
        <v>1</v>
      </c>
      <c r="AC21" s="1808">
        <f t="shared" ref="AC21" si="10">D21/J21</f>
        <v>1</v>
      </c>
    </row>
    <row r="22" spans="1:29" ht="15">
      <c r="A22" s="367"/>
      <c r="B22" s="555"/>
      <c r="C22" s="1810"/>
      <c r="D22" s="387"/>
      <c r="E22" s="386"/>
      <c r="F22" s="387"/>
      <c r="G22" s="1756"/>
      <c r="H22" s="387"/>
      <c r="I22" s="1756"/>
      <c r="J22" s="387"/>
      <c r="K22" s="1062"/>
      <c r="L22" s="2489"/>
      <c r="M22" s="2484"/>
      <c r="N22" s="2484"/>
      <c r="O22" s="2484"/>
      <c r="P22" s="3452"/>
      <c r="Q22" s="1261"/>
      <c r="R22" s="665"/>
      <c r="S22" s="666"/>
      <c r="T22" s="665"/>
      <c r="U22" s="666"/>
      <c r="V22" s="665"/>
      <c r="W22" s="666"/>
      <c r="X22" s="1263"/>
      <c r="Y22" s="3386"/>
      <c r="Z22" s="1262"/>
      <c r="AA22" s="1262">
        <v>1</v>
      </c>
      <c r="AB22" s="1262">
        <v>1</v>
      </c>
      <c r="AC22" s="1808">
        <v>1</v>
      </c>
    </row>
    <row r="23" spans="1:29" ht="15">
      <c r="A23" s="367"/>
      <c r="B23" s="554" t="s">
        <v>1814</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9"/>
      <c r="M23" s="2484"/>
      <c r="N23" s="2484"/>
      <c r="O23" s="2484"/>
      <c r="P23" s="3452"/>
      <c r="Q23" s="1261" t="str">
        <f>B23</f>
        <v>环境质量</v>
      </c>
      <c r="R23" s="665" t="s">
        <v>14</v>
      </c>
      <c r="S23" s="666">
        <f>F23</f>
        <v>100</v>
      </c>
      <c r="T23" s="665" t="s">
        <v>14</v>
      </c>
      <c r="U23" s="666">
        <f>H23</f>
        <v>100</v>
      </c>
      <c r="V23" s="665" t="s">
        <v>14</v>
      </c>
      <c r="W23" s="666">
        <f>J23</f>
        <v>100</v>
      </c>
      <c r="X23" s="1263"/>
      <c r="Y23" s="3386"/>
      <c r="Z23" s="1262" t="str">
        <f>Q23</f>
        <v>环境质量</v>
      </c>
      <c r="AA23" s="1262">
        <f t="shared" si="3"/>
        <v>1</v>
      </c>
      <c r="AB23" s="1262">
        <f t="shared" si="4"/>
        <v>1</v>
      </c>
      <c r="AC23" s="1808">
        <f t="shared" si="5"/>
        <v>1</v>
      </c>
    </row>
    <row r="24" spans="1:29" ht="15">
      <c r="A24" s="367"/>
      <c r="B24" s="555"/>
      <c r="C24" s="1756"/>
      <c r="D24" s="387"/>
      <c r="E24" s="1749"/>
      <c r="F24" s="387"/>
      <c r="G24" s="1750"/>
      <c r="H24" s="387"/>
      <c r="I24" s="1750"/>
      <c r="J24" s="387"/>
      <c r="K24" s="539"/>
      <c r="L24" s="2489"/>
      <c r="M24" s="2484"/>
      <c r="N24" s="2484"/>
      <c r="O24" s="2484"/>
      <c r="P24" s="3452"/>
      <c r="Q24" s="1261"/>
      <c r="R24" s="665"/>
      <c r="S24" s="666"/>
      <c r="T24" s="665"/>
      <c r="U24" s="666"/>
      <c r="V24" s="665"/>
      <c r="W24" s="666"/>
      <c r="X24" s="1263"/>
      <c r="Y24" s="3386"/>
      <c r="Z24" s="1262"/>
      <c r="AA24" s="1262">
        <v>1</v>
      </c>
      <c r="AB24" s="1262">
        <v>1</v>
      </c>
      <c r="AC24" s="1808">
        <v>1</v>
      </c>
    </row>
    <row r="25" spans="1:29" ht="27">
      <c r="A25" s="348"/>
      <c r="B25" s="554" t="s">
        <v>1815</v>
      </c>
      <c r="C25" s="1760"/>
      <c r="D25" s="374">
        <v>100</v>
      </c>
      <c r="E25" s="373"/>
      <c r="F25" s="374">
        <f>SUMIF(87:87,E26,88:88)-SUMIF(87:87,C26,88:88)+100</f>
        <v>100</v>
      </c>
      <c r="G25" s="1760"/>
      <c r="H25" s="374">
        <f>SUMIF(87:87,G26,88:88)-SUMIF(87:87,C26,88:88)+100</f>
        <v>100</v>
      </c>
      <c r="I25" s="373"/>
      <c r="J25" s="374">
        <f>SUMIF(87:87,I26,88:88)-SUMIF(87:87,C26,88:88)+100</f>
        <v>100</v>
      </c>
      <c r="K25" s="538"/>
      <c r="L25" s="2489"/>
      <c r="M25" s="2484"/>
      <c r="N25" s="2484"/>
      <c r="O25" s="2484"/>
      <c r="P25" s="3452"/>
      <c r="Q25" s="1261" t="str">
        <f>B25</f>
        <v>毗邻道路的类型与等级</v>
      </c>
      <c r="R25" s="665" t="s">
        <v>14</v>
      </c>
      <c r="S25" s="666">
        <f>F25</f>
        <v>100</v>
      </c>
      <c r="T25" s="665" t="s">
        <v>14</v>
      </c>
      <c r="U25" s="666">
        <f>H25</f>
        <v>100</v>
      </c>
      <c r="V25" s="665" t="s">
        <v>14</v>
      </c>
      <c r="W25" s="666">
        <f>J25</f>
        <v>100</v>
      </c>
      <c r="X25" s="1263"/>
      <c r="Y25" s="3386"/>
      <c r="Z25" s="1262" t="str">
        <f>Q25</f>
        <v>毗邻道路的类型与等级</v>
      </c>
      <c r="AA25" s="1262">
        <f t="shared" si="3"/>
        <v>1</v>
      </c>
      <c r="AB25" s="1262">
        <f t="shared" si="4"/>
        <v>1</v>
      </c>
      <c r="AC25" s="1808">
        <f t="shared" si="5"/>
        <v>1</v>
      </c>
    </row>
    <row r="26" spans="1:29" ht="15">
      <c r="A26" s="348"/>
      <c r="B26" s="401"/>
      <c r="C26" s="556"/>
      <c r="D26" s="374"/>
      <c r="E26" s="540"/>
      <c r="F26" s="374"/>
      <c r="G26" s="556"/>
      <c r="H26" s="374"/>
      <c r="I26" s="540"/>
      <c r="J26" s="374"/>
      <c r="K26" s="539"/>
      <c r="L26" s="2489"/>
      <c r="M26" s="2484"/>
      <c r="N26" s="2484"/>
      <c r="O26" s="2484"/>
      <c r="P26" s="3452"/>
      <c r="Q26" s="1261"/>
      <c r="R26" s="665"/>
      <c r="S26" s="666"/>
      <c r="T26" s="665"/>
      <c r="U26" s="666"/>
      <c r="V26" s="665"/>
      <c r="W26" s="666"/>
      <c r="X26" s="1263"/>
      <c r="Y26" s="3386"/>
      <c r="Z26" s="1262"/>
      <c r="AA26" s="1262">
        <v>1</v>
      </c>
      <c r="AB26" s="1262">
        <v>1</v>
      </c>
      <c r="AC26" s="1808">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9"/>
      <c r="M27" s="2484"/>
      <c r="N27" s="2484"/>
      <c r="O27" s="2484"/>
      <c r="P27" s="3452"/>
      <c r="Q27" s="1261" t="str">
        <f t="shared" ref="Q27:Q47" si="11">B27</f>
        <v>楼层</v>
      </c>
      <c r="R27" s="665" t="s">
        <v>14</v>
      </c>
      <c r="S27" s="666">
        <f>F27</f>
        <v>100</v>
      </c>
      <c r="T27" s="665" t="s">
        <v>14</v>
      </c>
      <c r="U27" s="666">
        <f>H27</f>
        <v>100</v>
      </c>
      <c r="V27" s="665" t="s">
        <v>14</v>
      </c>
      <c r="W27" s="666">
        <f>J27</f>
        <v>100</v>
      </c>
      <c r="X27" s="1263"/>
      <c r="Y27" s="3386"/>
      <c r="Z27" s="1262" t="str">
        <f>Q27</f>
        <v>楼层</v>
      </c>
      <c r="AA27" s="1262">
        <f t="shared" si="3"/>
        <v>1</v>
      </c>
      <c r="AB27" s="1262">
        <f t="shared" si="4"/>
        <v>1</v>
      </c>
      <c r="AC27" s="1808">
        <f t="shared" si="5"/>
        <v>1</v>
      </c>
    </row>
    <row r="28" spans="1:29" s="102" customFormat="1" ht="15">
      <c r="A28" s="370"/>
      <c r="B28" s="554" t="s">
        <v>1816</v>
      </c>
      <c r="C28" s="1811"/>
      <c r="D28" s="401">
        <v>100</v>
      </c>
      <c r="E28" s="1803"/>
      <c r="F28" s="401">
        <f>SUMIF(91:91,E28,92:92)-SUMIF(91:91,C28,92:92)+100</f>
        <v>100</v>
      </c>
      <c r="G28" s="1811"/>
      <c r="H28" s="401">
        <f>SUMIF(91:91,G28,92:92)-SUMIF(91:91,C28,92:92)+100</f>
        <v>100</v>
      </c>
      <c r="I28" s="1803"/>
      <c r="J28" s="401">
        <f>SUMIF(91:91,I28,92:92)-SUMIF(91:91,C28,92:92)+100</f>
        <v>100</v>
      </c>
      <c r="K28" s="536"/>
      <c r="L28" s="2485"/>
      <c r="M28" s="2436"/>
      <c r="N28" s="2436"/>
      <c r="O28" s="2436"/>
      <c r="P28" s="3452"/>
      <c r="Q28" s="528" t="str">
        <f t="shared" si="11"/>
        <v>朝向</v>
      </c>
      <c r="R28" s="662" t="s">
        <v>14</v>
      </c>
      <c r="S28" s="663">
        <f>F28</f>
        <v>100</v>
      </c>
      <c r="T28" s="662" t="s">
        <v>14</v>
      </c>
      <c r="U28" s="663">
        <f>H28</f>
        <v>100</v>
      </c>
      <c r="V28" s="662" t="s">
        <v>14</v>
      </c>
      <c r="W28" s="663">
        <f>J28</f>
        <v>100</v>
      </c>
      <c r="X28" s="664"/>
      <c r="Y28" s="3386"/>
      <c r="Z28" s="50" t="str">
        <f>Q28</f>
        <v>朝向</v>
      </c>
      <c r="AA28" s="1262">
        <f>D28/F28</f>
        <v>1</v>
      </c>
      <c r="AB28" s="1262">
        <f>D28/H28</f>
        <v>1</v>
      </c>
      <c r="AC28" s="1808">
        <f>D28/J28</f>
        <v>1</v>
      </c>
    </row>
    <row r="29" spans="1:29" ht="15">
      <c r="A29" s="367"/>
      <c r="B29" s="1097">
        <v>111</v>
      </c>
      <c r="C29" s="1760"/>
      <c r="D29" s="374">
        <v>100</v>
      </c>
      <c r="E29" s="371"/>
      <c r="F29" s="374">
        <f>SUMIF(93:93,E29,94:94)-SUMIF(93:93,C29,94:94)+100</f>
        <v>100</v>
      </c>
      <c r="G29" s="1806"/>
      <c r="H29" s="374">
        <f>SUMIF(93:93,G29,94:94)-SUMIF(93:93,C29,94:94)+100</f>
        <v>100</v>
      </c>
      <c r="I29" s="371"/>
      <c r="J29" s="374">
        <f>SUMIF(93:93,I29,94:94)-SUMIF(93:93,C29,94:94)+100</f>
        <v>100</v>
      </c>
      <c r="K29" s="537"/>
      <c r="L29" s="2489"/>
      <c r="M29" s="2484"/>
      <c r="N29" s="2484"/>
      <c r="O29" s="2484"/>
      <c r="P29" s="3452"/>
      <c r="Q29" s="1261">
        <f t="shared" si="11"/>
        <v>111</v>
      </c>
      <c r="R29" s="665" t="s">
        <v>14</v>
      </c>
      <c r="S29" s="666">
        <f t="shared" ref="S29:S47" si="12">F29</f>
        <v>100</v>
      </c>
      <c r="T29" s="665" t="s">
        <v>14</v>
      </c>
      <c r="U29" s="666">
        <f t="shared" ref="U29:U47" si="13">H29</f>
        <v>100</v>
      </c>
      <c r="V29" s="665" t="s">
        <v>14</v>
      </c>
      <c r="W29" s="666">
        <f t="shared" ref="W29:W47" si="14">J29</f>
        <v>100</v>
      </c>
      <c r="X29" s="1263"/>
      <c r="Y29" s="3386"/>
      <c r="Z29" s="1262">
        <f t="shared" ref="Z29:Z47" si="15">Q29</f>
        <v>111</v>
      </c>
      <c r="AA29" s="1262">
        <f t="shared" si="3"/>
        <v>1</v>
      </c>
      <c r="AB29" s="1262">
        <f t="shared" si="4"/>
        <v>1</v>
      </c>
      <c r="AC29" s="1808">
        <f t="shared" si="5"/>
        <v>1</v>
      </c>
    </row>
    <row r="30" spans="1:29" ht="15">
      <c r="A30" s="367"/>
      <c r="B30" s="1097">
        <v>111</v>
      </c>
      <c r="C30" s="1760"/>
      <c r="D30" s="374">
        <v>100</v>
      </c>
      <c r="E30" s="371"/>
      <c r="F30" s="374">
        <f>SUMIF(95:95,E30,96:96)-SUMIF(95:95,C30,96:96)+100</f>
        <v>100</v>
      </c>
      <c r="G30" s="1806"/>
      <c r="H30" s="374">
        <f>SUMIF(95:95,G30,96:96)-SUMIF(95:95,C30,96:96)+100</f>
        <v>100</v>
      </c>
      <c r="I30" s="371"/>
      <c r="J30" s="374">
        <f>SUMIF(95:95,I30,96:96)-SUMIF(95:95,C30,96:96)+100</f>
        <v>100</v>
      </c>
      <c r="K30" s="537"/>
      <c r="L30" s="2489"/>
      <c r="M30" s="2484"/>
      <c r="N30" s="2484"/>
      <c r="O30" s="2484"/>
      <c r="P30" s="3452"/>
      <c r="Q30" s="1261">
        <f t="shared" si="11"/>
        <v>111</v>
      </c>
      <c r="R30" s="665" t="s">
        <v>14</v>
      </c>
      <c r="S30" s="666">
        <f t="shared" si="12"/>
        <v>100</v>
      </c>
      <c r="T30" s="665" t="s">
        <v>14</v>
      </c>
      <c r="U30" s="666">
        <f t="shared" si="13"/>
        <v>100</v>
      </c>
      <c r="V30" s="665" t="s">
        <v>14</v>
      </c>
      <c r="W30" s="666">
        <f t="shared" si="14"/>
        <v>100</v>
      </c>
      <c r="X30" s="1263"/>
      <c r="Y30" s="3386"/>
      <c r="Z30" s="1262">
        <f t="shared" si="15"/>
        <v>111</v>
      </c>
      <c r="AA30" s="1262">
        <f t="shared" si="3"/>
        <v>1</v>
      </c>
      <c r="AB30" s="1262">
        <f t="shared" si="4"/>
        <v>1</v>
      </c>
      <c r="AC30" s="1808">
        <f t="shared" si="5"/>
        <v>1</v>
      </c>
    </row>
    <row r="31" spans="1:29" ht="15">
      <c r="A31" s="367"/>
      <c r="B31" s="1097">
        <v>111</v>
      </c>
      <c r="C31" s="1760"/>
      <c r="D31" s="374">
        <v>100</v>
      </c>
      <c r="E31" s="371"/>
      <c r="F31" s="374">
        <f>SUMIF(97:97,E31,98:98)-SUMIF(97:97,C31,98:98)+100</f>
        <v>100</v>
      </c>
      <c r="G31" s="1806"/>
      <c r="H31" s="374">
        <f>SUMIF(97:97,G31,98:98)-SUMIF(97:97,C31,98:98)+100</f>
        <v>100</v>
      </c>
      <c r="I31" s="371"/>
      <c r="J31" s="374">
        <f>SUMIF(97:97,I31,98:98)-SUMIF(97:97,C31,98:98)+100</f>
        <v>100</v>
      </c>
      <c r="K31" s="537"/>
      <c r="L31" s="2489"/>
      <c r="M31" s="2484"/>
      <c r="N31" s="2484"/>
      <c r="O31" s="2484"/>
      <c r="P31" s="3452"/>
      <c r="Q31" s="1261">
        <f t="shared" si="11"/>
        <v>111</v>
      </c>
      <c r="R31" s="665" t="s">
        <v>14</v>
      </c>
      <c r="S31" s="666">
        <f t="shared" si="12"/>
        <v>100</v>
      </c>
      <c r="T31" s="665" t="s">
        <v>14</v>
      </c>
      <c r="U31" s="666">
        <f t="shared" si="13"/>
        <v>100</v>
      </c>
      <c r="V31" s="665" t="s">
        <v>14</v>
      </c>
      <c r="W31" s="666">
        <f t="shared" si="14"/>
        <v>100</v>
      </c>
      <c r="X31" s="1263"/>
      <c r="Y31" s="3386"/>
      <c r="Z31" s="1262">
        <f t="shared" si="15"/>
        <v>111</v>
      </c>
      <c r="AA31" s="1262">
        <f t="shared" si="3"/>
        <v>1</v>
      </c>
      <c r="AB31" s="1262">
        <f t="shared" si="4"/>
        <v>1</v>
      </c>
      <c r="AC31" s="1808">
        <f t="shared" si="5"/>
        <v>1</v>
      </c>
    </row>
    <row r="32" spans="1:29" ht="15.75" thickBot="1">
      <c r="A32" s="375"/>
      <c r="B32" s="557">
        <v>111</v>
      </c>
      <c r="C32" s="1761"/>
      <c r="D32" s="377">
        <v>100</v>
      </c>
      <c r="E32" s="551"/>
      <c r="F32" s="377">
        <f>SUMIF(99:99,E32,100:100)-SUMIF(99:99,C32,100:100)+100</f>
        <v>100</v>
      </c>
      <c r="G32" s="1806"/>
      <c r="H32" s="377">
        <f>SUMIF(99:99,G32,100:100)-SUMIF(99:99,C32,100:100)+100</f>
        <v>100</v>
      </c>
      <c r="I32" s="371"/>
      <c r="J32" s="377">
        <f>SUMIF(99:99,I32,100:100)-SUMIF(99:99,C32,100:100)+100</f>
        <v>100</v>
      </c>
      <c r="K32" s="537"/>
      <c r="L32" s="2489"/>
      <c r="M32" s="2484"/>
      <c r="N32" s="2484"/>
      <c r="O32" s="2484"/>
      <c r="P32" s="3452"/>
      <c r="Q32" s="1261">
        <f t="shared" si="11"/>
        <v>111</v>
      </c>
      <c r="R32" s="665" t="s">
        <v>14</v>
      </c>
      <c r="S32" s="666">
        <f t="shared" si="12"/>
        <v>100</v>
      </c>
      <c r="T32" s="665" t="s">
        <v>14</v>
      </c>
      <c r="U32" s="666">
        <f t="shared" si="13"/>
        <v>100</v>
      </c>
      <c r="V32" s="665" t="s">
        <v>14</v>
      </c>
      <c r="W32" s="666">
        <f t="shared" si="14"/>
        <v>100</v>
      </c>
      <c r="X32" s="1263"/>
      <c r="Y32" s="3386"/>
      <c r="Z32" s="1262">
        <f t="shared" si="15"/>
        <v>111</v>
      </c>
      <c r="AA32" s="1262">
        <f t="shared" si="3"/>
        <v>1</v>
      </c>
      <c r="AB32" s="1262">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6"/>
      <c r="L33" s="2489"/>
      <c r="M33" s="2484"/>
      <c r="N33" s="2484"/>
      <c r="O33" s="2484"/>
      <c r="P33" s="3447" t="s">
        <v>1696</v>
      </c>
      <c r="Q33" s="1261" t="str">
        <f t="shared" si="11"/>
        <v>建筑类型</v>
      </c>
      <c r="R33" s="665" t="s">
        <v>14</v>
      </c>
      <c r="S33" s="666">
        <f t="shared" si="12"/>
        <v>100</v>
      </c>
      <c r="T33" s="665" t="s">
        <v>14</v>
      </c>
      <c r="U33" s="666">
        <f t="shared" si="13"/>
        <v>100</v>
      </c>
      <c r="V33" s="665" t="s">
        <v>14</v>
      </c>
      <c r="W33" s="666">
        <f t="shared" si="14"/>
        <v>100</v>
      </c>
      <c r="X33" s="1263"/>
      <c r="Y33" s="3388" t="s">
        <v>1696</v>
      </c>
      <c r="Z33" s="1262" t="str">
        <f t="shared" si="15"/>
        <v>建筑类型</v>
      </c>
      <c r="AA33" s="1262">
        <f t="shared" si="3"/>
        <v>1</v>
      </c>
      <c r="AB33" s="1262">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8"/>
      <c r="M34" s="2490"/>
      <c r="N34" s="2490"/>
      <c r="O34" s="2490"/>
      <c r="P34" s="3448"/>
      <c r="Q34" s="529" t="str">
        <f t="shared" si="11"/>
        <v>项目建筑规模</v>
      </c>
      <c r="R34" s="667" t="s">
        <v>14</v>
      </c>
      <c r="S34" s="668" t="e">
        <f t="shared" si="12"/>
        <v>#N/A</v>
      </c>
      <c r="T34" s="667" t="s">
        <v>14</v>
      </c>
      <c r="U34" s="668" t="e">
        <f t="shared" si="13"/>
        <v>#N/A</v>
      </c>
      <c r="V34" s="667" t="s">
        <v>14</v>
      </c>
      <c r="W34" s="668" t="e">
        <f t="shared" si="14"/>
        <v>#N/A</v>
      </c>
      <c r="X34" s="669"/>
      <c r="Y34" s="3388"/>
      <c r="Z34" s="670" t="str">
        <f t="shared" si="15"/>
        <v>项目建筑规模</v>
      </c>
      <c r="AA34" s="1262" t="e">
        <f t="shared" si="3"/>
        <v>#N/A</v>
      </c>
      <c r="AB34" s="1262"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9"/>
      <c r="M35" s="2484"/>
      <c r="N35" s="2484"/>
      <c r="O35" s="2484"/>
      <c r="P35" s="3448"/>
      <c r="Q35" s="1261" t="str">
        <f t="shared" si="11"/>
        <v>建筑结构</v>
      </c>
      <c r="R35" s="665" t="s">
        <v>14</v>
      </c>
      <c r="S35" s="666">
        <f t="shared" si="12"/>
        <v>100</v>
      </c>
      <c r="T35" s="665" t="s">
        <v>14</v>
      </c>
      <c r="U35" s="666">
        <f t="shared" si="13"/>
        <v>100</v>
      </c>
      <c r="V35" s="665" t="s">
        <v>14</v>
      </c>
      <c r="W35" s="666">
        <f t="shared" si="14"/>
        <v>100</v>
      </c>
      <c r="X35" s="1263"/>
      <c r="Y35" s="3388"/>
      <c r="Z35" s="1262" t="str">
        <f t="shared" si="15"/>
        <v>建筑结构</v>
      </c>
      <c r="AA35" s="1262">
        <f t="shared" si="3"/>
        <v>1</v>
      </c>
      <c r="AB35" s="1262">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9"/>
      <c r="M36" s="2484"/>
      <c r="N36" s="2484"/>
      <c r="O36" s="2484"/>
      <c r="P36" s="3448"/>
      <c r="Q36" s="1261" t="str">
        <f t="shared" si="11"/>
        <v>公共部分装修</v>
      </c>
      <c r="R36" s="665" t="s">
        <v>14</v>
      </c>
      <c r="S36" s="666">
        <f t="shared" si="12"/>
        <v>100</v>
      </c>
      <c r="T36" s="665" t="s">
        <v>14</v>
      </c>
      <c r="U36" s="666">
        <f t="shared" si="13"/>
        <v>100</v>
      </c>
      <c r="V36" s="665" t="s">
        <v>14</v>
      </c>
      <c r="W36" s="666">
        <f t="shared" si="14"/>
        <v>100</v>
      </c>
      <c r="X36" s="1263"/>
      <c r="Y36" s="3388"/>
      <c r="Z36" s="1262" t="str">
        <f t="shared" si="15"/>
        <v>公共部分装修</v>
      </c>
      <c r="AA36" s="1262">
        <f t="shared" si="3"/>
        <v>1</v>
      </c>
      <c r="AB36" s="1262">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9"/>
      <c r="M37" s="2484"/>
      <c r="N37" s="2484"/>
      <c r="O37" s="2484"/>
      <c r="P37" s="3448"/>
      <c r="Q37" s="1261" t="str">
        <f t="shared" si="11"/>
        <v>成新度</v>
      </c>
      <c r="R37" s="665" t="s">
        <v>14</v>
      </c>
      <c r="S37" s="666" t="e">
        <f t="shared" si="12"/>
        <v>#N/A</v>
      </c>
      <c r="T37" s="665" t="s">
        <v>14</v>
      </c>
      <c r="U37" s="666" t="e">
        <f t="shared" si="13"/>
        <v>#N/A</v>
      </c>
      <c r="V37" s="665" t="s">
        <v>14</v>
      </c>
      <c r="W37" s="666" t="e">
        <f t="shared" si="14"/>
        <v>#N/A</v>
      </c>
      <c r="X37" s="1263"/>
      <c r="Y37" s="3388"/>
      <c r="Z37" s="1262" t="str">
        <f t="shared" si="15"/>
        <v>成新度</v>
      </c>
      <c r="AA37" s="1262" t="e">
        <f t="shared" si="3"/>
        <v>#N/A</v>
      </c>
      <c r="AB37" s="1262"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5"/>
      <c r="M38" s="2436"/>
      <c r="N38" s="2436"/>
      <c r="O38" s="2436"/>
      <c r="P38" s="3448"/>
      <c r="Q38" s="528" t="str">
        <f t="shared" si="11"/>
        <v>写字楼等级</v>
      </c>
      <c r="R38" s="662" t="s">
        <v>14</v>
      </c>
      <c r="S38" s="663">
        <f t="shared" si="12"/>
        <v>100</v>
      </c>
      <c r="T38" s="662" t="s">
        <v>14</v>
      </c>
      <c r="U38" s="663">
        <f t="shared" si="13"/>
        <v>100</v>
      </c>
      <c r="V38" s="662" t="s">
        <v>14</v>
      </c>
      <c r="W38" s="663">
        <f t="shared" si="14"/>
        <v>100</v>
      </c>
      <c r="X38" s="664"/>
      <c r="Y38" s="3388"/>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9"/>
      <c r="M39" s="2484"/>
      <c r="N39" s="2484"/>
      <c r="O39" s="2484"/>
      <c r="P39" s="3448" t="s">
        <v>1696</v>
      </c>
      <c r="Q39" s="1261" t="str">
        <f t="shared" si="11"/>
        <v>物业管理</v>
      </c>
      <c r="R39" s="665" t="s">
        <v>14</v>
      </c>
      <c r="S39" s="666">
        <f t="shared" si="12"/>
        <v>100</v>
      </c>
      <c r="T39" s="665" t="s">
        <v>14</v>
      </c>
      <c r="U39" s="666">
        <f t="shared" si="13"/>
        <v>100</v>
      </c>
      <c r="V39" s="665" t="s">
        <v>14</v>
      </c>
      <c r="W39" s="666">
        <f t="shared" si="14"/>
        <v>100</v>
      </c>
      <c r="X39" s="1263"/>
      <c r="Y39" s="3388" t="s">
        <v>1696</v>
      </c>
      <c r="Z39" s="1262" t="str">
        <f t="shared" si="15"/>
        <v>物业管理</v>
      </c>
      <c r="AA39" s="1262">
        <f t="shared" si="3"/>
        <v>1</v>
      </c>
      <c r="AB39" s="1262">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9"/>
      <c r="M40" s="2484"/>
      <c r="N40" s="2484"/>
      <c r="O40" s="2484"/>
      <c r="P40" s="3448"/>
      <c r="Q40" s="1261" t="str">
        <f t="shared" si="11"/>
        <v>市政基础设施</v>
      </c>
      <c r="R40" s="665" t="s">
        <v>14</v>
      </c>
      <c r="S40" s="666">
        <f t="shared" si="12"/>
        <v>100</v>
      </c>
      <c r="T40" s="665" t="s">
        <v>14</v>
      </c>
      <c r="U40" s="666">
        <f t="shared" si="13"/>
        <v>100</v>
      </c>
      <c r="V40" s="665" t="s">
        <v>14</v>
      </c>
      <c r="W40" s="666">
        <f t="shared" si="14"/>
        <v>100</v>
      </c>
      <c r="X40" s="1263"/>
      <c r="Y40" s="3388"/>
      <c r="Z40" s="1262" t="str">
        <f t="shared" si="15"/>
        <v>市政基础设施</v>
      </c>
      <c r="AA40" s="1262">
        <f t="shared" si="3"/>
        <v>1</v>
      </c>
      <c r="AB40" s="1262">
        <f t="shared" si="4"/>
        <v>1</v>
      </c>
      <c r="AC40" s="1808">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9"/>
      <c r="M41" s="2484"/>
      <c r="N41" s="2484"/>
      <c r="O41" s="2484"/>
      <c r="P41" s="3448"/>
      <c r="Q41" s="1261" t="str">
        <f t="shared" si="11"/>
        <v>层高</v>
      </c>
      <c r="R41" s="665" t="s">
        <v>14</v>
      </c>
      <c r="S41" s="666">
        <f t="shared" si="12"/>
        <v>100</v>
      </c>
      <c r="T41" s="665" t="s">
        <v>14</v>
      </c>
      <c r="U41" s="666">
        <f t="shared" si="13"/>
        <v>100</v>
      </c>
      <c r="V41" s="665" t="s">
        <v>14</v>
      </c>
      <c r="W41" s="666">
        <f t="shared" si="14"/>
        <v>100</v>
      </c>
      <c r="X41" s="1263"/>
      <c r="Y41" s="3388"/>
      <c r="Z41" s="1262" t="str">
        <f t="shared" si="15"/>
        <v>层高</v>
      </c>
      <c r="AA41" s="1262">
        <f t="shared" si="3"/>
        <v>1</v>
      </c>
      <c r="AB41" s="1262">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8"/>
      <c r="M42" s="2490"/>
      <c r="N42" s="2490"/>
      <c r="O42" s="2490"/>
      <c r="P42" s="3448"/>
      <c r="Q42" s="529" t="str">
        <f t="shared" si="11"/>
        <v>单套建筑面积</v>
      </c>
      <c r="R42" s="667" t="s">
        <v>14</v>
      </c>
      <c r="S42" s="668">
        <f t="shared" si="12"/>
        <v>100</v>
      </c>
      <c r="T42" s="667" t="s">
        <v>14</v>
      </c>
      <c r="U42" s="668">
        <f t="shared" si="13"/>
        <v>100</v>
      </c>
      <c r="V42" s="667" t="s">
        <v>14</v>
      </c>
      <c r="W42" s="668">
        <f t="shared" si="14"/>
        <v>100</v>
      </c>
      <c r="X42" s="669"/>
      <c r="Y42" s="3388"/>
      <c r="Z42" s="670" t="str">
        <f t="shared" si="15"/>
        <v>单套建筑面积</v>
      </c>
      <c r="AA42" s="1262">
        <f t="shared" si="3"/>
        <v>1</v>
      </c>
      <c r="AB42" s="1262">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9"/>
      <c r="M43" s="2484"/>
      <c r="N43" s="2484"/>
      <c r="O43" s="2484"/>
      <c r="P43" s="3448"/>
      <c r="Q43" s="1261" t="str">
        <f t="shared" si="11"/>
        <v>内部装修</v>
      </c>
      <c r="R43" s="665" t="s">
        <v>14</v>
      </c>
      <c r="S43" s="666">
        <f t="shared" si="12"/>
        <v>100</v>
      </c>
      <c r="T43" s="665" t="s">
        <v>14</v>
      </c>
      <c r="U43" s="666">
        <f t="shared" si="13"/>
        <v>100</v>
      </c>
      <c r="V43" s="665" t="s">
        <v>14</v>
      </c>
      <c r="W43" s="666">
        <f t="shared" si="14"/>
        <v>100</v>
      </c>
      <c r="X43" s="1263"/>
      <c r="Y43" s="3388"/>
      <c r="Z43" s="1262" t="str">
        <f t="shared" si="15"/>
        <v>内部装修</v>
      </c>
      <c r="AA43" s="1262">
        <f t="shared" si="3"/>
        <v>1</v>
      </c>
      <c r="AB43" s="1262">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6"/>
      <c r="L44" s="2489"/>
      <c r="M44" s="2484"/>
      <c r="N44" s="2484"/>
      <c r="O44" s="2484"/>
      <c r="P44" s="3448"/>
      <c r="Q44" s="1261" t="str">
        <f t="shared" si="11"/>
        <v>内部装修维护情况</v>
      </c>
      <c r="R44" s="665" t="s">
        <v>14</v>
      </c>
      <c r="S44" s="666">
        <f t="shared" si="12"/>
        <v>100</v>
      </c>
      <c r="T44" s="665" t="s">
        <v>14</v>
      </c>
      <c r="U44" s="666">
        <f t="shared" si="13"/>
        <v>100</v>
      </c>
      <c r="V44" s="665" t="s">
        <v>14</v>
      </c>
      <c r="W44" s="666">
        <f t="shared" si="14"/>
        <v>100</v>
      </c>
      <c r="X44" s="1263"/>
      <c r="Y44" s="3388"/>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5"/>
      <c r="M45" s="2436"/>
      <c r="N45" s="2436"/>
      <c r="O45" s="2436"/>
      <c r="P45" s="3448"/>
      <c r="Q45" s="528">
        <f t="shared" si="11"/>
        <v>111</v>
      </c>
      <c r="R45" s="662" t="s">
        <v>14</v>
      </c>
      <c r="S45" s="663">
        <f t="shared" si="12"/>
        <v>100</v>
      </c>
      <c r="T45" s="662" t="s">
        <v>14</v>
      </c>
      <c r="U45" s="663">
        <f t="shared" si="13"/>
        <v>100</v>
      </c>
      <c r="V45" s="662" t="s">
        <v>14</v>
      </c>
      <c r="W45" s="663">
        <f t="shared" si="14"/>
        <v>100</v>
      </c>
      <c r="X45" s="664"/>
      <c r="Y45" s="3388"/>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9"/>
      <c r="M46" s="2484"/>
      <c r="N46" s="2484"/>
      <c r="O46" s="2484"/>
      <c r="P46" s="3448"/>
      <c r="Q46" s="1261">
        <f t="shared" si="11"/>
        <v>111</v>
      </c>
      <c r="R46" s="665" t="s">
        <v>14</v>
      </c>
      <c r="S46" s="666">
        <f t="shared" si="12"/>
        <v>100</v>
      </c>
      <c r="T46" s="665" t="s">
        <v>14</v>
      </c>
      <c r="U46" s="666">
        <f t="shared" si="13"/>
        <v>100</v>
      </c>
      <c r="V46" s="665" t="s">
        <v>14</v>
      </c>
      <c r="W46" s="666">
        <f t="shared" si="14"/>
        <v>100</v>
      </c>
      <c r="X46" s="1263"/>
      <c r="Y46" s="3388"/>
      <c r="Z46" s="1262">
        <f t="shared" si="15"/>
        <v>111</v>
      </c>
      <c r="AA46" s="1262">
        <f t="shared" si="3"/>
        <v>1</v>
      </c>
      <c r="AB46" s="1262">
        <f t="shared" si="4"/>
        <v>1</v>
      </c>
      <c r="AC46" s="1808">
        <f t="shared" si="5"/>
        <v>1</v>
      </c>
    </row>
    <row r="47" spans="1:29" ht="15.75" thickBot="1">
      <c r="A47" s="413"/>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9"/>
      <c r="M47" s="2484"/>
      <c r="N47" s="2484"/>
      <c r="O47" s="2484"/>
      <c r="P47" s="3449"/>
      <c r="Q47" s="1261">
        <f t="shared" si="11"/>
        <v>111</v>
      </c>
      <c r="R47" s="665" t="s">
        <v>14</v>
      </c>
      <c r="S47" s="666">
        <f t="shared" si="12"/>
        <v>100</v>
      </c>
      <c r="T47" s="665" t="s">
        <v>14</v>
      </c>
      <c r="U47" s="666">
        <f t="shared" si="13"/>
        <v>100</v>
      </c>
      <c r="V47" s="665" t="s">
        <v>14</v>
      </c>
      <c r="W47" s="666">
        <f t="shared" si="14"/>
        <v>100</v>
      </c>
      <c r="X47" s="1263"/>
      <c r="Y47" s="3450"/>
      <c r="Z47" s="1262">
        <f t="shared" si="15"/>
        <v>111</v>
      </c>
      <c r="AA47" s="1262">
        <f t="shared" si="3"/>
        <v>1</v>
      </c>
      <c r="AB47" s="1262">
        <f t="shared" si="4"/>
        <v>1</v>
      </c>
      <c r="AC47" s="1808">
        <f t="shared" si="5"/>
        <v>1</v>
      </c>
    </row>
    <row r="48" spans="1:29" ht="15">
      <c r="A48" s="414" t="s">
        <v>1708</v>
      </c>
      <c r="B48" s="415"/>
      <c r="C48" s="1079" t="s">
        <v>0</v>
      </c>
      <c r="D48" s="416"/>
      <c r="E48" s="417"/>
      <c r="F48" s="418"/>
      <c r="G48" s="419"/>
      <c r="H48" s="420"/>
      <c r="I48" s="417"/>
      <c r="J48" s="420"/>
      <c r="K48" s="672"/>
      <c r="L48" s="2491"/>
      <c r="M48" s="2484"/>
      <c r="N48" s="2484"/>
      <c r="O48" s="2484"/>
      <c r="P48" s="3383" t="str">
        <f>A48</f>
        <v>成交单价（元/平方米）</v>
      </c>
      <c r="Q48" s="3384"/>
      <c r="R48" s="3389">
        <f>E48</f>
        <v>0</v>
      </c>
      <c r="S48" s="3389"/>
      <c r="T48" s="3389">
        <f>G48</f>
        <v>0</v>
      </c>
      <c r="U48" s="3389"/>
      <c r="V48" s="3389">
        <f>I48</f>
        <v>0</v>
      </c>
      <c r="W48" s="3389"/>
      <c r="X48" s="385"/>
      <c r="Y48" s="671"/>
      <c r="Z48" s="385"/>
      <c r="AA48" s="385"/>
      <c r="AB48" s="385"/>
      <c r="AC48" s="553"/>
    </row>
    <row r="49" spans="1:29" ht="15.75" thickBot="1">
      <c r="A49" s="421" t="s">
        <v>1793</v>
      </c>
      <c r="B49" s="422"/>
      <c r="C49" s="1080" t="e">
        <f>R50</f>
        <v>#DIV/0!</v>
      </c>
      <c r="D49" s="2137" t="s">
        <v>2137</v>
      </c>
      <c r="E49" s="1081" t="e">
        <f>R49</f>
        <v>#DIV/0!</v>
      </c>
      <c r="F49" s="2138"/>
      <c r="G49" s="1080" t="e">
        <f>T49</f>
        <v>#DIV/0!</v>
      </c>
      <c r="H49" s="2138"/>
      <c r="I49" s="1081" t="e">
        <f>V49</f>
        <v>#DIV/0!</v>
      </c>
      <c r="J49" s="2138"/>
      <c r="K49" s="2140">
        <f>F49+H49+J49</f>
        <v>0</v>
      </c>
      <c r="L49" s="2491"/>
      <c r="M49" s="2484"/>
      <c r="N49" s="2484"/>
      <c r="O49" s="2484"/>
      <c r="P49" s="3383" t="str">
        <f>A49</f>
        <v>比较价值（元/平方米）</v>
      </c>
      <c r="Q49" s="3384"/>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1"/>
      <c r="M50" s="2484"/>
      <c r="N50" s="2484"/>
      <c r="O50" s="2484"/>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5" customFormat="1" ht="13.5" customHeight="1">
      <c r="A55" s="2494"/>
      <c r="B55" s="2494"/>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5"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5"/>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0" customFormat="1" ht="15">
      <c r="A59" s="438" t="s">
        <v>1679</v>
      </c>
      <c r="B59" s="439"/>
      <c r="C59" s="1101" t="str">
        <f>YEAR(C7)&amp;"-"&amp;MONTH(C7)</f>
        <v>2025-5</v>
      </c>
      <c r="D59" s="1102">
        <f>EDATE(C59,-1)</f>
        <v>45748</v>
      </c>
      <c r="E59" s="1102">
        <f>EDATE(D59,-1)</f>
        <v>45717</v>
      </c>
      <c r="F59" s="1102">
        <f t="shared" ref="F59:O59" si="16">EDATE(E59,-1)</f>
        <v>45689</v>
      </c>
      <c r="G59" s="1102">
        <f t="shared" si="16"/>
        <v>45658</v>
      </c>
      <c r="H59" s="1102">
        <f t="shared" si="16"/>
        <v>45627</v>
      </c>
      <c r="I59" s="1102">
        <f t="shared" si="16"/>
        <v>45597</v>
      </c>
      <c r="J59" s="1102">
        <f t="shared" si="16"/>
        <v>45566</v>
      </c>
      <c r="K59" s="1102">
        <f t="shared" si="16"/>
        <v>45536</v>
      </c>
      <c r="L59" s="1102">
        <f t="shared" si="16"/>
        <v>45505</v>
      </c>
      <c r="M59" s="1102">
        <f t="shared" si="16"/>
        <v>45474</v>
      </c>
      <c r="N59" s="1102">
        <f t="shared" si="16"/>
        <v>45444</v>
      </c>
      <c r="O59" s="1102">
        <f t="shared" si="16"/>
        <v>45413</v>
      </c>
      <c r="P59" s="2524"/>
      <c r="Q59" s="2507"/>
      <c r="R59" s="2507"/>
      <c r="S59" s="2507"/>
      <c r="T59" s="2507"/>
      <c r="U59" s="2507"/>
      <c r="V59" s="2507"/>
      <c r="W59" s="2507"/>
      <c r="X59" s="2507"/>
      <c r="Y59" s="2507"/>
      <c r="Z59" s="2507"/>
      <c r="AA59" s="2507"/>
      <c r="AB59" s="2507"/>
      <c r="AC59" s="2507"/>
    </row>
    <row r="60" spans="1:29" s="102" customFormat="1" ht="15">
      <c r="A60" s="441"/>
      <c r="B60" s="442"/>
      <c r="C60" s="1100">
        <v>100</v>
      </c>
      <c r="D60" s="444"/>
      <c r="E60" s="444"/>
      <c r="F60" s="444"/>
      <c r="G60" s="444"/>
      <c r="H60" s="444"/>
      <c r="I60" s="444"/>
      <c r="J60" s="444"/>
      <c r="K60" s="444"/>
      <c r="L60" s="444"/>
      <c r="M60" s="445"/>
      <c r="N60" s="444"/>
      <c r="O60" s="445"/>
      <c r="P60" s="2525"/>
      <c r="Q60" s="2436"/>
      <c r="R60" s="2436"/>
      <c r="S60" s="2436"/>
      <c r="T60" s="2436"/>
      <c r="U60" s="2436"/>
      <c r="V60" s="2436"/>
      <c r="W60" s="2436"/>
      <c r="X60" s="2436"/>
      <c r="Y60" s="2436"/>
      <c r="Z60" s="2436"/>
      <c r="AA60" s="2436"/>
      <c r="AB60" s="2436"/>
      <c r="AC60" s="2436"/>
    </row>
    <row r="61" spans="1:29" s="102" customFormat="1" ht="15.75" thickBot="1">
      <c r="A61" s="447" t="s">
        <v>1716</v>
      </c>
      <c r="B61" s="448"/>
      <c r="C61" s="449"/>
      <c r="D61" s="450"/>
      <c r="E61" s="450"/>
      <c r="F61" s="450"/>
      <c r="G61" s="450"/>
      <c r="H61" s="450"/>
      <c r="I61" s="450"/>
      <c r="J61" s="450"/>
      <c r="K61" s="450"/>
      <c r="L61" s="450"/>
      <c r="M61" s="451"/>
      <c r="N61" s="450"/>
      <c r="O61" s="451"/>
      <c r="P61" s="2525"/>
      <c r="Q61" s="2505"/>
      <c r="R61" s="2436"/>
      <c r="S61" s="2436"/>
      <c r="T61" s="2436"/>
      <c r="U61" s="2436"/>
      <c r="V61" s="2436"/>
      <c r="W61" s="2436"/>
      <c r="X61" s="2436"/>
      <c r="Y61" s="2436"/>
      <c r="Z61" s="2436"/>
      <c r="AA61" s="2436"/>
      <c r="AB61" s="2436"/>
      <c r="AC61" s="2436"/>
    </row>
    <row r="62" spans="1:29" s="102" customFormat="1" ht="15">
      <c r="A62" s="453" t="s">
        <v>1681</v>
      </c>
      <c r="B62" s="442"/>
      <c r="C62" s="454" t="s">
        <v>1776</v>
      </c>
      <c r="D62" s="31"/>
      <c r="E62" s="31"/>
      <c r="F62" s="31"/>
      <c r="G62" s="31"/>
      <c r="H62" s="31"/>
      <c r="I62" s="31"/>
      <c r="J62" s="31"/>
      <c r="K62" s="31"/>
      <c r="L62" s="455"/>
      <c r="M62" s="456"/>
      <c r="N62" s="2517"/>
      <c r="O62" s="2517"/>
      <c r="P62" s="2526"/>
      <c r="Q62" s="2505"/>
      <c r="R62" s="2436"/>
      <c r="S62" s="2436"/>
      <c r="T62" s="2436"/>
      <c r="U62" s="2436"/>
      <c r="V62" s="2436"/>
      <c r="W62" s="2436"/>
      <c r="X62" s="2436"/>
      <c r="Y62" s="2436"/>
      <c r="Z62" s="2436"/>
      <c r="AA62" s="2436"/>
      <c r="AB62" s="2436"/>
      <c r="AC62" s="2436"/>
    </row>
    <row r="63" spans="1:29" s="102" customFormat="1" ht="15.75" thickBot="1">
      <c r="A63" s="453"/>
      <c r="B63" s="442"/>
      <c r="C63" s="443">
        <v>100</v>
      </c>
      <c r="D63" s="444"/>
      <c r="E63" s="444"/>
      <c r="F63" s="444"/>
      <c r="G63" s="444"/>
      <c r="H63" s="444"/>
      <c r="I63" s="444"/>
      <c r="J63" s="444"/>
      <c r="K63" s="444"/>
      <c r="L63" s="444"/>
      <c r="M63" s="446"/>
      <c r="N63" s="2517"/>
      <c r="O63" s="2517"/>
      <c r="P63" s="2525"/>
      <c r="Q63" s="2505"/>
      <c r="R63" s="2436"/>
      <c r="S63" s="2436"/>
      <c r="T63" s="2436"/>
      <c r="U63" s="2436"/>
      <c r="V63" s="2436"/>
      <c r="W63" s="2436"/>
      <c r="X63" s="2436"/>
      <c r="Y63" s="2436"/>
      <c r="Z63" s="2436"/>
      <c r="AA63" s="2436"/>
      <c r="AB63" s="2436"/>
      <c r="AC63" s="2436"/>
    </row>
    <row r="64" spans="1:29">
      <c r="A64" s="379" t="s">
        <v>1719</v>
      </c>
      <c r="B64" s="458" t="s">
        <v>1685</v>
      </c>
      <c r="C64" s="459">
        <f>C9</f>
        <v>0</v>
      </c>
      <c r="D64" s="460"/>
      <c r="E64" s="460"/>
      <c r="F64" s="460"/>
      <c r="G64" s="460"/>
      <c r="H64" s="460"/>
      <c r="I64" s="460"/>
      <c r="J64" s="460"/>
      <c r="K64" s="461"/>
      <c r="L64" s="462"/>
      <c r="M64" s="463"/>
      <c r="N64" s="2518"/>
      <c r="O64" s="2518"/>
      <c r="P64" s="2527"/>
      <c r="Q64" s="2505"/>
      <c r="R64" s="2484"/>
      <c r="S64" s="2484"/>
      <c r="T64" s="2484"/>
      <c r="U64" s="2484"/>
      <c r="V64" s="2484"/>
      <c r="W64" s="2484"/>
      <c r="X64" s="2484"/>
      <c r="Y64" s="2484"/>
      <c r="Z64" s="2484"/>
      <c r="AA64" s="2484"/>
      <c r="AB64" s="2484"/>
      <c r="AC64" s="2484"/>
    </row>
    <row r="65" spans="1:29" ht="15.75" thickBot="1">
      <c r="A65" s="367"/>
      <c r="B65" s="464"/>
      <c r="C65" s="465">
        <v>100</v>
      </c>
      <c r="D65" s="465"/>
      <c r="E65" s="465"/>
      <c r="F65" s="465"/>
      <c r="G65" s="465"/>
      <c r="H65" s="465"/>
      <c r="I65" s="465"/>
      <c r="J65" s="465"/>
      <c r="K65" s="465"/>
      <c r="L65" s="465"/>
      <c r="M65" s="466"/>
      <c r="N65" s="2519"/>
      <c r="O65" s="2519"/>
      <c r="P65" s="2527"/>
      <c r="Q65" s="2505"/>
      <c r="R65" s="2484"/>
      <c r="S65" s="2484"/>
      <c r="T65" s="2484"/>
      <c r="U65" s="2484"/>
      <c r="V65" s="2484"/>
      <c r="W65" s="2484"/>
      <c r="X65" s="2484"/>
      <c r="Y65" s="2484"/>
      <c r="Z65" s="2484"/>
      <c r="AA65" s="2484"/>
      <c r="AB65" s="2484"/>
      <c r="AC65" s="2484"/>
    </row>
    <row r="66" spans="1:29" ht="27.75" thickTop="1">
      <c r="A66" s="367"/>
      <c r="B66" s="467" t="s">
        <v>1688</v>
      </c>
      <c r="C66" s="511"/>
      <c r="D66" s="511"/>
      <c r="E66" s="511"/>
      <c r="F66" s="511"/>
      <c r="G66" s="511"/>
      <c r="H66" s="511"/>
      <c r="I66" s="511"/>
      <c r="J66" s="511"/>
      <c r="K66" s="512"/>
      <c r="L66" s="513"/>
      <c r="M66" s="514"/>
      <c r="N66" s="2518"/>
      <c r="O66" s="2518"/>
      <c r="P66" s="2527"/>
      <c r="Q66" s="2505"/>
      <c r="R66" s="2484"/>
      <c r="S66" s="2484"/>
      <c r="T66" s="2484"/>
      <c r="U66" s="2484"/>
      <c r="V66" s="2484"/>
      <c r="W66" s="2484"/>
      <c r="X66" s="2484"/>
      <c r="Y66" s="2484"/>
      <c r="Z66" s="2484"/>
      <c r="AA66" s="2484"/>
      <c r="AB66" s="2484"/>
      <c r="AC66" s="2484"/>
    </row>
    <row r="67" spans="1:29" ht="15.75" thickBot="1">
      <c r="A67" s="367"/>
      <c r="B67" s="472"/>
      <c r="C67" s="465"/>
      <c r="D67" s="465"/>
      <c r="E67" s="465"/>
      <c r="F67" s="465"/>
      <c r="G67" s="465"/>
      <c r="H67" s="465"/>
      <c r="I67" s="465"/>
      <c r="J67" s="465"/>
      <c r="K67" s="465"/>
      <c r="L67" s="465"/>
      <c r="M67" s="466"/>
      <c r="N67" s="2519"/>
      <c r="O67" s="2519"/>
      <c r="P67" s="2527"/>
      <c r="Q67" s="2505"/>
      <c r="R67" s="2484"/>
      <c r="S67" s="2484"/>
      <c r="T67" s="2484"/>
      <c r="U67" s="2484"/>
      <c r="V67" s="2484"/>
      <c r="W67" s="2484"/>
      <c r="X67" s="2484"/>
      <c r="Y67" s="2484"/>
      <c r="Z67" s="2484"/>
      <c r="AA67" s="2484"/>
      <c r="AB67" s="2484"/>
      <c r="AC67" s="2484"/>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7"/>
      <c r="C69" s="478">
        <v>0</v>
      </c>
      <c r="D69" s="478">
        <v>3</v>
      </c>
      <c r="E69" s="478"/>
      <c r="F69" s="478"/>
      <c r="G69" s="478"/>
      <c r="H69" s="478"/>
      <c r="I69" s="478"/>
      <c r="J69" s="478"/>
      <c r="K69" s="479"/>
      <c r="L69" s="480"/>
      <c r="M69" s="481"/>
      <c r="N69" s="2518"/>
      <c r="O69" s="2518"/>
      <c r="P69" s="2527"/>
      <c r="Q69" s="2505"/>
      <c r="R69" s="2484"/>
      <c r="S69" s="2484"/>
      <c r="T69" s="2484"/>
      <c r="U69" s="2484"/>
      <c r="V69" s="2484"/>
      <c r="W69" s="2484"/>
      <c r="X69" s="2484"/>
      <c r="Y69" s="2484"/>
      <c r="Z69" s="2484"/>
      <c r="AA69" s="2484"/>
      <c r="AB69" s="2484"/>
      <c r="AC69" s="2484"/>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2"/>
      <c r="B71" s="467">
        <f>B12</f>
        <v>111</v>
      </c>
      <c r="C71" s="483"/>
      <c r="D71" s="483"/>
      <c r="E71" s="483"/>
      <c r="F71" s="483"/>
      <c r="G71" s="483"/>
      <c r="H71" s="484"/>
      <c r="I71" s="484"/>
      <c r="J71" s="484"/>
      <c r="K71" s="484"/>
      <c r="L71" s="485"/>
      <c r="M71" s="486"/>
      <c r="N71" s="2520"/>
      <c r="O71" s="2520"/>
      <c r="P71" s="2528"/>
      <c r="Q71" s="2512"/>
      <c r="R71" s="2490"/>
      <c r="S71" s="2490"/>
      <c r="T71" s="2490"/>
      <c r="U71" s="2490"/>
      <c r="V71" s="2490"/>
      <c r="W71" s="2490"/>
      <c r="X71" s="2490"/>
      <c r="Y71" s="2490"/>
      <c r="Z71" s="2490"/>
      <c r="AA71" s="2490"/>
      <c r="AB71" s="2490"/>
      <c r="AC71" s="2490"/>
    </row>
    <row r="72" spans="1:29" s="408" customFormat="1" ht="15.75" thickBot="1">
      <c r="A72" s="482"/>
      <c r="B72" s="472"/>
      <c r="C72" s="489"/>
      <c r="D72" s="465"/>
      <c r="E72" s="465"/>
      <c r="F72" s="465"/>
      <c r="G72" s="465"/>
      <c r="H72" s="465"/>
      <c r="I72" s="465"/>
      <c r="J72" s="465"/>
      <c r="K72" s="465"/>
      <c r="L72" s="465"/>
      <c r="M72" s="466"/>
      <c r="N72" s="2519"/>
      <c r="O72" s="2519"/>
      <c r="P72" s="2528"/>
      <c r="Q72" s="2512"/>
      <c r="R72" s="2490"/>
      <c r="S72" s="2490"/>
      <c r="T72" s="2490"/>
      <c r="U72" s="2490"/>
      <c r="V72" s="2490"/>
      <c r="W72" s="2490"/>
      <c r="X72" s="2490"/>
      <c r="Y72" s="2490"/>
      <c r="Z72" s="2490"/>
      <c r="AA72" s="2490"/>
      <c r="AB72" s="2490"/>
      <c r="AC72" s="2490"/>
    </row>
    <row r="73" spans="1:29" s="408" customFormat="1" ht="15.75" thickTop="1">
      <c r="A73" s="482"/>
      <c r="B73" s="467">
        <f>B13</f>
        <v>111</v>
      </c>
      <c r="C73" s="483"/>
      <c r="D73" s="483"/>
      <c r="E73" s="483"/>
      <c r="F73" s="483"/>
      <c r="G73" s="483"/>
      <c r="H73" s="484"/>
      <c r="I73" s="484"/>
      <c r="J73" s="484"/>
      <c r="K73" s="484"/>
      <c r="L73" s="485"/>
      <c r="M73" s="486"/>
      <c r="N73" s="2520"/>
      <c r="O73" s="2520"/>
      <c r="P73" s="2529"/>
      <c r="Q73" s="2514"/>
      <c r="R73" s="2490"/>
      <c r="S73" s="2490"/>
      <c r="T73" s="2490"/>
      <c r="U73" s="2490"/>
      <c r="V73" s="2490"/>
      <c r="W73" s="2490"/>
      <c r="X73" s="2490"/>
      <c r="Y73" s="2490"/>
      <c r="Z73" s="2490"/>
      <c r="AA73" s="2490"/>
      <c r="AB73" s="2490"/>
      <c r="AC73" s="2490"/>
    </row>
    <row r="74" spans="1:29" s="408" customFormat="1" ht="15.75" thickBot="1">
      <c r="A74" s="482"/>
      <c r="B74" s="472"/>
      <c r="C74" s="489"/>
      <c r="D74" s="489"/>
      <c r="E74" s="489"/>
      <c r="F74" s="489"/>
      <c r="G74" s="489"/>
      <c r="H74" s="491"/>
      <c r="I74" s="491"/>
      <c r="J74" s="491"/>
      <c r="K74" s="491"/>
      <c r="L74" s="491"/>
      <c r="M74" s="492"/>
      <c r="N74" s="2520"/>
      <c r="O74" s="2520"/>
      <c r="P74" s="2528"/>
      <c r="Q74" s="2512"/>
      <c r="R74" s="2490"/>
      <c r="S74" s="2490"/>
      <c r="T74" s="2490"/>
      <c r="U74" s="2490"/>
      <c r="V74" s="2490"/>
      <c r="W74" s="2490"/>
      <c r="X74" s="2490"/>
      <c r="Y74" s="2490"/>
      <c r="Z74" s="2490"/>
      <c r="AA74" s="2490"/>
      <c r="AB74" s="2490"/>
      <c r="AC74" s="2490"/>
    </row>
    <row r="75" spans="1:29" s="408" customFormat="1" ht="15.75" thickTop="1">
      <c r="A75" s="482"/>
      <c r="B75" s="475">
        <f>B14</f>
        <v>111</v>
      </c>
      <c r="C75" s="31"/>
      <c r="D75" s="31"/>
      <c r="E75" s="31"/>
      <c r="F75" s="31"/>
      <c r="G75" s="31"/>
      <c r="H75" s="493"/>
      <c r="I75" s="493"/>
      <c r="J75" s="493"/>
      <c r="K75" s="493"/>
      <c r="L75" s="494"/>
      <c r="M75" s="495"/>
      <c r="N75" s="2520"/>
      <c r="O75" s="2520"/>
      <c r="P75" s="2530"/>
      <c r="Q75" s="2512"/>
      <c r="R75" s="2490"/>
      <c r="S75" s="2490"/>
      <c r="T75" s="2490"/>
      <c r="U75" s="2490"/>
      <c r="V75" s="2490"/>
      <c r="W75" s="2490"/>
      <c r="X75" s="2490"/>
      <c r="Y75" s="2490"/>
      <c r="Z75" s="2490"/>
      <c r="AA75" s="2490"/>
      <c r="AB75" s="2490"/>
      <c r="AC75" s="2490"/>
    </row>
    <row r="76" spans="1:29" s="408" customFormat="1" ht="15.75" thickBot="1">
      <c r="A76" s="497"/>
      <c r="B76" s="498"/>
      <c r="C76" s="499"/>
      <c r="D76" s="499"/>
      <c r="E76" s="499"/>
      <c r="F76" s="499"/>
      <c r="G76" s="499"/>
      <c r="H76" s="500"/>
      <c r="I76" s="500"/>
      <c r="J76" s="500"/>
      <c r="K76" s="500"/>
      <c r="L76" s="500"/>
      <c r="M76" s="501"/>
      <c r="N76" s="2520"/>
      <c r="O76" s="2520"/>
      <c r="P76" s="2528"/>
      <c r="Q76" s="2512"/>
      <c r="R76" s="2490"/>
      <c r="S76" s="2490"/>
      <c r="T76" s="2490"/>
      <c r="U76" s="2490"/>
      <c r="V76" s="2490"/>
      <c r="W76" s="2490"/>
      <c r="X76" s="2490"/>
      <c r="Y76" s="2490"/>
      <c r="Z76" s="2490"/>
      <c r="AA76" s="2490"/>
      <c r="AB76" s="2490"/>
      <c r="AC76" s="2490"/>
    </row>
    <row r="77" spans="1:29">
      <c r="A77" s="379" t="s">
        <v>1690</v>
      </c>
      <c r="B77" s="458" t="s">
        <v>1821</v>
      </c>
      <c r="C77" s="502" t="s">
        <v>1721</v>
      </c>
      <c r="D77" s="502" t="s">
        <v>1722</v>
      </c>
      <c r="E77" s="502" t="s">
        <v>1723</v>
      </c>
      <c r="F77" s="502" t="s">
        <v>1724</v>
      </c>
      <c r="G77" s="502" t="s">
        <v>1725</v>
      </c>
      <c r="H77" s="459"/>
      <c r="I77" s="459"/>
      <c r="J77" s="459"/>
      <c r="K77" s="503"/>
      <c r="L77" s="504"/>
      <c r="M77" s="505"/>
      <c r="N77" s="2518"/>
      <c r="O77" s="2518"/>
      <c r="P77" s="2531"/>
      <c r="Q77" s="2505"/>
      <c r="R77" s="2484"/>
      <c r="S77" s="2484"/>
      <c r="T77" s="2484"/>
      <c r="U77" s="2484"/>
      <c r="V77" s="2484"/>
      <c r="W77" s="2484"/>
      <c r="X77" s="2484"/>
      <c r="Y77" s="2484"/>
      <c r="Z77" s="2484"/>
      <c r="AA77" s="2484"/>
      <c r="AB77" s="2484"/>
      <c r="AC77" s="2484"/>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9"/>
      <c r="O78" s="2519"/>
      <c r="P78" s="2527"/>
      <c r="Q78" s="2505"/>
      <c r="R78" s="2484"/>
      <c r="S78" s="2484"/>
      <c r="T78" s="2484"/>
      <c r="U78" s="2484"/>
      <c r="V78" s="2484"/>
      <c r="W78" s="2484"/>
      <c r="X78" s="2484"/>
      <c r="Y78" s="2484"/>
      <c r="Z78" s="2484"/>
      <c r="AA78" s="2484"/>
      <c r="AB78" s="2484"/>
      <c r="AC78" s="2484"/>
    </row>
    <row r="79" spans="1:29" ht="15.75" thickTop="1">
      <c r="A79" s="367"/>
      <c r="B79" s="467" t="s">
        <v>1726</v>
      </c>
      <c r="C79" s="507" t="s">
        <v>1721</v>
      </c>
      <c r="D79" s="507" t="s">
        <v>1722</v>
      </c>
      <c r="E79" s="507" t="s">
        <v>1723</v>
      </c>
      <c r="F79" s="507" t="s">
        <v>1724</v>
      </c>
      <c r="G79" s="507" t="s">
        <v>1725</v>
      </c>
      <c r="H79" s="468"/>
      <c r="I79" s="468"/>
      <c r="J79" s="468"/>
      <c r="K79" s="469"/>
      <c r="L79" s="470"/>
      <c r="M79" s="471"/>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9"/>
      <c r="O80" s="2519"/>
      <c r="P80" s="2527"/>
      <c r="Q80" s="2505"/>
      <c r="R80" s="2484"/>
      <c r="S80" s="2484"/>
      <c r="T80" s="2484"/>
      <c r="U80" s="2484"/>
      <c r="V80" s="2484"/>
      <c r="W80" s="2484"/>
      <c r="X80" s="2484"/>
      <c r="Y80" s="2484"/>
      <c r="Z80" s="2484"/>
      <c r="AA80" s="2484"/>
      <c r="AB80" s="2484"/>
      <c r="AC80" s="2484"/>
    </row>
    <row r="81" spans="1:29" ht="15.75" thickTop="1">
      <c r="A81" s="367"/>
      <c r="B81" s="467" t="s">
        <v>1727</v>
      </c>
      <c r="C81" s="507" t="s">
        <v>1721</v>
      </c>
      <c r="D81" s="507" t="s">
        <v>1722</v>
      </c>
      <c r="E81" s="507" t="s">
        <v>1723</v>
      </c>
      <c r="F81" s="507" t="s">
        <v>1724</v>
      </c>
      <c r="G81" s="507" t="s">
        <v>1725</v>
      </c>
      <c r="H81" s="468"/>
      <c r="I81" s="468"/>
      <c r="J81" s="468"/>
      <c r="K81" s="469"/>
      <c r="L81" s="470"/>
      <c r="M81" s="471"/>
      <c r="N81" s="2518"/>
      <c r="O81" s="2518"/>
      <c r="P81" s="2527"/>
      <c r="Q81" s="2505"/>
      <c r="R81" s="2484"/>
      <c r="S81" s="2484"/>
      <c r="T81" s="2484"/>
      <c r="U81" s="2484"/>
      <c r="V81" s="2484"/>
      <c r="W81" s="2484"/>
      <c r="X81" s="2484"/>
      <c r="Y81" s="2484"/>
      <c r="Z81" s="2484"/>
      <c r="AA81" s="2484"/>
      <c r="AB81" s="2484"/>
      <c r="AC81" s="2484"/>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9"/>
      <c r="O82" s="2519"/>
      <c r="P82" s="2527"/>
      <c r="Q82" s="2505"/>
      <c r="R82" s="2484"/>
      <c r="S82" s="2484"/>
      <c r="T82" s="2484"/>
      <c r="U82" s="2484"/>
      <c r="V82" s="2484"/>
      <c r="W82" s="2484"/>
      <c r="X82" s="2484"/>
      <c r="Y82" s="2484"/>
      <c r="Z82" s="2484"/>
      <c r="AA82" s="2484"/>
      <c r="AB82" s="2484"/>
      <c r="AC82" s="2484"/>
    </row>
    <row r="83" spans="1:29" ht="15.75" thickTop="1">
      <c r="A83" s="367"/>
      <c r="B83" s="475" t="s">
        <v>1813</v>
      </c>
      <c r="C83" s="579" t="s">
        <v>1799</v>
      </c>
      <c r="D83" s="579" t="s">
        <v>1800</v>
      </c>
      <c r="E83" s="579" t="s">
        <v>1801</v>
      </c>
      <c r="F83" s="579" t="s">
        <v>1802</v>
      </c>
      <c r="G83" s="579" t="s">
        <v>1803</v>
      </c>
      <c r="H83" s="468"/>
      <c r="I83" s="468"/>
      <c r="J83" s="468"/>
      <c r="K83" s="468"/>
      <c r="L83" s="468"/>
      <c r="M83" s="1061"/>
      <c r="N83" s="2519"/>
      <c r="O83" s="2519"/>
      <c r="P83" s="2527"/>
      <c r="Q83" s="2505"/>
      <c r="R83" s="2484"/>
      <c r="S83" s="2484"/>
      <c r="T83" s="2484"/>
      <c r="U83" s="2484"/>
      <c r="V83" s="2484"/>
      <c r="W83" s="2484"/>
      <c r="X83" s="2484"/>
      <c r="Y83" s="2484"/>
      <c r="Z83" s="2484"/>
      <c r="AA83" s="2484"/>
      <c r="AB83" s="2484"/>
      <c r="AC83" s="2484"/>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7" t="s">
        <v>1822</v>
      </c>
      <c r="C85" s="507" t="s">
        <v>1721</v>
      </c>
      <c r="D85" s="507" t="s">
        <v>1722</v>
      </c>
      <c r="E85" s="507" t="s">
        <v>1723</v>
      </c>
      <c r="F85" s="507" t="s">
        <v>1724</v>
      </c>
      <c r="G85" s="507" t="s">
        <v>1725</v>
      </c>
      <c r="H85" s="468"/>
      <c r="I85" s="468"/>
      <c r="J85" s="468"/>
      <c r="K85" s="469"/>
      <c r="L85" s="470"/>
      <c r="M85" s="471"/>
      <c r="N85" s="2518"/>
      <c r="O85" s="2518"/>
      <c r="P85" s="2527"/>
      <c r="Q85" s="2505"/>
      <c r="R85" s="2484"/>
      <c r="S85" s="2484"/>
      <c r="T85" s="2484"/>
      <c r="U85" s="2484"/>
      <c r="V85" s="2484"/>
      <c r="W85" s="2484"/>
      <c r="X85" s="2484"/>
      <c r="Y85" s="2484"/>
      <c r="Z85" s="2484"/>
      <c r="AA85" s="2484"/>
      <c r="AB85" s="2484"/>
      <c r="AC85" s="2484"/>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7" t="s">
        <v>1823</v>
      </c>
      <c r="C87" s="483"/>
      <c r="D87" s="483"/>
      <c r="E87" s="483"/>
      <c r="F87" s="483"/>
      <c r="G87" s="483"/>
      <c r="H87" s="483"/>
      <c r="I87" s="483"/>
      <c r="J87" s="483"/>
      <c r="K87" s="483"/>
      <c r="L87" s="508"/>
      <c r="M87" s="509"/>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7" t="str">
        <f>B27</f>
        <v>楼层</v>
      </c>
      <c r="C89" s="483"/>
      <c r="D89" s="483"/>
      <c r="E89" s="483"/>
      <c r="F89" s="1776"/>
      <c r="G89" s="483"/>
      <c r="H89" s="483"/>
      <c r="I89" s="483"/>
      <c r="J89" s="483"/>
      <c r="K89" s="483"/>
      <c r="L89" s="483"/>
      <c r="M89" s="509"/>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2"/>
      <c r="B91" s="467" t="str">
        <f>B28</f>
        <v>朝向</v>
      </c>
      <c r="C91" s="483"/>
      <c r="D91" s="483"/>
      <c r="E91" s="483"/>
      <c r="F91" s="483"/>
      <c r="G91" s="483"/>
      <c r="H91" s="484"/>
      <c r="I91" s="484"/>
      <c r="J91" s="484"/>
      <c r="K91" s="484"/>
      <c r="L91" s="485"/>
      <c r="M91" s="48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7">
        <f>B29</f>
        <v>111</v>
      </c>
      <c r="C93" s="483"/>
      <c r="D93" s="483"/>
      <c r="E93" s="483"/>
      <c r="F93" s="483"/>
      <c r="G93" s="483"/>
      <c r="H93" s="483"/>
      <c r="I93" s="483"/>
      <c r="J93" s="483"/>
      <c r="K93" s="483"/>
      <c r="L93" s="508"/>
      <c r="M93" s="509"/>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89"/>
      <c r="D94" s="465"/>
      <c r="E94" s="465"/>
      <c r="F94" s="465"/>
      <c r="G94" s="465"/>
      <c r="H94" s="465"/>
      <c r="I94" s="465"/>
      <c r="J94" s="465"/>
      <c r="K94" s="465"/>
      <c r="L94" s="465"/>
      <c r="M94" s="466"/>
      <c r="N94" s="2519"/>
      <c r="O94" s="2519"/>
      <c r="P94" s="2527"/>
      <c r="Q94" s="2505"/>
      <c r="R94" s="2484"/>
      <c r="S94" s="2484"/>
      <c r="T94" s="2484"/>
      <c r="U94" s="2484"/>
      <c r="V94" s="2484"/>
      <c r="W94" s="2484"/>
      <c r="X94" s="2484"/>
      <c r="Y94" s="2484"/>
      <c r="Z94" s="2484"/>
      <c r="AA94" s="2484"/>
      <c r="AB94" s="2484"/>
      <c r="AC94" s="2484"/>
    </row>
    <row r="95" spans="1:29" ht="15.75" thickTop="1">
      <c r="A95" s="367"/>
      <c r="B95" s="467">
        <f>B30</f>
        <v>111</v>
      </c>
      <c r="C95" s="483"/>
      <c r="D95" s="483"/>
      <c r="E95" s="483"/>
      <c r="F95" s="483"/>
      <c r="G95" s="511"/>
      <c r="H95" s="511"/>
      <c r="I95" s="511"/>
      <c r="J95" s="511"/>
      <c r="K95" s="512"/>
      <c r="L95" s="513"/>
      <c r="M95" s="514"/>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89"/>
      <c r="D96" s="489"/>
      <c r="E96" s="489"/>
      <c r="F96" s="489"/>
      <c r="G96" s="465"/>
      <c r="H96" s="465"/>
      <c r="I96" s="465"/>
      <c r="J96" s="465"/>
      <c r="K96" s="465"/>
      <c r="L96" s="465"/>
      <c r="M96" s="466"/>
      <c r="N96" s="2519"/>
      <c r="O96" s="2519"/>
      <c r="P96" s="2527"/>
      <c r="Q96" s="2505"/>
      <c r="R96" s="2484"/>
      <c r="S96" s="2484"/>
      <c r="T96" s="2484"/>
      <c r="U96" s="2484"/>
      <c r="V96" s="2484"/>
      <c r="W96" s="2484"/>
      <c r="X96" s="2484"/>
      <c r="Y96" s="2484"/>
      <c r="Z96" s="2484"/>
      <c r="AA96" s="2484"/>
      <c r="AB96" s="2484"/>
      <c r="AC96" s="2484"/>
    </row>
    <row r="97" spans="1:29" ht="15.75" thickTop="1">
      <c r="A97" s="367"/>
      <c r="B97" s="467">
        <f>B31</f>
        <v>111</v>
      </c>
      <c r="C97" s="483"/>
      <c r="D97" s="483"/>
      <c r="E97" s="483"/>
      <c r="F97" s="483"/>
      <c r="G97" s="511"/>
      <c r="H97" s="511"/>
      <c r="I97" s="511"/>
      <c r="J97" s="511"/>
      <c r="K97" s="512"/>
      <c r="L97" s="513"/>
      <c r="M97" s="514"/>
      <c r="N97" s="2518"/>
      <c r="O97" s="2518"/>
      <c r="P97" s="2527"/>
      <c r="Q97" s="2505"/>
      <c r="R97" s="2484"/>
      <c r="S97" s="2484"/>
      <c r="T97" s="2484"/>
      <c r="U97" s="2484"/>
      <c r="V97" s="2484"/>
      <c r="W97" s="2484"/>
      <c r="X97" s="2484"/>
      <c r="Y97" s="2484"/>
      <c r="Z97" s="2484"/>
      <c r="AA97" s="2484"/>
      <c r="AB97" s="2484"/>
      <c r="AC97" s="2484"/>
    </row>
    <row r="98" spans="1:29" ht="15.75" thickBot="1">
      <c r="A98" s="367"/>
      <c r="B98" s="472"/>
      <c r="C98" s="489"/>
      <c r="D98" s="465"/>
      <c r="E98" s="465"/>
      <c r="F98" s="465"/>
      <c r="G98" s="465"/>
      <c r="H98" s="465"/>
      <c r="I98" s="465"/>
      <c r="J98" s="465"/>
      <c r="K98" s="465"/>
      <c r="L98" s="465"/>
      <c r="M98" s="466"/>
      <c r="N98" s="2519"/>
      <c r="O98" s="2519"/>
      <c r="P98" s="2527"/>
      <c r="Q98" s="2505"/>
      <c r="R98" s="2484"/>
      <c r="S98" s="2484"/>
      <c r="T98" s="2484"/>
      <c r="U98" s="2484"/>
      <c r="V98" s="2484"/>
      <c r="W98" s="2484"/>
      <c r="X98" s="2484"/>
      <c r="Y98" s="2484"/>
      <c r="Z98" s="2484"/>
      <c r="AA98" s="2484"/>
      <c r="AB98" s="2484"/>
      <c r="AC98" s="2484"/>
    </row>
    <row r="99" spans="1:29" ht="15.75" thickTop="1">
      <c r="A99" s="367"/>
      <c r="B99" s="475">
        <f>B32</f>
        <v>111</v>
      </c>
      <c r="C99" s="31"/>
      <c r="D99" s="31"/>
      <c r="E99" s="31"/>
      <c r="F99" s="31"/>
      <c r="G99" s="515"/>
      <c r="H99" s="515"/>
      <c r="I99" s="515"/>
      <c r="J99" s="515"/>
      <c r="K99" s="516"/>
      <c r="L99" s="517"/>
      <c r="M99" s="518"/>
      <c r="N99" s="2518"/>
      <c r="O99" s="2518"/>
      <c r="P99" s="2527"/>
      <c r="Q99" s="2505"/>
      <c r="R99" s="2484"/>
      <c r="S99" s="2484"/>
      <c r="T99" s="2484"/>
      <c r="U99" s="2484"/>
      <c r="V99" s="2484"/>
      <c r="W99" s="2484"/>
      <c r="X99" s="2484"/>
      <c r="Y99" s="2484"/>
      <c r="Z99" s="2484"/>
      <c r="AA99" s="2484"/>
      <c r="AB99" s="2484"/>
      <c r="AC99" s="2484"/>
    </row>
    <row r="100" spans="1:29" ht="15.75" thickBot="1">
      <c r="A100" s="375"/>
      <c r="B100" s="498"/>
      <c r="C100" s="499"/>
      <c r="D100" s="499"/>
      <c r="E100" s="499"/>
      <c r="F100" s="499"/>
      <c r="G100" s="519"/>
      <c r="H100" s="519"/>
      <c r="I100" s="519"/>
      <c r="J100" s="519"/>
      <c r="K100" s="519"/>
      <c r="L100" s="519"/>
      <c r="M100" s="520"/>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58" t="s">
        <v>1736</v>
      </c>
      <c r="C101" s="460"/>
      <c r="D101" s="460"/>
      <c r="E101" s="460"/>
      <c r="F101" s="460"/>
      <c r="G101" s="460"/>
      <c r="H101" s="460"/>
      <c r="I101" s="460"/>
      <c r="J101" s="460"/>
      <c r="K101" s="461"/>
      <c r="L101" s="462"/>
      <c r="M101" s="463"/>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1"/>
      <c r="C104" s="6"/>
      <c r="D104" s="6"/>
      <c r="E104" s="6"/>
      <c r="F104" s="6"/>
      <c r="G104" s="6"/>
      <c r="H104" s="6"/>
      <c r="I104" s="6"/>
      <c r="J104" s="522"/>
      <c r="K104" s="522"/>
      <c r="L104" s="523"/>
      <c r="M104" s="524"/>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2"/>
      <c r="B105" s="472"/>
      <c r="C105" s="489"/>
      <c r="D105" s="465"/>
      <c r="E105" s="465"/>
      <c r="F105" s="465"/>
      <c r="G105" s="465"/>
      <c r="H105" s="465"/>
      <c r="I105" s="465"/>
      <c r="J105" s="465"/>
      <c r="K105" s="465"/>
      <c r="L105" s="465"/>
      <c r="M105" s="466"/>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7" t="s">
        <v>1738</v>
      </c>
      <c r="C106" s="483"/>
      <c r="D106" s="483"/>
      <c r="E106" s="511"/>
      <c r="F106" s="511"/>
      <c r="G106" s="511"/>
      <c r="H106" s="511"/>
      <c r="I106" s="511"/>
      <c r="J106" s="511"/>
      <c r="K106" s="512"/>
      <c r="L106" s="513"/>
      <c r="M106" s="514"/>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7" t="s">
        <v>1740</v>
      </c>
      <c r="C108" s="483"/>
      <c r="D108" s="483"/>
      <c r="E108" s="483"/>
      <c r="F108" s="511"/>
      <c r="G108" s="511"/>
      <c r="H108" s="511"/>
      <c r="I108" s="511"/>
      <c r="J108" s="511"/>
      <c r="K108" s="512"/>
      <c r="L108" s="513"/>
      <c r="M108" s="514"/>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8"/>
      <c r="O110" s="2518"/>
      <c r="P110" s="2527"/>
      <c r="Q110" s="2505"/>
      <c r="R110" s="2484"/>
      <c r="S110" s="2484"/>
      <c r="T110" s="2484"/>
      <c r="U110" s="2484"/>
      <c r="V110" s="2484"/>
      <c r="W110" s="2484"/>
      <c r="X110" s="2484"/>
      <c r="Y110" s="2484"/>
      <c r="Z110" s="2484"/>
      <c r="AA110" s="2484"/>
      <c r="AB110" s="2484"/>
      <c r="AC110" s="2484"/>
    </row>
    <row r="111" spans="1:29">
      <c r="A111" s="409"/>
      <c r="B111" s="475"/>
      <c r="C111" s="528">
        <v>0.5</v>
      </c>
      <c r="D111" s="528">
        <v>0.6</v>
      </c>
      <c r="E111" s="528">
        <v>0.7</v>
      </c>
      <c r="F111" s="528">
        <v>0.8</v>
      </c>
      <c r="G111" s="528">
        <v>0.9</v>
      </c>
      <c r="H111" s="528">
        <v>1.0001</v>
      </c>
      <c r="I111" s="546"/>
      <c r="J111" s="546"/>
      <c r="K111" s="547"/>
      <c r="L111" s="548"/>
      <c r="M111" s="549"/>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7" t="s">
        <v>1824</v>
      </c>
      <c r="C113" s="483"/>
      <c r="D113" s="483"/>
      <c r="E113" s="483"/>
      <c r="F113" s="483"/>
      <c r="G113" s="483"/>
      <c r="H113" s="511"/>
      <c r="I113" s="511"/>
      <c r="J113" s="511"/>
      <c r="K113" s="512"/>
      <c r="L113" s="513"/>
      <c r="M113" s="514"/>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7" t="s">
        <v>1741</v>
      </c>
      <c r="C115" s="483"/>
      <c r="D115" s="483"/>
      <c r="E115" s="511"/>
      <c r="F115" s="511"/>
      <c r="G115" s="511"/>
      <c r="H115" s="511"/>
      <c r="I115" s="511"/>
      <c r="J115" s="511"/>
      <c r="K115" s="512"/>
      <c r="L115" s="513"/>
      <c r="M115" s="514"/>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7" t="s">
        <v>1742</v>
      </c>
      <c r="C117" s="483"/>
      <c r="D117" s="483"/>
      <c r="E117" s="483"/>
      <c r="F117" s="483"/>
      <c r="G117" s="483"/>
      <c r="H117" s="511"/>
      <c r="I117" s="511"/>
      <c r="J117" s="511"/>
      <c r="K117" s="512"/>
      <c r="L117" s="513"/>
      <c r="M117" s="514"/>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8" t="s">
        <v>1825</v>
      </c>
      <c r="C119" s="511"/>
      <c r="D119" s="511"/>
      <c r="E119" s="511"/>
      <c r="F119" s="511"/>
      <c r="G119" s="511"/>
      <c r="H119" s="511"/>
      <c r="I119" s="511"/>
      <c r="J119" s="511"/>
      <c r="K119" s="511"/>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7" t="s">
        <v>1808</v>
      </c>
      <c r="C121" s="483"/>
      <c r="D121" s="483"/>
      <c r="E121" s="483"/>
      <c r="F121" s="511"/>
      <c r="G121" s="484"/>
      <c r="H121" s="484"/>
      <c r="I121" s="484"/>
      <c r="J121" s="484"/>
      <c r="K121" s="484"/>
      <c r="L121" s="485"/>
      <c r="M121" s="486"/>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2"/>
      <c r="B122" s="464"/>
      <c r="C122" s="489"/>
      <c r="D122" s="489"/>
      <c r="E122" s="489"/>
      <c r="F122" s="489"/>
      <c r="G122" s="489"/>
      <c r="H122" s="489"/>
      <c r="I122" s="489"/>
      <c r="J122" s="489"/>
      <c r="K122" s="489"/>
      <c r="L122" s="489"/>
      <c r="M122" s="489"/>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7" t="s">
        <v>1744</v>
      </c>
      <c r="C123" s="483"/>
      <c r="D123" s="483"/>
      <c r="E123" s="483"/>
      <c r="F123" s="511"/>
      <c r="G123" s="511"/>
      <c r="H123" s="511"/>
      <c r="I123" s="511"/>
      <c r="J123" s="511"/>
      <c r="K123" s="512"/>
      <c r="L123" s="513"/>
      <c r="M123" s="514"/>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7">
        <f>B45</f>
        <v>111</v>
      </c>
      <c r="C127" s="483"/>
      <c r="D127" s="483"/>
      <c r="E127" s="483"/>
      <c r="F127" s="483"/>
      <c r="G127" s="483"/>
      <c r="H127" s="484"/>
      <c r="I127" s="484"/>
      <c r="J127" s="484"/>
      <c r="K127" s="484"/>
      <c r="L127" s="485"/>
      <c r="M127" s="486"/>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2"/>
      <c r="B128" s="472"/>
      <c r="C128" s="489"/>
      <c r="D128" s="465"/>
      <c r="E128" s="465"/>
      <c r="F128" s="465"/>
      <c r="G128" s="489"/>
      <c r="H128" s="491"/>
      <c r="I128" s="491"/>
      <c r="J128" s="491"/>
      <c r="K128" s="491"/>
      <c r="L128" s="491"/>
      <c r="M128" s="492"/>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7">
        <f>B46</f>
        <v>111</v>
      </c>
      <c r="C129" s="483"/>
      <c r="D129" s="483"/>
      <c r="E129" s="483"/>
      <c r="F129" s="483"/>
      <c r="G129" s="511"/>
      <c r="H129" s="511"/>
      <c r="I129" s="511"/>
      <c r="J129" s="511"/>
      <c r="K129" s="512"/>
      <c r="L129" s="513"/>
      <c r="M129" s="514"/>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2"/>
      <c r="C130" s="489"/>
      <c r="D130" s="489"/>
      <c r="E130" s="489"/>
      <c r="F130" s="489"/>
      <c r="G130" s="465"/>
      <c r="H130" s="465"/>
      <c r="I130" s="465"/>
      <c r="J130" s="465"/>
      <c r="K130" s="465"/>
      <c r="L130" s="465"/>
      <c r="M130" s="466"/>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5">
        <f>B47</f>
        <v>111</v>
      </c>
      <c r="C131" s="31"/>
      <c r="D131" s="31"/>
      <c r="E131" s="31"/>
      <c r="F131" s="31"/>
      <c r="G131" s="515"/>
      <c r="H131" s="515"/>
      <c r="I131" s="515"/>
      <c r="J131" s="515"/>
      <c r="K131" s="31"/>
      <c r="L131" s="455"/>
      <c r="M131" s="518"/>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498"/>
      <c r="C132" s="499"/>
      <c r="D132" s="499"/>
      <c r="E132" s="499"/>
      <c r="F132" s="499"/>
      <c r="G132" s="519"/>
      <c r="H132" s="519"/>
      <c r="I132" s="519"/>
      <c r="J132" s="519"/>
      <c r="K132" s="519"/>
      <c r="L132" s="519"/>
      <c r="M132" s="520"/>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4" t="s">
        <v>1826</v>
      </c>
      <c r="C1" s="1139" t="s">
        <v>1662</v>
      </c>
      <c r="D1" s="1140"/>
      <c r="E1" s="3128"/>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74277.419999999867</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381" t="s">
        <v>1770</v>
      </c>
      <c r="D4" s="3393"/>
      <c r="E4" s="3394" t="s">
        <v>1771</v>
      </c>
      <c r="F4" s="3395"/>
      <c r="G4" s="3381" t="s">
        <v>1772</v>
      </c>
      <c r="H4" s="3393"/>
      <c r="I4" s="3381" t="s">
        <v>1773</v>
      </c>
      <c r="J4" s="3393"/>
      <c r="K4" s="535" t="s">
        <v>1774</v>
      </c>
      <c r="L4" s="858"/>
      <c r="M4" s="859"/>
      <c r="N4" s="859"/>
      <c r="O4" s="859"/>
      <c r="P4" s="3396" t="s">
        <v>1775</v>
      </c>
      <c r="Q4" s="3397"/>
      <c r="R4" s="3402" t="s">
        <v>1771</v>
      </c>
      <c r="S4" s="3403"/>
      <c r="T4" s="3402" t="s">
        <v>1772</v>
      </c>
      <c r="U4" s="3403"/>
      <c r="V4" s="3389" t="s">
        <v>1773</v>
      </c>
      <c r="W4" s="3389"/>
      <c r="X4" s="1263"/>
      <c r="Y4" s="3402" t="s">
        <v>1775</v>
      </c>
      <c r="Z4" s="3403"/>
      <c r="AA4" s="3390" t="s">
        <v>1771</v>
      </c>
      <c r="AB4" s="3391" t="s">
        <v>1772</v>
      </c>
      <c r="AC4" s="3390" t="s">
        <v>1773</v>
      </c>
    </row>
    <row r="5" spans="1:29" ht="15">
      <c r="A5" s="348"/>
      <c r="B5" s="349"/>
      <c r="C5" s="3415" t="s">
        <v>1673</v>
      </c>
      <c r="D5" s="3411"/>
      <c r="E5" s="3453" t="s">
        <v>1674</v>
      </c>
      <c r="F5" s="3419"/>
      <c r="G5" s="3415" t="s">
        <v>1675</v>
      </c>
      <c r="H5" s="3411"/>
      <c r="I5" s="3415" t="s">
        <v>1676</v>
      </c>
      <c r="J5" s="3411"/>
      <c r="K5" s="535"/>
      <c r="L5" s="858"/>
      <c r="M5" s="859"/>
      <c r="N5" s="859"/>
      <c r="O5" s="859"/>
      <c r="P5" s="3398"/>
      <c r="Q5" s="3399"/>
      <c r="R5" s="3404"/>
      <c r="S5" s="3405"/>
      <c r="T5" s="3404"/>
      <c r="U5" s="3405"/>
      <c r="V5" s="3389"/>
      <c r="W5" s="3389"/>
      <c r="X5" s="1263"/>
      <c r="Y5" s="3404"/>
      <c r="Z5" s="3405"/>
      <c r="AA5" s="3391"/>
      <c r="AB5" s="3391"/>
      <c r="AC5" s="3391"/>
    </row>
    <row r="6" spans="1:29" ht="15.75" thickBot="1">
      <c r="A6" s="350"/>
      <c r="B6" s="351"/>
      <c r="C6" s="3408" t="s">
        <v>1677</v>
      </c>
      <c r="D6" s="3409"/>
      <c r="E6" s="3416" t="s">
        <v>1677</v>
      </c>
      <c r="F6" s="3417"/>
      <c r="G6" s="3408" t="s">
        <v>1677</v>
      </c>
      <c r="H6" s="3409"/>
      <c r="I6" s="3408" t="s">
        <v>1677</v>
      </c>
      <c r="J6" s="3409"/>
      <c r="K6" s="535" t="s">
        <v>1678</v>
      </c>
      <c r="L6" s="858"/>
      <c r="M6" s="859"/>
      <c r="N6" s="859"/>
      <c r="O6" s="859"/>
      <c r="P6" s="3400"/>
      <c r="Q6" s="3401"/>
      <c r="R6" s="3404"/>
      <c r="S6" s="3405"/>
      <c r="T6" s="3406"/>
      <c r="U6" s="3407"/>
      <c r="V6" s="3389"/>
      <c r="W6" s="3389"/>
      <c r="X6" s="1263"/>
      <c r="Y6" s="3406"/>
      <c r="Z6" s="3407"/>
      <c r="AA6" s="3392"/>
      <c r="AB6" s="3392"/>
      <c r="AC6" s="3392"/>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60"/>
      <c r="M7" s="861"/>
      <c r="N7" s="861"/>
      <c r="O7" s="861"/>
      <c r="P7" s="341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12" t="s">
        <v>1683</v>
      </c>
      <c r="Q8" s="3413"/>
      <c r="R8" s="662" t="s">
        <v>14</v>
      </c>
      <c r="S8" s="663">
        <f t="shared" si="0"/>
        <v>100</v>
      </c>
      <c r="T8" s="662" t="s">
        <v>14</v>
      </c>
      <c r="U8" s="663">
        <f t="shared" si="1"/>
        <v>100</v>
      </c>
      <c r="V8" s="662" t="s">
        <v>14</v>
      </c>
      <c r="W8" s="663">
        <f t="shared" si="2"/>
        <v>100</v>
      </c>
      <c r="X8" s="664"/>
      <c r="Y8" s="3412" t="s">
        <v>1683</v>
      </c>
      <c r="Z8" s="341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84" t="s">
        <v>1686</v>
      </c>
      <c r="Q9" s="528" t="str">
        <f t="shared" ref="Q9:Q15" si="6">B9</f>
        <v>用途</v>
      </c>
      <c r="R9" s="662" t="s">
        <v>14</v>
      </c>
      <c r="S9" s="663">
        <f t="shared" si="0"/>
        <v>100</v>
      </c>
      <c r="T9" s="662" t="s">
        <v>14</v>
      </c>
      <c r="U9" s="663">
        <f t="shared" si="1"/>
        <v>100</v>
      </c>
      <c r="V9" s="662" t="s">
        <v>14</v>
      </c>
      <c r="W9" s="663">
        <f t="shared" si="2"/>
        <v>100</v>
      </c>
      <c r="X9" s="664"/>
      <c r="Y9" s="3281"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384"/>
      <c r="Q10" s="528"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6"/>
      <c r="M11" s="859"/>
      <c r="N11" s="859"/>
      <c r="O11" s="867"/>
      <c r="P11" s="3384"/>
      <c r="Q11" s="528" t="str">
        <f t="shared" si="6"/>
        <v>容积率</v>
      </c>
      <c r="R11" s="662" t="s">
        <v>14</v>
      </c>
      <c r="S11" s="663">
        <f t="shared" si="0"/>
        <v>100</v>
      </c>
      <c r="T11" s="662" t="s">
        <v>14</v>
      </c>
      <c r="U11" s="663">
        <f t="shared" si="1"/>
        <v>100</v>
      </c>
      <c r="V11" s="662" t="s">
        <v>14</v>
      </c>
      <c r="W11" s="663">
        <f t="shared" si="2"/>
        <v>100</v>
      </c>
      <c r="X11" s="664"/>
      <c r="Y11" s="3281"/>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4"/>
      <c r="H12" s="119">
        <f>SUMIF(64:64,G12,65:65)-SUMIF(64:64,C12,65:65)+100</f>
        <v>100</v>
      </c>
      <c r="I12" s="407"/>
      <c r="J12" s="119">
        <f>SUMIF(64:64,I12,65:65)-SUMIF(64:64,C12,65:65)+100</f>
        <v>100</v>
      </c>
      <c r="K12" s="537"/>
      <c r="L12" s="860"/>
      <c r="M12" s="861"/>
      <c r="N12" s="861"/>
      <c r="O12" s="862"/>
      <c r="P12" s="3384"/>
      <c r="Q12" s="528">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4"/>
      <c r="H13" s="374">
        <f>SUMIF(66:66,G13,67:67)-SUMIF(66:66,C13,67:67)+100</f>
        <v>100</v>
      </c>
      <c r="I13" s="407"/>
      <c r="J13" s="374">
        <f>SUMIF(66:66,I13,67:67)-SUMIF(66:66,C13,67:67)+100</f>
        <v>100</v>
      </c>
      <c r="K13" s="537"/>
      <c r="L13" s="868"/>
      <c r="M13" s="859"/>
      <c r="N13" s="859"/>
      <c r="O13" s="867"/>
      <c r="P13" s="3384"/>
      <c r="Q13" s="528">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7"/>
      <c r="L14" s="868"/>
      <c r="M14" s="859"/>
      <c r="N14" s="859"/>
      <c r="O14" s="867"/>
      <c r="P14" s="3384"/>
      <c r="Q14" s="528">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50">
        <f t="shared" si="5"/>
        <v>1</v>
      </c>
    </row>
    <row r="15" spans="1:29" ht="15">
      <c r="A15" s="379" t="s">
        <v>1690</v>
      </c>
      <c r="B15" s="58" t="s">
        <v>1827</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8"/>
      <c r="M15" s="859"/>
      <c r="N15" s="859"/>
      <c r="O15" s="867"/>
      <c r="P15" s="3385" t="s">
        <v>1691</v>
      </c>
      <c r="Q15" s="1261" t="str">
        <f t="shared" si="6"/>
        <v>产业集聚程度</v>
      </c>
      <c r="R15" s="665" t="s">
        <v>14</v>
      </c>
      <c r="S15" s="666">
        <f t="shared" si="0"/>
        <v>100</v>
      </c>
      <c r="T15" s="665" t="s">
        <v>14</v>
      </c>
      <c r="U15" s="666">
        <f t="shared" si="1"/>
        <v>100</v>
      </c>
      <c r="V15" s="665" t="s">
        <v>14</v>
      </c>
      <c r="W15" s="666">
        <f t="shared" si="2"/>
        <v>100</v>
      </c>
      <c r="X15" s="1263"/>
      <c r="Y15" s="3385"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39"/>
      <c r="L16" s="868"/>
      <c r="M16" s="859"/>
      <c r="N16" s="859"/>
      <c r="O16" s="867"/>
      <c r="P16" s="3386"/>
      <c r="Q16" s="1261"/>
      <c r="R16" s="665"/>
      <c r="S16" s="666"/>
      <c r="T16" s="665"/>
      <c r="U16" s="666"/>
      <c r="V16" s="665"/>
      <c r="W16" s="666"/>
      <c r="X16" s="1263"/>
      <c r="Y16" s="3386"/>
      <c r="Z16" s="1262"/>
      <c r="AA16" s="1262">
        <v>1</v>
      </c>
      <c r="AB16" s="1262">
        <v>1</v>
      </c>
      <c r="AC16" s="1262">
        <v>1</v>
      </c>
    </row>
    <row r="17" spans="1:29" ht="15">
      <c r="A17" s="367"/>
      <c r="B17" s="390" t="s">
        <v>1259</v>
      </c>
      <c r="C17" s="1752">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8"/>
      <c r="M17" s="859"/>
      <c r="N17" s="859"/>
      <c r="O17" s="867"/>
      <c r="P17" s="3386"/>
      <c r="Q17" s="1261" t="str">
        <f>B17</f>
        <v>交通便捷度</v>
      </c>
      <c r="R17" s="665" t="s">
        <v>14</v>
      </c>
      <c r="S17" s="666">
        <f>F17</f>
        <v>100</v>
      </c>
      <c r="T17" s="665" t="s">
        <v>14</v>
      </c>
      <c r="U17" s="666">
        <f>H17</f>
        <v>100</v>
      </c>
      <c r="V17" s="665" t="s">
        <v>14</v>
      </c>
      <c r="W17" s="666">
        <f>J17</f>
        <v>100</v>
      </c>
      <c r="X17" s="1263"/>
      <c r="Y17" s="3386"/>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39"/>
      <c r="L18" s="868"/>
      <c r="M18" s="859"/>
      <c r="N18" s="859"/>
      <c r="O18" s="867"/>
      <c r="P18" s="3386"/>
      <c r="Q18" s="1261"/>
      <c r="R18" s="665"/>
      <c r="S18" s="666"/>
      <c r="T18" s="665"/>
      <c r="U18" s="666"/>
      <c r="V18" s="665"/>
      <c r="W18" s="666"/>
      <c r="X18" s="1263"/>
      <c r="Y18" s="3386"/>
      <c r="Z18" s="1262"/>
      <c r="AA18" s="1262">
        <v>1</v>
      </c>
      <c r="AB18" s="1262">
        <v>1</v>
      </c>
      <c r="AC18" s="1262">
        <v>1</v>
      </c>
    </row>
    <row r="19" spans="1:29" ht="15">
      <c r="A19" s="367"/>
      <c r="B19" s="390" t="s">
        <v>1812</v>
      </c>
      <c r="C19" s="1752">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8"/>
      <c r="M19" s="859"/>
      <c r="N19" s="859"/>
      <c r="O19" s="867"/>
      <c r="P19" s="3386"/>
      <c r="Q19" s="1261" t="str">
        <f>B19</f>
        <v>公共配套设施</v>
      </c>
      <c r="R19" s="665" t="s">
        <v>14</v>
      </c>
      <c r="S19" s="666">
        <f>F19</f>
        <v>100</v>
      </c>
      <c r="T19" s="665" t="s">
        <v>14</v>
      </c>
      <c r="U19" s="666">
        <f>H19</f>
        <v>100</v>
      </c>
      <c r="V19" s="665" t="s">
        <v>14</v>
      </c>
      <c r="W19" s="666">
        <f>J19</f>
        <v>100</v>
      </c>
      <c r="X19" s="1263"/>
      <c r="Y19" s="3386"/>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39"/>
      <c r="L20" s="868"/>
      <c r="M20" s="859"/>
      <c r="N20" s="859"/>
      <c r="O20" s="867"/>
      <c r="P20" s="3386"/>
      <c r="Q20" s="1261"/>
      <c r="R20" s="665"/>
      <c r="S20" s="666"/>
      <c r="T20" s="665"/>
      <c r="U20" s="666"/>
      <c r="V20" s="665"/>
      <c r="W20" s="666"/>
      <c r="X20" s="1263"/>
      <c r="Y20" s="3386"/>
      <c r="Z20" s="1262"/>
      <c r="AA20" s="1262">
        <v>1</v>
      </c>
      <c r="AB20" s="1262">
        <v>1</v>
      </c>
      <c r="AC20" s="1262">
        <v>1</v>
      </c>
    </row>
    <row r="21" spans="1:29" ht="15">
      <c r="A21" s="367"/>
      <c r="B21" s="584" t="s">
        <v>1813</v>
      </c>
      <c r="C21" s="1752">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8"/>
      <c r="M21" s="859"/>
      <c r="N21" s="859"/>
      <c r="O21" s="867"/>
      <c r="P21" s="3386"/>
      <c r="Q21" s="1261" t="str">
        <f>B21</f>
        <v>基础设施水平</v>
      </c>
      <c r="R21" s="665" t="s">
        <v>14</v>
      </c>
      <c r="S21" s="666">
        <f>F21</f>
        <v>100</v>
      </c>
      <c r="T21" s="665" t="s">
        <v>14</v>
      </c>
      <c r="U21" s="666">
        <f>H21</f>
        <v>100</v>
      </c>
      <c r="V21" s="665" t="s">
        <v>14</v>
      </c>
      <c r="W21" s="666">
        <f>J21</f>
        <v>100</v>
      </c>
      <c r="X21" s="1263"/>
      <c r="Y21" s="3386"/>
      <c r="Z21" s="1262" t="str">
        <f>Q21</f>
        <v>基础设施水平</v>
      </c>
      <c r="AA21" s="1262">
        <f t="shared" ref="AA21" si="8">D21/F21</f>
        <v>1</v>
      </c>
      <c r="AB21" s="1262">
        <f t="shared" ref="AB21" si="9">D21/H21</f>
        <v>1</v>
      </c>
      <c r="AC21" s="1262">
        <f t="shared" ref="AC21" si="10">D21/J21</f>
        <v>1</v>
      </c>
    </row>
    <row r="22" spans="1:29" ht="15">
      <c r="A22" s="367"/>
      <c r="B22" s="584"/>
      <c r="C22" s="1753"/>
      <c r="D22" s="387"/>
      <c r="E22" s="386"/>
      <c r="F22" s="388"/>
      <c r="G22" s="386"/>
      <c r="H22" s="387"/>
      <c r="I22" s="386"/>
      <c r="J22" s="387"/>
      <c r="K22" s="1062"/>
      <c r="L22" s="868"/>
      <c r="M22" s="859"/>
      <c r="N22" s="859"/>
      <c r="O22" s="867"/>
      <c r="P22" s="3386"/>
      <c r="Q22" s="1261"/>
      <c r="R22" s="665"/>
      <c r="S22" s="666"/>
      <c r="T22" s="665"/>
      <c r="U22" s="666"/>
      <c r="V22" s="665"/>
      <c r="W22" s="666"/>
      <c r="X22" s="1263"/>
      <c r="Y22" s="3386"/>
      <c r="Z22" s="1262"/>
      <c r="AA22" s="1262">
        <v>1</v>
      </c>
      <c r="AB22" s="1262">
        <v>1</v>
      </c>
      <c r="AC22" s="1262">
        <v>1</v>
      </c>
    </row>
    <row r="23" spans="1:29" ht="15">
      <c r="A23" s="367"/>
      <c r="B23" s="390" t="s">
        <v>1814</v>
      </c>
      <c r="C23" s="1752">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8"/>
      <c r="M23" s="859"/>
      <c r="N23" s="859"/>
      <c r="O23" s="867"/>
      <c r="P23" s="3386"/>
      <c r="Q23" s="1261" t="str">
        <f>B23</f>
        <v>环境质量</v>
      </c>
      <c r="R23" s="665" t="s">
        <v>14</v>
      </c>
      <c r="S23" s="666">
        <f>F23</f>
        <v>100</v>
      </c>
      <c r="T23" s="665" t="s">
        <v>14</v>
      </c>
      <c r="U23" s="666">
        <f>H23</f>
        <v>100</v>
      </c>
      <c r="V23" s="665" t="s">
        <v>14</v>
      </c>
      <c r="W23" s="666">
        <f>J23</f>
        <v>100</v>
      </c>
      <c r="X23" s="1263"/>
      <c r="Y23" s="3386"/>
      <c r="Z23" s="1262" t="str">
        <f>Q23</f>
        <v>环境质量</v>
      </c>
      <c r="AA23" s="1262">
        <f t="shared" si="3"/>
        <v>1</v>
      </c>
      <c r="AB23" s="1262">
        <f t="shared" si="4"/>
        <v>1</v>
      </c>
      <c r="AC23" s="1262">
        <f t="shared" si="5"/>
        <v>1</v>
      </c>
    </row>
    <row r="24" spans="1:29" ht="15">
      <c r="A24" s="367"/>
      <c r="B24" s="584"/>
      <c r="C24" s="386"/>
      <c r="D24" s="387"/>
      <c r="E24" s="1750"/>
      <c r="F24" s="388"/>
      <c r="G24" s="1749"/>
      <c r="H24" s="387"/>
      <c r="I24" s="1750"/>
      <c r="J24" s="387"/>
      <c r="K24" s="539"/>
      <c r="L24" s="868"/>
      <c r="M24" s="859"/>
      <c r="N24" s="859"/>
      <c r="O24" s="867"/>
      <c r="P24" s="3386"/>
      <c r="Q24" s="1261"/>
      <c r="R24" s="665"/>
      <c r="S24" s="666"/>
      <c r="T24" s="665"/>
      <c r="U24" s="666"/>
      <c r="V24" s="665"/>
      <c r="W24" s="666"/>
      <c r="X24" s="1263"/>
      <c r="Y24" s="3386"/>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8"/>
      <c r="M25" s="859"/>
      <c r="N25" s="859"/>
      <c r="O25" s="867"/>
      <c r="P25" s="3386"/>
      <c r="Q25" s="1261">
        <f>B25</f>
        <v>111</v>
      </c>
      <c r="R25" s="665" t="s">
        <v>14</v>
      </c>
      <c r="S25" s="666">
        <f>F25</f>
        <v>100</v>
      </c>
      <c r="T25" s="665" t="s">
        <v>14</v>
      </c>
      <c r="U25" s="666">
        <f>H25</f>
        <v>100</v>
      </c>
      <c r="V25" s="665" t="s">
        <v>14</v>
      </c>
      <c r="W25" s="666">
        <f>J25</f>
        <v>100</v>
      </c>
      <c r="X25" s="1263"/>
      <c r="Y25" s="3386"/>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8"/>
      <c r="M26" s="859"/>
      <c r="N26" s="859"/>
      <c r="O26" s="867"/>
      <c r="P26" s="3386"/>
      <c r="Q26" s="1261">
        <f t="shared" ref="Q26:Q40" si="11">B26</f>
        <v>111</v>
      </c>
      <c r="R26" s="665" t="s">
        <v>14</v>
      </c>
      <c r="S26" s="666">
        <f>F26</f>
        <v>100</v>
      </c>
      <c r="T26" s="665" t="s">
        <v>14</v>
      </c>
      <c r="U26" s="666">
        <f>H26</f>
        <v>100</v>
      </c>
      <c r="V26" s="665" t="s">
        <v>14</v>
      </c>
      <c r="W26" s="666">
        <f>J26</f>
        <v>100</v>
      </c>
      <c r="X26" s="1263"/>
      <c r="Y26" s="3386"/>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60"/>
      <c r="M27" s="861"/>
      <c r="N27" s="861"/>
      <c r="O27" s="862"/>
      <c r="P27" s="3386"/>
      <c r="Q27" s="528">
        <f t="shared" si="11"/>
        <v>111</v>
      </c>
      <c r="R27" s="662" t="s">
        <v>14</v>
      </c>
      <c r="S27" s="663">
        <f>F27</f>
        <v>100</v>
      </c>
      <c r="T27" s="662" t="s">
        <v>14</v>
      </c>
      <c r="U27" s="663">
        <f>H27</f>
        <v>100</v>
      </c>
      <c r="V27" s="662" t="s">
        <v>14</v>
      </c>
      <c r="W27" s="663">
        <f>J27</f>
        <v>100</v>
      </c>
      <c r="X27" s="664"/>
      <c r="Y27" s="3386"/>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8"/>
      <c r="M28" s="859"/>
      <c r="N28" s="859"/>
      <c r="O28" s="867"/>
      <c r="P28" s="3386"/>
      <c r="Q28" s="1261">
        <f t="shared" si="11"/>
        <v>111</v>
      </c>
      <c r="R28" s="665" t="s">
        <v>14</v>
      </c>
      <c r="S28" s="666">
        <f t="shared" ref="S28:S40" si="12">F28</f>
        <v>100</v>
      </c>
      <c r="T28" s="665" t="s">
        <v>14</v>
      </c>
      <c r="U28" s="666">
        <f t="shared" ref="U28:U40" si="13">H28</f>
        <v>100</v>
      </c>
      <c r="V28" s="665" t="s">
        <v>14</v>
      </c>
      <c r="W28" s="666">
        <f t="shared" ref="W28:W40" si="14">J28</f>
        <v>100</v>
      </c>
      <c r="X28" s="1263"/>
      <c r="Y28" s="3386"/>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6"/>
      <c r="L29" s="868"/>
      <c r="M29" s="859"/>
      <c r="N29" s="859"/>
      <c r="O29" s="867"/>
      <c r="P29" s="3387" t="s">
        <v>1696</v>
      </c>
      <c r="Q29" s="1261" t="str">
        <f t="shared" si="11"/>
        <v>建筑类型</v>
      </c>
      <c r="R29" s="665" t="s">
        <v>14</v>
      </c>
      <c r="S29" s="666">
        <f t="shared" si="12"/>
        <v>100</v>
      </c>
      <c r="T29" s="665" t="s">
        <v>14</v>
      </c>
      <c r="U29" s="666">
        <f t="shared" si="13"/>
        <v>100</v>
      </c>
      <c r="V29" s="665" t="s">
        <v>14</v>
      </c>
      <c r="W29" s="666">
        <f t="shared" si="14"/>
        <v>100</v>
      </c>
      <c r="X29" s="1263"/>
      <c r="Y29" s="3388"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6"/>
      <c r="M30" s="869"/>
      <c r="N30" s="869"/>
      <c r="O30" s="870"/>
      <c r="P30" s="3388"/>
      <c r="Q30" s="529" t="str">
        <f t="shared" si="11"/>
        <v>项目建筑规模</v>
      </c>
      <c r="R30" s="667" t="s">
        <v>14</v>
      </c>
      <c r="S30" s="668" t="e">
        <f t="shared" si="12"/>
        <v>#N/A</v>
      </c>
      <c r="T30" s="667" t="s">
        <v>14</v>
      </c>
      <c r="U30" s="668" t="e">
        <f t="shared" si="13"/>
        <v>#N/A</v>
      </c>
      <c r="V30" s="667" t="s">
        <v>14</v>
      </c>
      <c r="W30" s="668" t="e">
        <f t="shared" si="14"/>
        <v>#N/A</v>
      </c>
      <c r="X30" s="669"/>
      <c r="Y30" s="3388"/>
      <c r="Z30" s="670"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8"/>
      <c r="M31" s="859"/>
      <c r="N31" s="859"/>
      <c r="O31" s="867"/>
      <c r="P31" s="3388"/>
      <c r="Q31" s="1261" t="str">
        <f t="shared" si="11"/>
        <v>建筑结构</v>
      </c>
      <c r="R31" s="665" t="s">
        <v>14</v>
      </c>
      <c r="S31" s="666">
        <f t="shared" si="12"/>
        <v>100</v>
      </c>
      <c r="T31" s="665" t="s">
        <v>14</v>
      </c>
      <c r="U31" s="666">
        <f t="shared" si="13"/>
        <v>100</v>
      </c>
      <c r="V31" s="665" t="s">
        <v>14</v>
      </c>
      <c r="W31" s="666">
        <f t="shared" si="14"/>
        <v>100</v>
      </c>
      <c r="X31" s="1263"/>
      <c r="Y31" s="3388"/>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8"/>
      <c r="M32" s="859"/>
      <c r="N32" s="859"/>
      <c r="O32" s="867"/>
      <c r="P32" s="3388"/>
      <c r="Q32" s="1261" t="str">
        <f t="shared" si="11"/>
        <v>公共部分装修</v>
      </c>
      <c r="R32" s="665" t="s">
        <v>14</v>
      </c>
      <c r="S32" s="666">
        <f t="shared" si="12"/>
        <v>100</v>
      </c>
      <c r="T32" s="665" t="s">
        <v>14</v>
      </c>
      <c r="U32" s="666">
        <f t="shared" si="13"/>
        <v>100</v>
      </c>
      <c r="V32" s="665" t="s">
        <v>14</v>
      </c>
      <c r="W32" s="666">
        <f t="shared" si="14"/>
        <v>100</v>
      </c>
      <c r="X32" s="1263"/>
      <c r="Y32" s="3388"/>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8"/>
      <c r="M33" s="859"/>
      <c r="N33" s="859"/>
      <c r="O33" s="867"/>
      <c r="P33" s="3388"/>
      <c r="Q33" s="1261" t="str">
        <f t="shared" si="11"/>
        <v>成新度</v>
      </c>
      <c r="R33" s="665" t="s">
        <v>14</v>
      </c>
      <c r="S33" s="666" t="e">
        <f t="shared" si="12"/>
        <v>#N/A</v>
      </c>
      <c r="T33" s="665" t="s">
        <v>14</v>
      </c>
      <c r="U33" s="666" t="e">
        <f t="shared" si="13"/>
        <v>#N/A</v>
      </c>
      <c r="V33" s="665" t="s">
        <v>14</v>
      </c>
      <c r="W33" s="666" t="e">
        <f t="shared" si="14"/>
        <v>#N/A</v>
      </c>
      <c r="X33" s="1263"/>
      <c r="Y33" s="3388"/>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60"/>
      <c r="M34" s="861"/>
      <c r="N34" s="861"/>
      <c r="O34" s="862"/>
      <c r="P34" s="3388"/>
      <c r="Q34" s="528" t="str">
        <f t="shared" si="11"/>
        <v>物业管理</v>
      </c>
      <c r="R34" s="662" t="s">
        <v>14</v>
      </c>
      <c r="S34" s="663">
        <f t="shared" si="12"/>
        <v>100</v>
      </c>
      <c r="T34" s="662" t="s">
        <v>14</v>
      </c>
      <c r="U34" s="663">
        <f t="shared" si="13"/>
        <v>100</v>
      </c>
      <c r="V34" s="662" t="s">
        <v>14</v>
      </c>
      <c r="W34" s="663">
        <f t="shared" si="14"/>
        <v>100</v>
      </c>
      <c r="X34" s="664"/>
      <c r="Y34" s="338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8"/>
      <c r="M35" s="859"/>
      <c r="N35" s="859"/>
      <c r="O35" s="867"/>
      <c r="P35" s="3388" t="s">
        <v>1696</v>
      </c>
      <c r="Q35" s="1261" t="str">
        <f t="shared" si="11"/>
        <v>市政基础设施</v>
      </c>
      <c r="R35" s="665" t="s">
        <v>14</v>
      </c>
      <c r="S35" s="666">
        <f t="shared" si="12"/>
        <v>100</v>
      </c>
      <c r="T35" s="665" t="s">
        <v>14</v>
      </c>
      <c r="U35" s="666">
        <f t="shared" si="13"/>
        <v>100</v>
      </c>
      <c r="V35" s="665" t="s">
        <v>14</v>
      </c>
      <c r="W35" s="666">
        <f t="shared" si="14"/>
        <v>100</v>
      </c>
      <c r="X35" s="1263"/>
      <c r="Y35" s="3388"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8"/>
      <c r="M36" s="859"/>
      <c r="N36" s="859"/>
      <c r="O36" s="867"/>
      <c r="P36" s="3388"/>
      <c r="Q36" s="1261" t="str">
        <f t="shared" si="11"/>
        <v>内部装修</v>
      </c>
      <c r="R36" s="665" t="s">
        <v>14</v>
      </c>
      <c r="S36" s="666">
        <f t="shared" si="12"/>
        <v>100</v>
      </c>
      <c r="T36" s="665" t="s">
        <v>14</v>
      </c>
      <c r="U36" s="666">
        <f t="shared" si="13"/>
        <v>100</v>
      </c>
      <c r="V36" s="665" t="s">
        <v>14</v>
      </c>
      <c r="W36" s="666">
        <f t="shared" si="14"/>
        <v>100</v>
      </c>
      <c r="X36" s="1263"/>
      <c r="Y36" s="3388"/>
      <c r="Z36" s="1262" t="str">
        <f t="shared" si="15"/>
        <v>内部装修</v>
      </c>
      <c r="AA36" s="1262">
        <f t="shared" si="3"/>
        <v>1</v>
      </c>
      <c r="AB36" s="1262">
        <f t="shared" si="4"/>
        <v>1</v>
      </c>
      <c r="AC36" s="1262">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8"/>
      <c r="M37" s="859"/>
      <c r="N37" s="859"/>
      <c r="O37" s="867"/>
      <c r="P37" s="3388"/>
      <c r="Q37" s="1261" t="str">
        <f t="shared" si="11"/>
        <v>内部装修状况</v>
      </c>
      <c r="R37" s="665" t="s">
        <v>14</v>
      </c>
      <c r="S37" s="666">
        <f t="shared" si="12"/>
        <v>100</v>
      </c>
      <c r="T37" s="665" t="s">
        <v>14</v>
      </c>
      <c r="U37" s="666">
        <f t="shared" si="13"/>
        <v>100</v>
      </c>
      <c r="V37" s="665" t="s">
        <v>14</v>
      </c>
      <c r="W37" s="666">
        <f t="shared" si="14"/>
        <v>100</v>
      </c>
      <c r="X37" s="1263"/>
      <c r="Y37" s="3388"/>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6"/>
      <c r="M38" s="869"/>
      <c r="N38" s="869"/>
      <c r="O38" s="870"/>
      <c r="P38" s="3388"/>
      <c r="Q38" s="529">
        <f t="shared" si="11"/>
        <v>111</v>
      </c>
      <c r="R38" s="667" t="s">
        <v>14</v>
      </c>
      <c r="S38" s="668">
        <f t="shared" si="12"/>
        <v>100</v>
      </c>
      <c r="T38" s="667" t="s">
        <v>14</v>
      </c>
      <c r="U38" s="668">
        <f t="shared" si="13"/>
        <v>100</v>
      </c>
      <c r="V38" s="667" t="s">
        <v>14</v>
      </c>
      <c r="W38" s="668">
        <f t="shared" si="14"/>
        <v>100</v>
      </c>
      <c r="X38" s="669"/>
      <c r="Y38" s="3388"/>
      <c r="Z38" s="670">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8"/>
      <c r="M39" s="859"/>
      <c r="N39" s="859"/>
      <c r="O39" s="867"/>
      <c r="P39" s="3388"/>
      <c r="Q39" s="1261">
        <f t="shared" si="11"/>
        <v>111</v>
      </c>
      <c r="R39" s="665" t="s">
        <v>14</v>
      </c>
      <c r="S39" s="666">
        <f t="shared" si="12"/>
        <v>100</v>
      </c>
      <c r="T39" s="665" t="s">
        <v>14</v>
      </c>
      <c r="U39" s="666">
        <f t="shared" si="13"/>
        <v>100</v>
      </c>
      <c r="V39" s="665" t="s">
        <v>14</v>
      </c>
      <c r="W39" s="666">
        <f t="shared" si="14"/>
        <v>100</v>
      </c>
      <c r="X39" s="1263"/>
      <c r="Y39" s="3388"/>
      <c r="Z39" s="1262">
        <f t="shared" si="15"/>
        <v>111</v>
      </c>
      <c r="AA39" s="1262">
        <f t="shared" si="3"/>
        <v>1</v>
      </c>
      <c r="AB39" s="1262">
        <f t="shared" si="4"/>
        <v>1</v>
      </c>
      <c r="AC39" s="1262">
        <f t="shared" si="5"/>
        <v>1</v>
      </c>
    </row>
    <row r="40" spans="1:29" ht="15.75" thickBot="1">
      <c r="A40" s="413"/>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8"/>
      <c r="M40" s="859"/>
      <c r="N40" s="859"/>
      <c r="O40" s="867"/>
      <c r="P40" s="3450"/>
      <c r="Q40" s="1261">
        <f t="shared" si="11"/>
        <v>111</v>
      </c>
      <c r="R40" s="665" t="s">
        <v>14</v>
      </c>
      <c r="S40" s="666">
        <f t="shared" si="12"/>
        <v>100</v>
      </c>
      <c r="T40" s="665" t="s">
        <v>14</v>
      </c>
      <c r="U40" s="666">
        <f t="shared" si="13"/>
        <v>100</v>
      </c>
      <c r="V40" s="665" t="s">
        <v>14</v>
      </c>
      <c r="W40" s="666">
        <f t="shared" si="14"/>
        <v>100</v>
      </c>
      <c r="X40" s="1263"/>
      <c r="Y40" s="3450"/>
      <c r="Z40" s="1262">
        <f t="shared" si="15"/>
        <v>111</v>
      </c>
      <c r="AA40" s="1262">
        <f t="shared" si="3"/>
        <v>1</v>
      </c>
      <c r="AB40" s="1262">
        <f t="shared" si="4"/>
        <v>1</v>
      </c>
      <c r="AC40" s="1262">
        <f t="shared" si="5"/>
        <v>1</v>
      </c>
    </row>
    <row r="41" spans="1:29" ht="15">
      <c r="A41" s="414" t="s">
        <v>1708</v>
      </c>
      <c r="B41" s="415"/>
      <c r="C41" s="1079" t="s">
        <v>0</v>
      </c>
      <c r="D41" s="416"/>
      <c r="E41" s="417"/>
      <c r="F41" s="418"/>
      <c r="G41" s="419"/>
      <c r="H41" s="420"/>
      <c r="I41" s="417"/>
      <c r="J41" s="420"/>
      <c r="K41" s="672"/>
      <c r="L41" s="871"/>
      <c r="M41" s="859"/>
      <c r="N41" s="859"/>
      <c r="O41" s="859"/>
      <c r="P41" s="3384" t="str">
        <f>A41</f>
        <v>成交单价（元/平方米）</v>
      </c>
      <c r="Q41" s="3384"/>
      <c r="R41" s="3389">
        <f>E41</f>
        <v>0</v>
      </c>
      <c r="S41" s="3389"/>
      <c r="T41" s="3389">
        <f>G41</f>
        <v>0</v>
      </c>
      <c r="U41" s="3389"/>
      <c r="V41" s="3389">
        <f>I41</f>
        <v>0</v>
      </c>
      <c r="W41" s="3389"/>
      <c r="X41" s="385"/>
      <c r="Y41" s="671"/>
      <c r="Z41" s="385"/>
      <c r="AA41" s="385"/>
      <c r="AB41" s="385"/>
      <c r="AC41" s="385"/>
    </row>
    <row r="42" spans="1:29" ht="15.75" thickBot="1">
      <c r="A42" s="421" t="s">
        <v>1793</v>
      </c>
      <c r="B42" s="422"/>
      <c r="C42" s="1080" t="e">
        <f>R43</f>
        <v>#DIV/0!</v>
      </c>
      <c r="D42" s="2137" t="s">
        <v>2137</v>
      </c>
      <c r="E42" s="1081" t="e">
        <f>R42</f>
        <v>#DIV/0!</v>
      </c>
      <c r="F42" s="2138"/>
      <c r="G42" s="1080" t="e">
        <f>T42</f>
        <v>#DIV/0!</v>
      </c>
      <c r="H42" s="2138"/>
      <c r="I42" s="1081" t="e">
        <f>V42</f>
        <v>#DIV/0!</v>
      </c>
      <c r="J42" s="2138"/>
      <c r="K42" s="2140">
        <f>F42+H42+J42</f>
        <v>0</v>
      </c>
      <c r="L42" s="871"/>
      <c r="M42" s="859"/>
      <c r="N42" s="859"/>
      <c r="O42" s="859"/>
      <c r="P42" s="3384" t="str">
        <f>A42</f>
        <v>比较价值（元/平方米）</v>
      </c>
      <c r="Q42" s="3384"/>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1"/>
      <c r="M43" s="859"/>
      <c r="N43" s="859"/>
      <c r="O43" s="859"/>
      <c r="P43" s="3378" t="str">
        <f>A43</f>
        <v>估价对象XX用房的比较价值（楼面单价，元/平方米）</v>
      </c>
      <c r="Q43" s="3379"/>
      <c r="R43" s="3446" t="e">
        <f>IF(F1="售价",ROUND(IF(D42="简单平均",AVERAGE(R42:V42),R42*F42+T42*H42+V42*J42),0),ROUND(IF(D42="简单平均",AVERAGE(R42:V42),R42*F42+T42*H42+V42*J42),1))</f>
        <v>#DIV/0!</v>
      </c>
      <c r="S43" s="3446"/>
      <c r="T43" s="3446"/>
      <c r="U43" s="3446"/>
      <c r="V43" s="3446"/>
      <c r="W43" s="3446"/>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834"/>
      <c r="M46" s="859"/>
      <c r="N46" s="859"/>
      <c r="O46" s="859"/>
    </row>
    <row r="47" spans="1:29"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834"/>
      <c r="M47" s="859"/>
      <c r="N47" s="859"/>
      <c r="O47" s="859"/>
    </row>
    <row r="48" spans="1:29"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874"/>
      <c r="M48" s="872"/>
      <c r="N48" s="872"/>
      <c r="O48" s="872"/>
    </row>
    <row r="49" spans="1:17" s="435"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6"/>
      <c r="Q51" s="437"/>
    </row>
    <row r="52" spans="1:17" s="440" customFormat="1" ht="15">
      <c r="A52" s="438" t="s">
        <v>1679</v>
      </c>
      <c r="B52" s="439"/>
      <c r="C52" s="1101" t="str">
        <f>YEAR(C7)&amp;"-"&amp;MONTH(C7)</f>
        <v>2025-5</v>
      </c>
      <c r="D52" s="1102">
        <f>EDATE(C52,-1)</f>
        <v>45748</v>
      </c>
      <c r="E52" s="1102">
        <f t="shared" ref="E52:O52" si="16">EDATE(D52,-1)</f>
        <v>45717</v>
      </c>
      <c r="F52" s="1102">
        <f t="shared" si="16"/>
        <v>45689</v>
      </c>
      <c r="G52" s="1102">
        <f t="shared" si="16"/>
        <v>45658</v>
      </c>
      <c r="H52" s="1102">
        <f t="shared" si="16"/>
        <v>45627</v>
      </c>
      <c r="I52" s="1102">
        <f t="shared" si="16"/>
        <v>45597</v>
      </c>
      <c r="J52" s="1102">
        <f t="shared" si="16"/>
        <v>45566</v>
      </c>
      <c r="K52" s="1102">
        <f t="shared" si="16"/>
        <v>45536</v>
      </c>
      <c r="L52" s="1102">
        <f t="shared" si="16"/>
        <v>45505</v>
      </c>
      <c r="M52" s="1102">
        <f t="shared" si="16"/>
        <v>45474</v>
      </c>
      <c r="N52" s="1102">
        <f t="shared" si="16"/>
        <v>45444</v>
      </c>
      <c r="O52" s="1102">
        <f t="shared" si="16"/>
        <v>45413</v>
      </c>
    </row>
    <row r="53" spans="1:17" s="102" customFormat="1" ht="15">
      <c r="A53" s="441"/>
      <c r="B53" s="442"/>
      <c r="C53" s="1100">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5"/>
      <c r="O54" s="2536"/>
      <c r="P54" s="437"/>
      <c r="Q54" s="437"/>
    </row>
    <row r="55" spans="1:17" s="102" customFormat="1" ht="15">
      <c r="A55" s="453" t="s">
        <v>1681</v>
      </c>
      <c r="B55" s="442"/>
      <c r="C55" s="454" t="s">
        <v>1776</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9" t="s">
        <v>1719</v>
      </c>
      <c r="B57" s="458" t="s">
        <v>1685</v>
      </c>
      <c r="C57" s="459">
        <f>C9</f>
        <v>0</v>
      </c>
      <c r="D57" s="460"/>
      <c r="E57" s="460"/>
      <c r="F57" s="460"/>
      <c r="G57" s="460"/>
      <c r="H57" s="460"/>
      <c r="I57" s="460"/>
      <c r="J57" s="460"/>
      <c r="K57" s="461"/>
      <c r="L57" s="462"/>
      <c r="M57" s="463"/>
      <c r="N57" s="877"/>
      <c r="O57" s="877"/>
      <c r="P57" s="40"/>
      <c r="Q57" s="437"/>
    </row>
    <row r="58" spans="1:17" ht="15.75" thickBot="1">
      <c r="A58" s="367"/>
      <c r="B58" s="464"/>
      <c r="C58" s="465">
        <v>100</v>
      </c>
      <c r="D58" s="465"/>
      <c r="E58" s="465"/>
      <c r="F58" s="465"/>
      <c r="G58" s="465"/>
      <c r="H58" s="465"/>
      <c r="I58" s="465"/>
      <c r="J58" s="465"/>
      <c r="K58" s="465"/>
      <c r="L58" s="465"/>
      <c r="M58" s="466"/>
      <c r="N58" s="878"/>
      <c r="O58" s="878"/>
      <c r="P58" s="40"/>
      <c r="Q58" s="437"/>
    </row>
    <row r="59" spans="1:17" ht="27.75" thickTop="1">
      <c r="A59" s="367"/>
      <c r="B59" s="467" t="s">
        <v>1688</v>
      </c>
      <c r="C59" s="511"/>
      <c r="D59" s="511"/>
      <c r="E59" s="511"/>
      <c r="F59" s="511"/>
      <c r="G59" s="511"/>
      <c r="H59" s="511"/>
      <c r="I59" s="511"/>
      <c r="J59" s="511"/>
      <c r="K59" s="512"/>
      <c r="L59" s="513"/>
      <c r="M59" s="514"/>
      <c r="N59" s="877"/>
      <c r="O59" s="877"/>
      <c r="P59" s="40"/>
      <c r="Q59" s="437"/>
    </row>
    <row r="60" spans="1:17" ht="15.75" thickBot="1">
      <c r="A60" s="367"/>
      <c r="B60" s="472"/>
      <c r="C60" s="465"/>
      <c r="D60" s="465"/>
      <c r="E60" s="465"/>
      <c r="F60" s="465"/>
      <c r="G60" s="465"/>
      <c r="H60" s="465"/>
      <c r="I60" s="465"/>
      <c r="J60" s="465"/>
      <c r="K60" s="465"/>
      <c r="L60" s="465"/>
      <c r="M60" s="466"/>
      <c r="N60" s="878"/>
      <c r="O60" s="878"/>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8"/>
      <c r="O61" s="878"/>
      <c r="P61" s="40"/>
      <c r="Q61" s="437"/>
    </row>
    <row r="62" spans="1:17" ht="15">
      <c r="A62" s="367"/>
      <c r="B62" s="477"/>
      <c r="C62" s="478">
        <v>0</v>
      </c>
      <c r="D62" s="478">
        <v>2</v>
      </c>
      <c r="E62" s="478"/>
      <c r="F62" s="478"/>
      <c r="G62" s="478"/>
      <c r="H62" s="478"/>
      <c r="I62" s="478"/>
      <c r="J62" s="478"/>
      <c r="K62" s="479"/>
      <c r="L62" s="480"/>
      <c r="M62" s="481"/>
      <c r="N62" s="877"/>
      <c r="O62" s="877"/>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8" customFormat="1" ht="15.75" thickTop="1">
      <c r="A64" s="482"/>
      <c r="B64" s="467">
        <f>B12</f>
        <v>111</v>
      </c>
      <c r="C64" s="483"/>
      <c r="D64" s="483"/>
      <c r="E64" s="483"/>
      <c r="F64" s="483"/>
      <c r="G64" s="483"/>
      <c r="H64" s="484"/>
      <c r="I64" s="484"/>
      <c r="J64" s="484"/>
      <c r="K64" s="484"/>
      <c r="L64" s="485"/>
      <c r="M64" s="486"/>
      <c r="N64" s="879"/>
      <c r="O64" s="879"/>
      <c r="P64" s="487"/>
      <c r="Q64" s="488"/>
    </row>
    <row r="65" spans="1:17" s="408" customFormat="1" ht="15.75" thickBot="1">
      <c r="A65" s="482"/>
      <c r="B65" s="472"/>
      <c r="C65" s="489"/>
      <c r="D65" s="465"/>
      <c r="E65" s="465"/>
      <c r="F65" s="465"/>
      <c r="G65" s="465"/>
      <c r="H65" s="465"/>
      <c r="I65" s="465"/>
      <c r="J65" s="465"/>
      <c r="K65" s="465"/>
      <c r="L65" s="465"/>
      <c r="M65" s="466"/>
      <c r="N65" s="878"/>
      <c r="O65" s="878"/>
      <c r="P65" s="487"/>
      <c r="Q65" s="488"/>
    </row>
    <row r="66" spans="1:17" s="408" customFormat="1" ht="15.75" thickTop="1">
      <c r="A66" s="482"/>
      <c r="B66" s="467">
        <f>B13</f>
        <v>111</v>
      </c>
      <c r="C66" s="483"/>
      <c r="D66" s="483"/>
      <c r="E66" s="483"/>
      <c r="F66" s="483"/>
      <c r="G66" s="483"/>
      <c r="H66" s="484"/>
      <c r="I66" s="484"/>
      <c r="J66" s="484"/>
      <c r="K66" s="484"/>
      <c r="L66" s="485"/>
      <c r="M66" s="486"/>
      <c r="N66" s="879"/>
      <c r="O66" s="879"/>
      <c r="Q66" s="490"/>
    </row>
    <row r="67" spans="1:17" s="408" customFormat="1" ht="15.75" thickBot="1">
      <c r="A67" s="482"/>
      <c r="B67" s="472"/>
      <c r="C67" s="489"/>
      <c r="D67" s="465"/>
      <c r="E67" s="465"/>
      <c r="F67" s="465"/>
      <c r="G67" s="489"/>
      <c r="H67" s="491"/>
      <c r="I67" s="491"/>
      <c r="J67" s="491"/>
      <c r="K67" s="491"/>
      <c r="L67" s="491"/>
      <c r="M67" s="492"/>
      <c r="N67" s="879"/>
      <c r="O67" s="879"/>
      <c r="P67" s="487"/>
      <c r="Q67" s="488"/>
    </row>
    <row r="68" spans="1:17" s="408" customFormat="1" ht="15.75" thickTop="1">
      <c r="A68" s="482"/>
      <c r="B68" s="475">
        <f>B14</f>
        <v>111</v>
      </c>
      <c r="C68" s="31"/>
      <c r="D68" s="31"/>
      <c r="E68" s="31"/>
      <c r="F68" s="31"/>
      <c r="G68" s="31"/>
      <c r="H68" s="493"/>
      <c r="I68" s="493"/>
      <c r="J68" s="493"/>
      <c r="K68" s="493"/>
      <c r="L68" s="494"/>
      <c r="M68" s="495"/>
      <c r="N68" s="879"/>
      <c r="O68" s="879"/>
      <c r="P68" s="496"/>
      <c r="Q68" s="488"/>
    </row>
    <row r="69" spans="1:17" s="408" customFormat="1" ht="15.75" thickBot="1">
      <c r="A69" s="497"/>
      <c r="B69" s="498"/>
      <c r="C69" s="499"/>
      <c r="D69" s="499"/>
      <c r="E69" s="499"/>
      <c r="F69" s="499"/>
      <c r="G69" s="499"/>
      <c r="H69" s="500"/>
      <c r="I69" s="500"/>
      <c r="J69" s="500"/>
      <c r="K69" s="500"/>
      <c r="L69" s="500"/>
      <c r="M69" s="501"/>
      <c r="N69" s="879"/>
      <c r="O69" s="879"/>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7"/>
      <c r="O70" s="877"/>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7"/>
      <c r="O72" s="877"/>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7"/>
      <c r="O74" s="877"/>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1"/>
      <c r="N76" s="878"/>
      <c r="O76" s="878"/>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8"/>
      <c r="O77" s="878"/>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7"/>
      <c r="O78" s="877"/>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70"/>
      <c r="B80" s="467">
        <f>B25</f>
        <v>111</v>
      </c>
      <c r="C80" s="483"/>
      <c r="D80" s="483"/>
      <c r="E80" s="483"/>
      <c r="F80" s="483"/>
      <c r="G80" s="483"/>
      <c r="H80" s="483"/>
      <c r="I80" s="483"/>
      <c r="J80" s="483"/>
      <c r="K80" s="483"/>
      <c r="L80" s="508"/>
      <c r="M80" s="509"/>
      <c r="N80" s="876"/>
      <c r="O80" s="876"/>
      <c r="P80" s="40"/>
      <c r="Q80" s="437"/>
    </row>
    <row r="81" spans="1:17" s="102" customFormat="1" ht="15.75" thickBot="1">
      <c r="A81" s="370"/>
      <c r="B81" s="472"/>
      <c r="C81" s="489"/>
      <c r="D81" s="465"/>
      <c r="E81" s="465"/>
      <c r="F81" s="465"/>
      <c r="G81" s="465"/>
      <c r="H81" s="465"/>
      <c r="I81" s="465"/>
      <c r="J81" s="465"/>
      <c r="K81" s="465"/>
      <c r="L81" s="465"/>
      <c r="M81" s="466"/>
      <c r="N81" s="878"/>
      <c r="O81" s="878"/>
      <c r="P81" s="40"/>
      <c r="Q81" s="437"/>
    </row>
    <row r="82" spans="1:17" s="102" customFormat="1" ht="15.75" thickTop="1">
      <c r="A82" s="370"/>
      <c r="B82" s="467">
        <f>B26</f>
        <v>111</v>
      </c>
      <c r="C82" s="483"/>
      <c r="D82" s="483"/>
      <c r="E82" s="483"/>
      <c r="F82" s="483"/>
      <c r="G82" s="483"/>
      <c r="H82" s="483"/>
      <c r="I82" s="483"/>
      <c r="J82" s="483"/>
      <c r="K82" s="483"/>
      <c r="L82" s="508"/>
      <c r="M82" s="509"/>
      <c r="N82" s="876"/>
      <c r="O82" s="876"/>
      <c r="P82" s="40"/>
      <c r="Q82" s="437"/>
    </row>
    <row r="83" spans="1:17" s="102" customFormat="1" ht="15.75" thickBot="1">
      <c r="A83" s="370"/>
      <c r="B83" s="472"/>
      <c r="C83" s="489"/>
      <c r="D83" s="465"/>
      <c r="E83" s="465"/>
      <c r="F83" s="465"/>
      <c r="G83" s="465"/>
      <c r="H83" s="465"/>
      <c r="I83" s="465"/>
      <c r="J83" s="465"/>
      <c r="K83" s="465"/>
      <c r="L83" s="465"/>
      <c r="M83" s="466"/>
      <c r="N83" s="878"/>
      <c r="O83" s="878"/>
      <c r="P83" s="40"/>
      <c r="Q83" s="437"/>
    </row>
    <row r="84" spans="1:17" s="408" customFormat="1" ht="15.75" thickTop="1">
      <c r="A84" s="482"/>
      <c r="B84" s="467">
        <f>B27</f>
        <v>111</v>
      </c>
      <c r="C84" s="483"/>
      <c r="D84" s="483"/>
      <c r="E84" s="483"/>
      <c r="F84" s="483"/>
      <c r="G84" s="483"/>
      <c r="H84" s="483"/>
      <c r="I84" s="483"/>
      <c r="J84" s="483"/>
      <c r="K84" s="483"/>
      <c r="L84" s="508"/>
      <c r="M84" s="509"/>
      <c r="N84" s="879"/>
      <c r="O84" s="879"/>
      <c r="P84" s="487"/>
      <c r="Q84" s="488"/>
    </row>
    <row r="85" spans="1:17" s="408"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7"/>
      <c r="B86" s="475">
        <f>B28</f>
        <v>111</v>
      </c>
      <c r="C86" s="31"/>
      <c r="D86" s="31"/>
      <c r="E86" s="31"/>
      <c r="F86" s="31"/>
      <c r="G86" s="515"/>
      <c r="H86" s="515"/>
      <c r="I86" s="515"/>
      <c r="J86" s="515"/>
      <c r="K86" s="516"/>
      <c r="L86" s="517"/>
      <c r="M86" s="518"/>
      <c r="N86" s="877"/>
      <c r="O86" s="877"/>
      <c r="P86" s="40"/>
      <c r="Q86" s="437"/>
    </row>
    <row r="87" spans="1:17" ht="15.75" thickBot="1">
      <c r="A87" s="375"/>
      <c r="B87" s="498"/>
      <c r="C87" s="499"/>
      <c r="D87" s="499"/>
      <c r="E87" s="499"/>
      <c r="F87" s="499"/>
      <c r="G87" s="519"/>
      <c r="H87" s="519"/>
      <c r="I87" s="519"/>
      <c r="J87" s="519"/>
      <c r="K87" s="519"/>
      <c r="L87" s="519"/>
      <c r="M87" s="520"/>
      <c r="N87" s="878"/>
      <c r="O87" s="878"/>
      <c r="P87" s="40"/>
      <c r="Q87" s="437"/>
    </row>
    <row r="88" spans="1:17">
      <c r="A88" s="379" t="s">
        <v>1694</v>
      </c>
      <c r="B88" s="458" t="s">
        <v>1736</v>
      </c>
      <c r="C88" s="460"/>
      <c r="D88" s="460"/>
      <c r="E88" s="460"/>
      <c r="F88" s="460"/>
      <c r="G88" s="460"/>
      <c r="H88" s="460"/>
      <c r="I88" s="460"/>
      <c r="J88" s="460"/>
      <c r="K88" s="461"/>
      <c r="L88" s="462"/>
      <c r="M88" s="463"/>
      <c r="N88" s="877"/>
      <c r="O88" s="877"/>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8" customFormat="1">
      <c r="A91" s="406"/>
      <c r="B91" s="521"/>
      <c r="C91" s="6"/>
      <c r="D91" s="6"/>
      <c r="E91" s="6"/>
      <c r="F91" s="6"/>
      <c r="G91" s="6"/>
      <c r="H91" s="6"/>
      <c r="I91" s="6"/>
      <c r="J91" s="522"/>
      <c r="K91" s="522"/>
      <c r="L91" s="523"/>
      <c r="M91" s="524"/>
      <c r="N91" s="879"/>
      <c r="O91" s="879"/>
      <c r="P91" s="487"/>
      <c r="Q91" s="488"/>
    </row>
    <row r="92" spans="1:17" s="408"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9"/>
      <c r="B93" s="467" t="s">
        <v>1738</v>
      </c>
      <c r="C93" s="483"/>
      <c r="D93" s="483"/>
      <c r="E93" s="511"/>
      <c r="F93" s="511"/>
      <c r="G93" s="511"/>
      <c r="H93" s="511"/>
      <c r="I93" s="511"/>
      <c r="J93" s="511"/>
      <c r="K93" s="512"/>
      <c r="L93" s="513"/>
      <c r="M93" s="514"/>
      <c r="N93" s="877"/>
      <c r="O93" s="877"/>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9"/>
      <c r="B95" s="467" t="s">
        <v>1740</v>
      </c>
      <c r="C95" s="483"/>
      <c r="D95" s="483"/>
      <c r="E95" s="483"/>
      <c r="F95" s="511"/>
      <c r="G95" s="511"/>
      <c r="H95" s="511"/>
      <c r="I95" s="511"/>
      <c r="J95" s="511"/>
      <c r="K95" s="512"/>
      <c r="L95" s="513"/>
      <c r="M95" s="514"/>
      <c r="N95" s="877"/>
      <c r="O95" s="877"/>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9"/>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8" customFormat="1" ht="15" thickTop="1">
      <c r="A100" s="406"/>
      <c r="B100" s="467" t="s">
        <v>1741</v>
      </c>
      <c r="C100" s="483"/>
      <c r="D100" s="483"/>
      <c r="E100" s="483"/>
      <c r="F100" s="483"/>
      <c r="G100" s="483"/>
      <c r="H100" s="511"/>
      <c r="I100" s="511"/>
      <c r="J100" s="511"/>
      <c r="K100" s="512"/>
      <c r="L100" s="513"/>
      <c r="M100" s="514"/>
      <c r="N100" s="879"/>
      <c r="O100" s="879"/>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9"/>
      <c r="B102" s="467" t="s">
        <v>1742</v>
      </c>
      <c r="C102" s="483"/>
      <c r="D102" s="483"/>
      <c r="E102" s="483"/>
      <c r="F102" s="483"/>
      <c r="G102" s="483"/>
      <c r="H102" s="511"/>
      <c r="I102" s="511"/>
      <c r="J102" s="511"/>
      <c r="K102" s="512"/>
      <c r="L102" s="513"/>
      <c r="M102" s="514"/>
      <c r="N102" s="877"/>
      <c r="O102" s="877"/>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9"/>
      <c r="B104" s="467" t="s">
        <v>1744</v>
      </c>
      <c r="C104" s="483"/>
      <c r="D104" s="483"/>
      <c r="E104" s="483"/>
      <c r="F104" s="483"/>
      <c r="G104" s="483"/>
      <c r="H104" s="511"/>
      <c r="I104" s="511"/>
      <c r="J104" s="511"/>
      <c r="K104" s="512"/>
      <c r="L104" s="513"/>
      <c r="M104" s="514"/>
      <c r="N104" s="877"/>
      <c r="O104" s="877"/>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8"/>
      <c r="O106" s="878"/>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8" customFormat="1" ht="15" thickTop="1">
      <c r="A108" s="406"/>
      <c r="B108" s="467">
        <f>B38</f>
        <v>111</v>
      </c>
      <c r="C108" s="483"/>
      <c r="D108" s="483"/>
      <c r="E108" s="483"/>
      <c r="F108" s="483"/>
      <c r="G108" s="483"/>
      <c r="H108" s="484"/>
      <c r="I108" s="484"/>
      <c r="J108" s="484"/>
      <c r="K108" s="484"/>
      <c r="L108" s="485"/>
      <c r="M108" s="486"/>
      <c r="N108" s="879"/>
      <c r="O108" s="879"/>
      <c r="P108" s="487"/>
      <c r="Q108" s="488"/>
    </row>
    <row r="109" spans="1:17" s="408"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9"/>
      <c r="B110" s="467">
        <f>B39</f>
        <v>111</v>
      </c>
      <c r="C110" s="483"/>
      <c r="D110" s="483"/>
      <c r="E110" s="483"/>
      <c r="F110" s="483"/>
      <c r="G110" s="483"/>
      <c r="H110" s="484"/>
      <c r="I110" s="484"/>
      <c r="J110" s="484"/>
      <c r="K110" s="484"/>
      <c r="L110" s="485"/>
      <c r="M110" s="486"/>
      <c r="N110" s="877"/>
      <c r="O110" s="877"/>
      <c r="P110" s="40"/>
      <c r="Q110" s="437"/>
    </row>
    <row r="111" spans="1:17" ht="15.75" thickBot="1">
      <c r="A111" s="367"/>
      <c r="B111" s="472"/>
      <c r="C111" s="489"/>
      <c r="D111" s="465"/>
      <c r="E111" s="465"/>
      <c r="F111" s="465"/>
      <c r="G111" s="489"/>
      <c r="H111" s="491"/>
      <c r="I111" s="491"/>
      <c r="J111" s="491"/>
      <c r="K111" s="491"/>
      <c r="L111" s="491"/>
      <c r="M111" s="492"/>
      <c r="N111" s="878"/>
      <c r="O111" s="878"/>
      <c r="P111" s="40"/>
      <c r="Q111" s="437"/>
    </row>
    <row r="112" spans="1:17" ht="15" thickTop="1">
      <c r="A112" s="409"/>
      <c r="B112" s="475">
        <f>B40</f>
        <v>111</v>
      </c>
      <c r="C112" s="31"/>
      <c r="D112" s="31"/>
      <c r="E112" s="31"/>
      <c r="F112" s="31"/>
      <c r="G112" s="515"/>
      <c r="H112" s="515"/>
      <c r="I112" s="515"/>
      <c r="J112" s="515"/>
      <c r="K112" s="31"/>
      <c r="L112" s="455"/>
      <c r="M112" s="518"/>
      <c r="N112" s="877"/>
      <c r="O112" s="877"/>
      <c r="P112" s="40"/>
      <c r="Q112" s="437"/>
    </row>
    <row r="113" spans="1:17" ht="15.75" thickBot="1">
      <c r="A113" s="375"/>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90" sqref="V90"/>
    </sheetView>
  </sheetViews>
  <sheetFormatPr defaultRowHeight="13.5"/>
  <cols>
    <col min="1" max="16384" width="9" style="3159"/>
  </cols>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O47" sqref="O4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3395</v>
      </c>
      <c r="C1" s="1139" t="s">
        <v>1662</v>
      </c>
      <c r="D1" s="1140" t="s">
        <v>5698</v>
      </c>
      <c r="E1" s="3128" t="s">
        <v>5817</v>
      </c>
      <c r="F1" s="1733" t="s">
        <v>5818</v>
      </c>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IF(B37="元/平方米",ROUND(C39*D3/10000,0),ROUND(F3*C39/10000,0)),IF(B37="元/平方米",ROUND(C39*D3/10000,0),ROUND(F3*C39/10000,0))-D2),IF(E1="单套模式",IF(C2="——",IF(B37="元/平方米",ROUND(C39*D3/10000,0),ROUND(F3*C39/10000,0)),IF(B37="元/平方米",ROUND(C39*D3/10000,0),ROUND(F3*C39/10000,0))-D2)))</f>
        <v>18115</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1084"/>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10751</v>
      </c>
      <c r="C3" s="344" t="s">
        <v>1768</v>
      </c>
      <c r="D3" s="343">
        <f>SUMIF('数据-汇总表'!$C19:$C33,D1,'数据-汇总表'!$E19:$E33)</f>
        <v>16849.759999999893</v>
      </c>
      <c r="E3" s="344" t="s">
        <v>1832</v>
      </c>
      <c r="F3" s="343">
        <f>SUMIF('数据-取费表'!A5:A15,D1,'数据-取费表'!AH5:AH15)</f>
        <v>449</v>
      </c>
      <c r="G3" s="853">
        <f>D3/F3</f>
        <v>37.527305122494191</v>
      </c>
      <c r="H3" s="853"/>
      <c r="I3" s="853"/>
      <c r="J3" s="853"/>
      <c r="K3" s="855"/>
      <c r="L3" s="2500"/>
      <c r="M3" s="2501">
        <f>IF(C2="——",IF(B37="元/平方米",ROUND(C39*D3/10000,0),ROUND(F3*C39/10000,0)),IF(B37="元/平方米",ROUND(C39*D3/10000,0),ROUND(F3*C39/10000,0))-D2)</f>
        <v>18115</v>
      </c>
      <c r="N3" s="2501"/>
      <c r="O3" s="2501"/>
      <c r="P3" s="1084"/>
      <c r="Q3" s="341"/>
      <c r="R3" s="341"/>
      <c r="S3" s="341"/>
      <c r="T3" s="341"/>
      <c r="U3" s="341"/>
      <c r="V3" s="341"/>
      <c r="W3" s="341"/>
      <c r="X3" s="341"/>
      <c r="Y3" s="341"/>
      <c r="Z3" s="341"/>
      <c r="AA3" s="341"/>
      <c r="AB3" s="674"/>
      <c r="AC3" s="661"/>
    </row>
    <row r="4" spans="1:29" ht="15">
      <c r="A4" s="345" t="s">
        <v>1769</v>
      </c>
      <c r="B4" s="346"/>
      <c r="C4" s="3381" t="s">
        <v>1770</v>
      </c>
      <c r="D4" s="3393"/>
      <c r="E4" s="3394" t="s">
        <v>1771</v>
      </c>
      <c r="F4" s="3395"/>
      <c r="G4" s="3381" t="s">
        <v>1772</v>
      </c>
      <c r="H4" s="3393"/>
      <c r="I4" s="3381" t="s">
        <v>1773</v>
      </c>
      <c r="J4" s="3393"/>
      <c r="K4" s="535" t="s">
        <v>1774</v>
      </c>
      <c r="L4" s="2483"/>
      <c r="M4" s="2484"/>
      <c r="N4" s="2484"/>
      <c r="O4" s="2484"/>
      <c r="P4" s="3396" t="s">
        <v>1775</v>
      </c>
      <c r="Q4" s="3397"/>
      <c r="R4" s="3402" t="s">
        <v>1771</v>
      </c>
      <c r="S4" s="3403"/>
      <c r="T4" s="3402" t="s">
        <v>1772</v>
      </c>
      <c r="U4" s="3403"/>
      <c r="V4" s="3389" t="s">
        <v>1773</v>
      </c>
      <c r="W4" s="3389"/>
      <c r="X4" s="1263"/>
      <c r="Y4" s="3402" t="s">
        <v>1775</v>
      </c>
      <c r="Z4" s="3403"/>
      <c r="AA4" s="3390" t="s">
        <v>1771</v>
      </c>
      <c r="AB4" s="3391" t="s">
        <v>1772</v>
      </c>
      <c r="AC4" s="3390" t="s">
        <v>1773</v>
      </c>
    </row>
    <row r="5" spans="1:29" ht="15.75" thickBot="1">
      <c r="A5" s="348"/>
      <c r="B5" s="349"/>
      <c r="C5" s="3415" t="s">
        <v>1673</v>
      </c>
      <c r="D5" s="3411"/>
      <c r="E5" s="3418" t="s">
        <v>5828</v>
      </c>
      <c r="F5" s="3419"/>
      <c r="G5" s="3410" t="s">
        <v>5829</v>
      </c>
      <c r="H5" s="3411"/>
      <c r="I5" s="3410" t="s">
        <v>5830</v>
      </c>
      <c r="J5" s="3411"/>
      <c r="K5" s="535"/>
      <c r="L5" s="2483"/>
      <c r="M5" s="2484"/>
      <c r="N5" s="2484"/>
      <c r="O5" s="2484"/>
      <c r="P5" s="3398"/>
      <c r="Q5" s="3399"/>
      <c r="R5" s="3404"/>
      <c r="S5" s="3405"/>
      <c r="T5" s="3404"/>
      <c r="U5" s="3405"/>
      <c r="V5" s="3389"/>
      <c r="W5" s="3389"/>
      <c r="X5" s="1263"/>
      <c r="Y5" s="3404"/>
      <c r="Z5" s="3405"/>
      <c r="AA5" s="3391"/>
      <c r="AB5" s="3391"/>
      <c r="AC5" s="3391"/>
    </row>
    <row r="6" spans="1:29" ht="15.75" hidden="1" thickBot="1">
      <c r="A6" s="350"/>
      <c r="B6" s="351"/>
      <c r="C6" s="3408" t="s">
        <v>1677</v>
      </c>
      <c r="D6" s="3409"/>
      <c r="E6" s="3416" t="s">
        <v>1677</v>
      </c>
      <c r="F6" s="3417"/>
      <c r="G6" s="3408" t="s">
        <v>1677</v>
      </c>
      <c r="H6" s="3409"/>
      <c r="I6" s="3408" t="s">
        <v>1677</v>
      </c>
      <c r="J6" s="3409"/>
      <c r="K6" s="535" t="s">
        <v>1678</v>
      </c>
      <c r="L6" s="2483"/>
      <c r="M6" s="2484"/>
      <c r="N6" s="2484"/>
      <c r="O6" s="2484"/>
      <c r="P6" s="3400"/>
      <c r="Q6" s="3401"/>
      <c r="R6" s="3404"/>
      <c r="S6" s="3405"/>
      <c r="T6" s="3406"/>
      <c r="U6" s="3407"/>
      <c r="V6" s="3389"/>
      <c r="W6" s="3389"/>
      <c r="X6" s="1263"/>
      <c r="Y6" s="3406"/>
      <c r="Z6" s="3407"/>
      <c r="AA6" s="3392"/>
      <c r="AB6" s="3392"/>
      <c r="AC6" s="3392"/>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5"/>
      <c r="M7" s="2436"/>
      <c r="N7" s="2436"/>
      <c r="O7" s="2436"/>
      <c r="P7" s="3412" t="s">
        <v>1680</v>
      </c>
      <c r="Q7" s="3414"/>
      <c r="R7" s="662" t="s">
        <v>14</v>
      </c>
      <c r="S7" s="663">
        <f t="shared" ref="S7:S14" si="0">F7</f>
        <v>100</v>
      </c>
      <c r="T7" s="662" t="s">
        <v>14</v>
      </c>
      <c r="U7" s="663">
        <f t="shared" ref="U7:U14" si="1">H7</f>
        <v>100</v>
      </c>
      <c r="V7" s="662" t="s">
        <v>14</v>
      </c>
      <c r="W7" s="663">
        <f t="shared" ref="W7:W14" si="2">J7</f>
        <v>100</v>
      </c>
      <c r="X7" s="664"/>
      <c r="Y7" s="3412" t="s">
        <v>1680</v>
      </c>
      <c r="Z7" s="3413"/>
      <c r="AA7" s="50">
        <f>D7/F7</f>
        <v>1</v>
      </c>
      <c r="AB7" s="50">
        <f>D7/H7</f>
        <v>1</v>
      </c>
      <c r="AC7" s="50">
        <f>D7/J7</f>
        <v>1</v>
      </c>
    </row>
    <row r="8" spans="1:29" s="102" customFormat="1" ht="15.75" thickBot="1">
      <c r="A8" s="352" t="s">
        <v>1681</v>
      </c>
      <c r="B8" s="353"/>
      <c r="C8" s="358" t="s">
        <v>5796</v>
      </c>
      <c r="D8" s="355">
        <v>100</v>
      </c>
      <c r="E8" s="358" t="s">
        <v>5796</v>
      </c>
      <c r="F8" s="357">
        <f>SUMIF(51:51,E8,52:52)-SUMIF(51:51,C8,52:52)+100</f>
        <v>100</v>
      </c>
      <c r="G8" s="358" t="s">
        <v>5796</v>
      </c>
      <c r="H8" s="355">
        <f>SUMIF(51:51,G8,52:52)-SUMIF(51:51,C8,52:52)+100</f>
        <v>100</v>
      </c>
      <c r="I8" s="358" t="s">
        <v>5796</v>
      </c>
      <c r="J8" s="355">
        <f>SUMIF(51:51,I8,52:52)-SUMIF(51:51,C8,52:52)+100</f>
        <v>100</v>
      </c>
      <c r="K8" s="38"/>
      <c r="L8" s="2485"/>
      <c r="M8" s="2436"/>
      <c r="N8" s="2436"/>
      <c r="O8" s="2436"/>
      <c r="P8" s="3412" t="s">
        <v>1683</v>
      </c>
      <c r="Q8" s="3413"/>
      <c r="R8" s="662" t="s">
        <v>14</v>
      </c>
      <c r="S8" s="663">
        <f t="shared" si="0"/>
        <v>100</v>
      </c>
      <c r="T8" s="662" t="s">
        <v>14</v>
      </c>
      <c r="U8" s="663">
        <f t="shared" si="1"/>
        <v>100</v>
      </c>
      <c r="V8" s="662" t="s">
        <v>14</v>
      </c>
      <c r="W8" s="663">
        <f t="shared" si="2"/>
        <v>100</v>
      </c>
      <c r="X8" s="664"/>
      <c r="Y8" s="3412" t="s">
        <v>1683</v>
      </c>
      <c r="Z8" s="3413"/>
      <c r="AA8" s="50">
        <f t="shared" ref="AA8:AA36" si="3">D8/F8</f>
        <v>1</v>
      </c>
      <c r="AB8" s="50">
        <f t="shared" ref="AB8:AB36" si="4">D8/H8</f>
        <v>1</v>
      </c>
      <c r="AC8" s="50">
        <f t="shared" ref="AC8:AC36" si="5">D8/J8</f>
        <v>1</v>
      </c>
    </row>
    <row r="9" spans="1:29" s="102" customFormat="1">
      <c r="A9" s="57" t="s">
        <v>1684</v>
      </c>
      <c r="B9" s="562" t="s">
        <v>1685</v>
      </c>
      <c r="C9" s="360" t="s">
        <v>5831</v>
      </c>
      <c r="D9" s="59">
        <v>100</v>
      </c>
      <c r="E9" s="362" t="s">
        <v>5831</v>
      </c>
      <c r="F9" s="59">
        <f>SUMIF(53:53,E9,54:54)-SUMIF(53:53,C9,54:54)+100</f>
        <v>100</v>
      </c>
      <c r="G9" s="361" t="s">
        <v>5831</v>
      </c>
      <c r="H9" s="59">
        <f>SUMIF(53:53,G9,54:54)-SUMIF(53:53,C9,54:54)+100</f>
        <v>100</v>
      </c>
      <c r="I9" s="361" t="s">
        <v>5831</v>
      </c>
      <c r="J9" s="59">
        <f>SUMIF(53:53,I9,54:54)-SUMIF(53:53,C9,54:54)+100</f>
        <v>100</v>
      </c>
      <c r="K9" s="38"/>
      <c r="L9" s="2485"/>
      <c r="M9" s="2436"/>
      <c r="N9" s="2436"/>
      <c r="O9" s="2436"/>
      <c r="P9" s="3384" t="s">
        <v>1686</v>
      </c>
      <c r="Q9" s="528" t="str">
        <f t="shared" ref="Q9:Q14" si="6">B9</f>
        <v>用途</v>
      </c>
      <c r="R9" s="662" t="s">
        <v>14</v>
      </c>
      <c r="S9" s="663">
        <f t="shared" si="0"/>
        <v>100</v>
      </c>
      <c r="T9" s="662" t="s">
        <v>14</v>
      </c>
      <c r="U9" s="663">
        <f t="shared" si="1"/>
        <v>100</v>
      </c>
      <c r="V9" s="662" t="s">
        <v>14</v>
      </c>
      <c r="W9" s="663">
        <f t="shared" si="2"/>
        <v>100</v>
      </c>
      <c r="X9" s="664"/>
      <c r="Y9" s="3281" t="s">
        <v>1687</v>
      </c>
      <c r="Z9" s="50" t="str">
        <f t="shared" ref="Z9:Z14" si="7">Q9</f>
        <v>用途</v>
      </c>
      <c r="AA9" s="50">
        <f t="shared" si="3"/>
        <v>1</v>
      </c>
      <c r="AB9" s="50">
        <f t="shared" si="4"/>
        <v>1</v>
      </c>
      <c r="AC9" s="50">
        <f t="shared" si="5"/>
        <v>1</v>
      </c>
    </row>
    <row r="10" spans="1:29" s="366" customFormat="1" ht="27.75" thickBot="1">
      <c r="A10" s="563"/>
      <c r="B10" s="564" t="s">
        <v>1688</v>
      </c>
      <c r="C10" s="3129" t="s">
        <v>5832</v>
      </c>
      <c r="D10" s="119">
        <v>100</v>
      </c>
      <c r="E10" s="3129" t="s">
        <v>5832</v>
      </c>
      <c r="F10" s="119">
        <f>SUMIF(55:55,E10,56:56)-SUMIF(55:55,C10,56:56)+100</f>
        <v>100</v>
      </c>
      <c r="G10" s="3129" t="s">
        <v>5832</v>
      </c>
      <c r="H10" s="119">
        <f>SUMIF(55:55,G10,56:56)-SUMIF(55:55,C10,56:56)+100</f>
        <v>100</v>
      </c>
      <c r="I10" s="3129" t="s">
        <v>5832</v>
      </c>
      <c r="J10" s="119">
        <f>SUMIF(55:55,I10,56:56)-SUMIF(55:55,C10,56:56)+100</f>
        <v>100</v>
      </c>
      <c r="K10" s="38"/>
      <c r="L10" s="2486"/>
      <c r="M10" s="2487"/>
      <c r="N10" s="2487"/>
      <c r="O10" s="2487"/>
      <c r="P10" s="3384"/>
      <c r="Q10" s="528"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8"/>
      <c r="M11" s="2484"/>
      <c r="N11" s="2484"/>
      <c r="O11" s="2484"/>
      <c r="P11" s="3384"/>
      <c r="Q11" s="528">
        <f t="shared" si="6"/>
        <v>111</v>
      </c>
      <c r="R11" s="662" t="s">
        <v>14</v>
      </c>
      <c r="S11" s="663">
        <f t="shared" si="0"/>
        <v>100</v>
      </c>
      <c r="T11" s="662" t="s">
        <v>14</v>
      </c>
      <c r="U11" s="663">
        <f t="shared" si="1"/>
        <v>100</v>
      </c>
      <c r="V11" s="662" t="s">
        <v>14</v>
      </c>
      <c r="W11" s="663">
        <f t="shared" si="2"/>
        <v>100</v>
      </c>
      <c r="X11" s="664"/>
      <c r="Y11" s="3281"/>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5"/>
      <c r="M12" s="2436"/>
      <c r="N12" s="2436"/>
      <c r="O12" s="2436"/>
      <c r="P12" s="3384"/>
      <c r="Q12" s="528">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9"/>
      <c r="M13" s="2484"/>
      <c r="N13" s="2484"/>
      <c r="O13" s="2484"/>
      <c r="P13" s="3384"/>
      <c r="Q13" s="528">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
      <c r="A14" s="345" t="s">
        <v>1690</v>
      </c>
      <c r="B14" s="552" t="s">
        <v>1833</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9"/>
      <c r="M14" s="2484"/>
      <c r="N14" s="2484"/>
      <c r="O14" s="2484"/>
      <c r="P14" s="3385" t="s">
        <v>1691</v>
      </c>
      <c r="Q14" s="1261" t="str">
        <f t="shared" si="6"/>
        <v>交通便捷度</v>
      </c>
      <c r="R14" s="665" t="s">
        <v>14</v>
      </c>
      <c r="S14" s="666">
        <f t="shared" si="0"/>
        <v>100</v>
      </c>
      <c r="T14" s="665" t="s">
        <v>14</v>
      </c>
      <c r="U14" s="666">
        <f t="shared" si="1"/>
        <v>100</v>
      </c>
      <c r="V14" s="665" t="s">
        <v>14</v>
      </c>
      <c r="W14" s="666">
        <f t="shared" si="2"/>
        <v>100</v>
      </c>
      <c r="X14" s="1263"/>
      <c r="Y14" s="3385" t="s">
        <v>1691</v>
      </c>
      <c r="Z14" s="1262" t="str">
        <f t="shared" si="7"/>
        <v>交通便捷度</v>
      </c>
      <c r="AA14" s="1262">
        <f t="shared" si="3"/>
        <v>1</v>
      </c>
      <c r="AB14" s="1262">
        <f t="shared" si="4"/>
        <v>1</v>
      </c>
      <c r="AC14" s="1262">
        <f t="shared" si="5"/>
        <v>1</v>
      </c>
    </row>
    <row r="15" spans="1:29" ht="15">
      <c r="A15" s="348"/>
      <c r="B15" s="569"/>
      <c r="C15" s="386" t="s">
        <v>5802</v>
      </c>
      <c r="D15" s="387"/>
      <c r="E15" s="386" t="s">
        <v>5802</v>
      </c>
      <c r="F15" s="388"/>
      <c r="G15" s="386" t="s">
        <v>5802</v>
      </c>
      <c r="H15" s="389"/>
      <c r="I15" s="386" t="s">
        <v>5802</v>
      </c>
      <c r="J15" s="387"/>
      <c r="K15" s="539"/>
      <c r="L15" s="2489"/>
      <c r="M15" s="2484"/>
      <c r="N15" s="2484"/>
      <c r="O15" s="2484"/>
      <c r="P15" s="3386"/>
      <c r="Q15" s="1261"/>
      <c r="R15" s="665"/>
      <c r="S15" s="666"/>
      <c r="T15" s="665"/>
      <c r="U15" s="666"/>
      <c r="V15" s="665"/>
      <c r="W15" s="666"/>
      <c r="X15" s="1263"/>
      <c r="Y15" s="3386"/>
      <c r="Z15" s="1262"/>
      <c r="AA15" s="1262">
        <v>1</v>
      </c>
      <c r="AB15" s="1262">
        <v>1</v>
      </c>
      <c r="AC15" s="1262">
        <v>1</v>
      </c>
    </row>
    <row r="16" spans="1:29" ht="15">
      <c r="A16" s="348"/>
      <c r="B16" s="554" t="s">
        <v>1812</v>
      </c>
      <c r="C16" s="1752">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9"/>
      <c r="M16" s="2484"/>
      <c r="N16" s="2484"/>
      <c r="O16" s="2484"/>
      <c r="P16" s="3386"/>
      <c r="Q16" s="1261" t="str">
        <f>B16</f>
        <v>公共配套设施</v>
      </c>
      <c r="R16" s="665" t="s">
        <v>14</v>
      </c>
      <c r="S16" s="666">
        <f>F16</f>
        <v>100</v>
      </c>
      <c r="T16" s="665" t="s">
        <v>14</v>
      </c>
      <c r="U16" s="666">
        <f>H16</f>
        <v>100</v>
      </c>
      <c r="V16" s="665" t="s">
        <v>14</v>
      </c>
      <c r="W16" s="666">
        <f>J16</f>
        <v>97</v>
      </c>
      <c r="X16" s="1263"/>
      <c r="Y16" s="3386"/>
      <c r="Z16" s="1262" t="str">
        <f>Q16</f>
        <v>公共配套设施</v>
      </c>
      <c r="AA16" s="1262">
        <f t="shared" si="3"/>
        <v>1</v>
      </c>
      <c r="AB16" s="1262">
        <f t="shared" si="4"/>
        <v>1</v>
      </c>
      <c r="AC16" s="1262">
        <f t="shared" si="5"/>
        <v>1.0309278350515463</v>
      </c>
    </row>
    <row r="17" spans="1:29" ht="15">
      <c r="A17" s="348"/>
      <c r="B17" s="401"/>
      <c r="C17" s="1753" t="s">
        <v>5798</v>
      </c>
      <c r="D17" s="387"/>
      <c r="E17" s="386" t="s">
        <v>5798</v>
      </c>
      <c r="F17" s="388"/>
      <c r="G17" s="386" t="s">
        <v>5798</v>
      </c>
      <c r="H17" s="387"/>
      <c r="I17" s="386" t="s">
        <v>5802</v>
      </c>
      <c r="J17" s="387"/>
      <c r="K17" s="539"/>
      <c r="L17" s="2489"/>
      <c r="M17" s="2484"/>
      <c r="N17" s="2484"/>
      <c r="O17" s="2484"/>
      <c r="P17" s="3386"/>
      <c r="Q17" s="1261"/>
      <c r="R17" s="665"/>
      <c r="S17" s="666"/>
      <c r="T17" s="665"/>
      <c r="U17" s="666"/>
      <c r="V17" s="665"/>
      <c r="W17" s="666"/>
      <c r="X17" s="1263"/>
      <c r="Y17" s="3386"/>
      <c r="Z17" s="1262"/>
      <c r="AA17" s="1262">
        <v>1</v>
      </c>
      <c r="AB17" s="1262">
        <v>1</v>
      </c>
      <c r="AC17" s="1262">
        <v>1</v>
      </c>
    </row>
    <row r="18" spans="1:29" ht="15">
      <c r="A18" s="348"/>
      <c r="B18" s="555" t="s">
        <v>1813</v>
      </c>
      <c r="C18" s="1752">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9"/>
      <c r="M18" s="2484"/>
      <c r="N18" s="2484"/>
      <c r="O18" s="2484"/>
      <c r="P18" s="3386"/>
      <c r="Q18" s="1261" t="str">
        <f>B18</f>
        <v>基础设施水平</v>
      </c>
      <c r="R18" s="665" t="s">
        <v>14</v>
      </c>
      <c r="S18" s="666">
        <f>F18</f>
        <v>100</v>
      </c>
      <c r="T18" s="665" t="s">
        <v>14</v>
      </c>
      <c r="U18" s="666">
        <f>H18</f>
        <v>100</v>
      </c>
      <c r="V18" s="665" t="s">
        <v>14</v>
      </c>
      <c r="W18" s="666">
        <f>J18</f>
        <v>100</v>
      </c>
      <c r="X18" s="1263"/>
      <c r="Y18" s="3386"/>
      <c r="Z18" s="1262" t="str">
        <f>Q18</f>
        <v>基础设施水平</v>
      </c>
      <c r="AA18" s="1262">
        <f t="shared" ref="AA18" si="8">D18/F18</f>
        <v>1</v>
      </c>
      <c r="AB18" s="1262">
        <f t="shared" ref="AB18" si="9">D18/H18</f>
        <v>1</v>
      </c>
      <c r="AC18" s="1262">
        <f t="shared" ref="AC18" si="10">D18/J18</f>
        <v>1</v>
      </c>
    </row>
    <row r="19" spans="1:29" ht="15">
      <c r="A19" s="348"/>
      <c r="B19" s="555"/>
      <c r="C19" s="1753" t="s">
        <v>5799</v>
      </c>
      <c r="D19" s="389"/>
      <c r="E19" s="1753" t="s">
        <v>5799</v>
      </c>
      <c r="F19" s="392"/>
      <c r="G19" s="1753" t="s">
        <v>5799</v>
      </c>
      <c r="H19" s="387"/>
      <c r="I19" s="1753" t="s">
        <v>5799</v>
      </c>
      <c r="J19" s="387"/>
      <c r="K19" s="1062"/>
      <c r="L19" s="2489"/>
      <c r="M19" s="2484"/>
      <c r="N19" s="2484"/>
      <c r="O19" s="2484"/>
      <c r="P19" s="3386"/>
      <c r="Q19" s="1261"/>
      <c r="R19" s="665"/>
      <c r="S19" s="666"/>
      <c r="T19" s="665"/>
      <c r="U19" s="666"/>
      <c r="V19" s="665"/>
      <c r="W19" s="666"/>
      <c r="X19" s="1263"/>
      <c r="Y19" s="3386"/>
      <c r="Z19" s="1262"/>
      <c r="AA19" s="1262">
        <v>1</v>
      </c>
      <c r="AB19" s="1262">
        <v>1</v>
      </c>
      <c r="AC19" s="1262">
        <v>1</v>
      </c>
    </row>
    <row r="20" spans="1:29" ht="15">
      <c r="A20" s="348"/>
      <c r="B20" s="554" t="s">
        <v>1834</v>
      </c>
      <c r="C20" s="1752">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9"/>
      <c r="M20" s="2484"/>
      <c r="N20" s="2484"/>
      <c r="O20" s="2484"/>
      <c r="P20" s="3386"/>
      <c r="Q20" s="1261" t="str">
        <f>B20</f>
        <v>自然及人文环境</v>
      </c>
      <c r="R20" s="665" t="s">
        <v>14</v>
      </c>
      <c r="S20" s="666">
        <f>F20</f>
        <v>100</v>
      </c>
      <c r="T20" s="665" t="s">
        <v>14</v>
      </c>
      <c r="U20" s="666">
        <f>H20</f>
        <v>100</v>
      </c>
      <c r="V20" s="665" t="s">
        <v>14</v>
      </c>
      <c r="W20" s="666">
        <f>J20</f>
        <v>97</v>
      </c>
      <c r="X20" s="1263"/>
      <c r="Y20" s="3386"/>
      <c r="Z20" s="1262" t="str">
        <f>Q20</f>
        <v>自然及人文环境</v>
      </c>
      <c r="AA20" s="1262">
        <f t="shared" si="3"/>
        <v>1</v>
      </c>
      <c r="AB20" s="1262">
        <f t="shared" si="4"/>
        <v>1</v>
      </c>
      <c r="AC20" s="1262">
        <f t="shared" si="5"/>
        <v>1.0309278350515463</v>
      </c>
    </row>
    <row r="21" spans="1:29" ht="15.75" thickBot="1">
      <c r="A21" s="348"/>
      <c r="B21" s="401"/>
      <c r="C21" s="386" t="s">
        <v>5798</v>
      </c>
      <c r="D21" s="387"/>
      <c r="E21" s="386" t="s">
        <v>5798</v>
      </c>
      <c r="F21" s="388"/>
      <c r="G21" s="386" t="s">
        <v>5798</v>
      </c>
      <c r="H21" s="387"/>
      <c r="I21" s="386" t="s">
        <v>5802</v>
      </c>
      <c r="J21" s="387"/>
      <c r="K21" s="539"/>
      <c r="L21" s="2489"/>
      <c r="M21" s="2484"/>
      <c r="N21" s="2484"/>
      <c r="O21" s="2484"/>
      <c r="P21" s="3386"/>
      <c r="Q21" s="1261"/>
      <c r="R21" s="665"/>
      <c r="S21" s="666"/>
      <c r="T21" s="665"/>
      <c r="U21" s="666"/>
      <c r="V21" s="665"/>
      <c r="W21" s="666"/>
      <c r="X21" s="1263"/>
      <c r="Y21" s="3386"/>
      <c r="Z21" s="1262"/>
      <c r="AA21" s="1262">
        <v>1</v>
      </c>
      <c r="AB21" s="1262">
        <v>1</v>
      </c>
      <c r="AC21" s="1262">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9"/>
      <c r="M22" s="2484"/>
      <c r="N22" s="2484"/>
      <c r="O22" s="2484"/>
      <c r="P22" s="3386"/>
      <c r="Q22" s="1261" t="str">
        <f>B22</f>
        <v>楼层</v>
      </c>
      <c r="R22" s="665" t="s">
        <v>14</v>
      </c>
      <c r="S22" s="666">
        <f>F22</f>
        <v>100</v>
      </c>
      <c r="T22" s="665" t="s">
        <v>14</v>
      </c>
      <c r="U22" s="666">
        <f>H22</f>
        <v>100</v>
      </c>
      <c r="V22" s="665" t="s">
        <v>14</v>
      </c>
      <c r="W22" s="666">
        <f>J22</f>
        <v>100</v>
      </c>
      <c r="X22" s="1263"/>
      <c r="Y22" s="3386"/>
      <c r="Z22" s="1262" t="str">
        <f>Q22</f>
        <v>楼层</v>
      </c>
      <c r="AA22" s="1262">
        <f t="shared" si="3"/>
        <v>1</v>
      </c>
      <c r="AB22" s="1262">
        <f t="shared" si="4"/>
        <v>1</v>
      </c>
      <c r="AC22" s="1262">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9"/>
      <c r="M23" s="2484"/>
      <c r="N23" s="2484"/>
      <c r="O23" s="2484"/>
      <c r="P23" s="3386"/>
      <c r="Q23" s="1261">
        <f>B23</f>
        <v>111</v>
      </c>
      <c r="R23" s="665" t="s">
        <v>14</v>
      </c>
      <c r="S23" s="666">
        <f>F23</f>
        <v>100</v>
      </c>
      <c r="T23" s="665" t="s">
        <v>14</v>
      </c>
      <c r="U23" s="666">
        <f>H23</f>
        <v>100</v>
      </c>
      <c r="V23" s="665" t="s">
        <v>14</v>
      </c>
      <c r="W23" s="666">
        <f>J23</f>
        <v>100</v>
      </c>
      <c r="X23" s="1263"/>
      <c r="Y23" s="3386"/>
      <c r="Z23" s="1262">
        <f>Q23</f>
        <v>111</v>
      </c>
      <c r="AA23" s="1262">
        <f t="shared" si="3"/>
        <v>1</v>
      </c>
      <c r="AB23" s="1262">
        <f t="shared" si="4"/>
        <v>1</v>
      </c>
      <c r="AC23" s="1262">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9"/>
      <c r="M24" s="2484"/>
      <c r="N24" s="2484"/>
      <c r="O24" s="2484"/>
      <c r="P24" s="3386"/>
      <c r="Q24" s="1261">
        <f t="shared" ref="Q24:Q36" si="11">B24</f>
        <v>111</v>
      </c>
      <c r="R24" s="665" t="s">
        <v>14</v>
      </c>
      <c r="S24" s="666">
        <f>F24</f>
        <v>100</v>
      </c>
      <c r="T24" s="665" t="s">
        <v>14</v>
      </c>
      <c r="U24" s="666">
        <f>H24</f>
        <v>100</v>
      </c>
      <c r="V24" s="665" t="s">
        <v>14</v>
      </c>
      <c r="W24" s="666">
        <f>J24</f>
        <v>100</v>
      </c>
      <c r="X24" s="1263"/>
      <c r="Y24" s="3386"/>
      <c r="Z24" s="1262">
        <f>Q24</f>
        <v>111</v>
      </c>
      <c r="AA24" s="1262">
        <f t="shared" si="3"/>
        <v>1</v>
      </c>
      <c r="AB24" s="1262">
        <f t="shared" si="4"/>
        <v>1</v>
      </c>
      <c r="AC24" s="1262">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5"/>
      <c r="M25" s="2436"/>
      <c r="N25" s="2436"/>
      <c r="O25" s="2436"/>
      <c r="P25" s="3386"/>
      <c r="Q25" s="528">
        <f t="shared" si="11"/>
        <v>111</v>
      </c>
      <c r="R25" s="662" t="s">
        <v>14</v>
      </c>
      <c r="S25" s="663">
        <f>F25</f>
        <v>100</v>
      </c>
      <c r="T25" s="662" t="s">
        <v>14</v>
      </c>
      <c r="U25" s="663">
        <f>H25</f>
        <v>100</v>
      </c>
      <c r="V25" s="662" t="s">
        <v>14</v>
      </c>
      <c r="W25" s="663">
        <f>J25</f>
        <v>100</v>
      </c>
      <c r="X25" s="664"/>
      <c r="Y25" s="3386"/>
      <c r="Z25" s="50">
        <f>Q25</f>
        <v>111</v>
      </c>
      <c r="AA25" s="1262">
        <f>D25/F25</f>
        <v>1</v>
      </c>
      <c r="AB25" s="1262">
        <f>D25/H25</f>
        <v>1</v>
      </c>
      <c r="AC25" s="1262">
        <f>D25/J25</f>
        <v>1</v>
      </c>
    </row>
    <row r="26" spans="1:29" ht="28.5">
      <c r="A26" s="572" t="s">
        <v>1694</v>
      </c>
      <c r="B26" s="59" t="s">
        <v>1836</v>
      </c>
      <c r="C26" s="1816"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9"/>
      <c r="M26" s="2484"/>
      <c r="N26" s="2484"/>
      <c r="O26" s="2484"/>
      <c r="P26" s="3387" t="s">
        <v>1696</v>
      </c>
      <c r="Q26" s="1261" t="str">
        <f t="shared" si="11"/>
        <v>配套类型</v>
      </c>
      <c r="R26" s="665" t="s">
        <v>14</v>
      </c>
      <c r="S26" s="666">
        <f t="shared" ref="S26:S36" si="12">F26</f>
        <v>100</v>
      </c>
      <c r="T26" s="665" t="s">
        <v>14</v>
      </c>
      <c r="U26" s="666">
        <f t="shared" ref="U26:U36" si="13">H26</f>
        <v>100</v>
      </c>
      <c r="V26" s="665" t="s">
        <v>14</v>
      </c>
      <c r="W26" s="666">
        <f t="shared" ref="W26:W36" si="14">J26</f>
        <v>100</v>
      </c>
      <c r="X26" s="1263"/>
      <c r="Y26" s="3388" t="s">
        <v>1696</v>
      </c>
      <c r="Z26" s="1262" t="str">
        <f t="shared" ref="Z26:Z36" si="15">Q26</f>
        <v>配套类型</v>
      </c>
      <c r="AA26" s="1262">
        <f t="shared" si="3"/>
        <v>1</v>
      </c>
      <c r="AB26" s="1262">
        <f t="shared" si="4"/>
        <v>1</v>
      </c>
      <c r="AC26" s="1262">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8"/>
      <c r="M27" s="2490"/>
      <c r="N27" s="2490"/>
      <c r="O27" s="2490"/>
      <c r="P27" s="3388"/>
      <c r="Q27" s="529" t="str">
        <f t="shared" si="11"/>
        <v>项目停车位配比</v>
      </c>
      <c r="R27" s="667" t="s">
        <v>14</v>
      </c>
      <c r="S27" s="668">
        <f t="shared" si="12"/>
        <v>100</v>
      </c>
      <c r="T27" s="667" t="s">
        <v>14</v>
      </c>
      <c r="U27" s="668">
        <f t="shared" si="13"/>
        <v>100</v>
      </c>
      <c r="V27" s="667" t="s">
        <v>14</v>
      </c>
      <c r="W27" s="668">
        <f t="shared" si="14"/>
        <v>100</v>
      </c>
      <c r="X27" s="669"/>
      <c r="Y27" s="3388"/>
      <c r="Z27" s="670" t="str">
        <f t="shared" si="15"/>
        <v>项目停车位配比</v>
      </c>
      <c r="AA27" s="1262">
        <f t="shared" si="3"/>
        <v>1</v>
      </c>
      <c r="AB27" s="1262">
        <f t="shared" si="4"/>
        <v>1</v>
      </c>
      <c r="AC27" s="1262">
        <f t="shared" si="5"/>
        <v>1</v>
      </c>
    </row>
    <row r="28" spans="1:29" ht="15">
      <c r="A28" s="575"/>
      <c r="B28" s="119" t="s">
        <v>1838</v>
      </c>
      <c r="C28" s="3186" t="s">
        <v>5833</v>
      </c>
      <c r="D28" s="374">
        <v>100</v>
      </c>
      <c r="E28" s="3186" t="s">
        <v>5833</v>
      </c>
      <c r="F28" s="400">
        <f>SUMIF(83:83,E28,84:84)-SUMIF(83:83,C28,84:84)+100</f>
        <v>100</v>
      </c>
      <c r="G28" s="3186" t="s">
        <v>5833</v>
      </c>
      <c r="H28" s="374">
        <f>SUMIF(83:83,G28,84:84)-SUMIF(83:83,C28,84:84)+100</f>
        <v>100</v>
      </c>
      <c r="I28" s="3186" t="s">
        <v>5833</v>
      </c>
      <c r="J28" s="374">
        <f>SUMIF(83:83,I28,84:84)-SUMIF(83:83,C28,84:84)+100</f>
        <v>100</v>
      </c>
      <c r="K28" s="536">
        <v>2</v>
      </c>
      <c r="L28" s="2489"/>
      <c r="M28" s="2484"/>
      <c r="N28" s="2484"/>
      <c r="O28" s="2484"/>
      <c r="P28" s="3388"/>
      <c r="Q28" s="1261" t="str">
        <f t="shared" si="11"/>
        <v>公共部分装修</v>
      </c>
      <c r="R28" s="665" t="s">
        <v>14</v>
      </c>
      <c r="S28" s="666">
        <f t="shared" si="12"/>
        <v>100</v>
      </c>
      <c r="T28" s="665" t="s">
        <v>14</v>
      </c>
      <c r="U28" s="666">
        <f t="shared" si="13"/>
        <v>100</v>
      </c>
      <c r="V28" s="665" t="s">
        <v>14</v>
      </c>
      <c r="W28" s="666">
        <f t="shared" si="14"/>
        <v>100</v>
      </c>
      <c r="X28" s="1263"/>
      <c r="Y28" s="3388"/>
      <c r="Z28" s="1262" t="str">
        <f t="shared" si="15"/>
        <v>公共部分装修</v>
      </c>
      <c r="AA28" s="1262">
        <f t="shared" si="3"/>
        <v>1</v>
      </c>
      <c r="AB28" s="1262">
        <f t="shared" si="4"/>
        <v>1</v>
      </c>
      <c r="AC28" s="1262">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9"/>
      <c r="M29" s="2484"/>
      <c r="N29" s="2484"/>
      <c r="O29" s="2484"/>
      <c r="P29" s="3388"/>
      <c r="Q29" s="1261" t="str">
        <f t="shared" si="11"/>
        <v>成新率</v>
      </c>
      <c r="R29" s="665" t="s">
        <v>14</v>
      </c>
      <c r="S29" s="666">
        <f t="shared" si="12"/>
        <v>100</v>
      </c>
      <c r="T29" s="665" t="s">
        <v>14</v>
      </c>
      <c r="U29" s="666">
        <f t="shared" si="13"/>
        <v>100</v>
      </c>
      <c r="V29" s="665" t="s">
        <v>14</v>
      </c>
      <c r="W29" s="666">
        <f t="shared" si="14"/>
        <v>100</v>
      </c>
      <c r="X29" s="1263"/>
      <c r="Y29" s="3388"/>
      <c r="Z29" s="1262" t="str">
        <f t="shared" si="15"/>
        <v>成新率</v>
      </c>
      <c r="AA29" s="1262">
        <f t="shared" si="3"/>
        <v>1</v>
      </c>
      <c r="AB29" s="1262">
        <f t="shared" si="4"/>
        <v>1</v>
      </c>
      <c r="AC29" s="1262">
        <f t="shared" si="5"/>
        <v>1</v>
      </c>
    </row>
    <row r="30" spans="1:29" ht="15">
      <c r="A30" s="575"/>
      <c r="B30" s="119" t="s">
        <v>1840</v>
      </c>
      <c r="C30" s="3189" t="s">
        <v>5823</v>
      </c>
      <c r="D30" s="374">
        <v>100</v>
      </c>
      <c r="E30" s="3189" t="s">
        <v>5823</v>
      </c>
      <c r="F30" s="400">
        <f>SUMIF(88:88,E30,89:89)-SUMIF(88:88,C30,89:89)+100</f>
        <v>100</v>
      </c>
      <c r="G30" s="3189" t="s">
        <v>5823</v>
      </c>
      <c r="H30" s="374">
        <f>SUMIF(88:88,E30,89:89)-SUMIF(88:88,C30,89:89)+100</f>
        <v>100</v>
      </c>
      <c r="I30" s="3189" t="s">
        <v>5823</v>
      </c>
      <c r="J30" s="374">
        <f>SUMIF(88:88,E30,89:89)-SUMIF(88:88,C30,89:89)+100</f>
        <v>100</v>
      </c>
      <c r="K30" s="536">
        <v>2</v>
      </c>
      <c r="L30" s="2489"/>
      <c r="M30" s="2484"/>
      <c r="N30" s="2484"/>
      <c r="O30" s="2484"/>
      <c r="P30" s="3388"/>
      <c r="Q30" s="1261" t="str">
        <f t="shared" si="11"/>
        <v>物业等级</v>
      </c>
      <c r="R30" s="665" t="s">
        <v>14</v>
      </c>
      <c r="S30" s="666">
        <f t="shared" si="12"/>
        <v>100</v>
      </c>
      <c r="T30" s="665" t="s">
        <v>14</v>
      </c>
      <c r="U30" s="666">
        <f t="shared" si="13"/>
        <v>100</v>
      </c>
      <c r="V30" s="665" t="s">
        <v>14</v>
      </c>
      <c r="W30" s="666">
        <f t="shared" si="14"/>
        <v>100</v>
      </c>
      <c r="X30" s="1263"/>
      <c r="Y30" s="3388"/>
      <c r="Z30" s="1262" t="str">
        <f t="shared" si="15"/>
        <v>物业等级</v>
      </c>
      <c r="AA30" s="1262">
        <f t="shared" si="3"/>
        <v>1</v>
      </c>
      <c r="AB30" s="1262">
        <f t="shared" si="4"/>
        <v>1</v>
      </c>
      <c r="AC30" s="1262">
        <f t="shared" si="5"/>
        <v>1</v>
      </c>
    </row>
    <row r="31" spans="1:29" s="102" customFormat="1" ht="15">
      <c r="A31" s="577"/>
      <c r="B31" s="119" t="s">
        <v>1841</v>
      </c>
      <c r="C31" s="407">
        <f>ROUND('未售清单-车位'!H452/'未售清单-车位'!A451,2)</f>
        <v>37.53</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5"/>
      <c r="M31" s="2436"/>
      <c r="N31" s="2436"/>
      <c r="O31" s="2436"/>
      <c r="P31" s="3388"/>
      <c r="Q31" s="528" t="str">
        <f t="shared" si="11"/>
        <v>停车位面积</v>
      </c>
      <c r="R31" s="662" t="s">
        <v>14</v>
      </c>
      <c r="S31" s="663">
        <f t="shared" si="12"/>
        <v>101</v>
      </c>
      <c r="T31" s="662" t="s">
        <v>14</v>
      </c>
      <c r="U31" s="663">
        <f t="shared" si="13"/>
        <v>100</v>
      </c>
      <c r="V31" s="662" t="s">
        <v>14</v>
      </c>
      <c r="W31" s="663">
        <f t="shared" si="14"/>
        <v>100</v>
      </c>
      <c r="X31" s="664"/>
      <c r="Y31" s="3388"/>
      <c r="Z31" s="50" t="str">
        <f t="shared" si="15"/>
        <v>停车位面积</v>
      </c>
      <c r="AA31" s="50">
        <f t="shared" si="3"/>
        <v>0.99009900990099009</v>
      </c>
      <c r="AB31" s="50">
        <f t="shared" si="4"/>
        <v>1</v>
      </c>
      <c r="AC31" s="50">
        <f t="shared" si="5"/>
        <v>1</v>
      </c>
    </row>
    <row r="32" spans="1:29" ht="15.75" thickBot="1">
      <c r="A32" s="575"/>
      <c r="B32" s="119" t="s">
        <v>1842</v>
      </c>
      <c r="C32" s="3186" t="s">
        <v>5834</v>
      </c>
      <c r="D32" s="374">
        <v>100</v>
      </c>
      <c r="E32" s="3186" t="s">
        <v>5834</v>
      </c>
      <c r="F32" s="400">
        <f>SUMIF(93:93,E32,94:94)-SUMIF(93:93,C32,94:94)+100</f>
        <v>100</v>
      </c>
      <c r="G32" s="3186" t="s">
        <v>5834</v>
      </c>
      <c r="H32" s="374">
        <f>SUMIF(93:93,G32,94:94)-SUMIF(93:93,C32,94:94)+100</f>
        <v>100</v>
      </c>
      <c r="I32" s="3186" t="s">
        <v>5834</v>
      </c>
      <c r="J32" s="374">
        <f>SUMIF(93:93,I32,94:94)-SUMIF(93:93,C32,94:94)+100</f>
        <v>100</v>
      </c>
      <c r="K32" s="536">
        <v>2</v>
      </c>
      <c r="L32" s="2489"/>
      <c r="M32" s="2484"/>
      <c r="N32" s="2484"/>
      <c r="O32" s="2484"/>
      <c r="P32" s="3388" t="s">
        <v>1696</v>
      </c>
      <c r="Q32" s="1261" t="str">
        <f t="shared" si="11"/>
        <v>车位类型</v>
      </c>
      <c r="R32" s="665" t="s">
        <v>14</v>
      </c>
      <c r="S32" s="666">
        <f t="shared" si="12"/>
        <v>100</v>
      </c>
      <c r="T32" s="665" t="s">
        <v>14</v>
      </c>
      <c r="U32" s="666">
        <f t="shared" si="13"/>
        <v>100</v>
      </c>
      <c r="V32" s="665" t="s">
        <v>14</v>
      </c>
      <c r="W32" s="666">
        <f t="shared" si="14"/>
        <v>100</v>
      </c>
      <c r="X32" s="1263"/>
      <c r="Y32" s="3388" t="s">
        <v>1696</v>
      </c>
      <c r="Z32" s="1262" t="str">
        <f t="shared" si="15"/>
        <v>车位类型</v>
      </c>
      <c r="AA32" s="1262">
        <f t="shared" si="3"/>
        <v>1</v>
      </c>
      <c r="AB32" s="1262">
        <f t="shared" si="4"/>
        <v>1</v>
      </c>
      <c r="AC32" s="1262">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9"/>
      <c r="M33" s="2484"/>
      <c r="N33" s="2484"/>
      <c r="O33" s="2484"/>
      <c r="P33" s="3388"/>
      <c r="Q33" s="1261" t="str">
        <f t="shared" si="11"/>
        <v>是否直接入户</v>
      </c>
      <c r="R33" s="665" t="s">
        <v>14</v>
      </c>
      <c r="S33" s="666">
        <f t="shared" si="12"/>
        <v>100</v>
      </c>
      <c r="T33" s="665" t="s">
        <v>14</v>
      </c>
      <c r="U33" s="666">
        <f t="shared" si="13"/>
        <v>100</v>
      </c>
      <c r="V33" s="665" t="s">
        <v>14</v>
      </c>
      <c r="W33" s="666">
        <f t="shared" si="14"/>
        <v>100</v>
      </c>
      <c r="X33" s="1263"/>
      <c r="Y33" s="3388"/>
      <c r="Z33" s="1262" t="str">
        <f t="shared" si="15"/>
        <v>是否直接入户</v>
      </c>
      <c r="AA33" s="1262">
        <f t="shared" si="3"/>
        <v>1</v>
      </c>
      <c r="AB33" s="1262">
        <f t="shared" si="4"/>
        <v>1</v>
      </c>
      <c r="AC33" s="1262">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9"/>
      <c r="M34" s="2484"/>
      <c r="N34" s="2484"/>
      <c r="O34" s="2484"/>
      <c r="P34" s="3388"/>
      <c r="Q34" s="1261">
        <f t="shared" si="11"/>
        <v>111</v>
      </c>
      <c r="R34" s="665" t="s">
        <v>14</v>
      </c>
      <c r="S34" s="666">
        <f t="shared" si="12"/>
        <v>100</v>
      </c>
      <c r="T34" s="665" t="s">
        <v>14</v>
      </c>
      <c r="U34" s="666">
        <f t="shared" si="13"/>
        <v>100</v>
      </c>
      <c r="V34" s="665" t="s">
        <v>14</v>
      </c>
      <c r="W34" s="666">
        <f t="shared" si="14"/>
        <v>100</v>
      </c>
      <c r="X34" s="1263"/>
      <c r="Y34" s="3388"/>
      <c r="Z34" s="1262">
        <f t="shared" si="15"/>
        <v>111</v>
      </c>
      <c r="AA34" s="1262">
        <f t="shared" si="3"/>
        <v>1</v>
      </c>
      <c r="AB34" s="1262">
        <f t="shared" si="4"/>
        <v>1</v>
      </c>
      <c r="AC34" s="1262">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8"/>
      <c r="M35" s="2490"/>
      <c r="N35" s="2490"/>
      <c r="O35" s="2490"/>
      <c r="P35" s="3388"/>
      <c r="Q35" s="529">
        <f t="shared" si="11"/>
        <v>111</v>
      </c>
      <c r="R35" s="667" t="s">
        <v>14</v>
      </c>
      <c r="S35" s="668">
        <f t="shared" si="12"/>
        <v>100</v>
      </c>
      <c r="T35" s="667" t="s">
        <v>14</v>
      </c>
      <c r="U35" s="668">
        <f t="shared" si="13"/>
        <v>100</v>
      </c>
      <c r="V35" s="667" t="s">
        <v>14</v>
      </c>
      <c r="W35" s="668">
        <f t="shared" si="14"/>
        <v>100</v>
      </c>
      <c r="X35" s="669"/>
      <c r="Y35" s="3388"/>
      <c r="Z35" s="670">
        <f t="shared" si="15"/>
        <v>111</v>
      </c>
      <c r="AA35" s="1262">
        <f t="shared" si="3"/>
        <v>1</v>
      </c>
      <c r="AB35" s="1262">
        <f t="shared" si="4"/>
        <v>1</v>
      </c>
      <c r="AC35" s="1262">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9"/>
      <c r="M36" s="2484"/>
      <c r="N36" s="2484"/>
      <c r="O36" s="2484"/>
      <c r="P36" s="3388"/>
      <c r="Q36" s="1261">
        <f t="shared" si="11"/>
        <v>111</v>
      </c>
      <c r="R36" s="665" t="s">
        <v>14</v>
      </c>
      <c r="S36" s="666">
        <f t="shared" si="12"/>
        <v>100</v>
      </c>
      <c r="T36" s="665" t="s">
        <v>14</v>
      </c>
      <c r="U36" s="666">
        <f t="shared" si="13"/>
        <v>100</v>
      </c>
      <c r="V36" s="665" t="s">
        <v>14</v>
      </c>
      <c r="W36" s="666">
        <f t="shared" si="14"/>
        <v>100</v>
      </c>
      <c r="X36" s="1263"/>
      <c r="Y36" s="3388"/>
      <c r="Z36" s="1262">
        <f t="shared" si="15"/>
        <v>111</v>
      </c>
      <c r="AA36" s="1262">
        <f t="shared" si="3"/>
        <v>1</v>
      </c>
      <c r="AB36" s="1262">
        <f t="shared" si="4"/>
        <v>1</v>
      </c>
      <c r="AC36" s="1262">
        <f t="shared" si="5"/>
        <v>1</v>
      </c>
    </row>
    <row r="37" spans="1:29" ht="15">
      <c r="A37" s="414" t="s">
        <v>1844</v>
      </c>
      <c r="B37" s="1817" t="s">
        <v>5827</v>
      </c>
      <c r="C37" s="1079" t="s">
        <v>0</v>
      </c>
      <c r="D37" s="416"/>
      <c r="E37" s="417">
        <f>[1]车位案例!S20</f>
        <v>422667</v>
      </c>
      <c r="F37" s="418"/>
      <c r="G37" s="419">
        <f>[1]车位案例!S62</f>
        <v>414853</v>
      </c>
      <c r="H37" s="420"/>
      <c r="I37" s="417">
        <f>[1]车位案例!S102</f>
        <v>329864</v>
      </c>
      <c r="J37" s="420"/>
      <c r="K37" s="543"/>
      <c r="L37" s="2491"/>
      <c r="M37" s="2484"/>
      <c r="N37" s="2484"/>
      <c r="O37" s="2484"/>
      <c r="P37" s="3384" t="str">
        <f>A37</f>
        <v>成交单价</v>
      </c>
      <c r="Q37" s="3384"/>
      <c r="R37" s="3389">
        <f>E37</f>
        <v>422667</v>
      </c>
      <c r="S37" s="3389"/>
      <c r="T37" s="3389">
        <f>G37</f>
        <v>414853</v>
      </c>
      <c r="U37" s="3389"/>
      <c r="V37" s="3389">
        <f>I37</f>
        <v>329864</v>
      </c>
      <c r="W37" s="3389"/>
      <c r="X37" s="385"/>
      <c r="Y37" s="671"/>
      <c r="Z37" s="385"/>
      <c r="AA37" s="385"/>
      <c r="AB37" s="385"/>
      <c r="AC37" s="385"/>
    </row>
    <row r="38" spans="1:29" ht="15.75" thickBot="1">
      <c r="A38" s="421" t="s">
        <v>1845</v>
      </c>
      <c r="B38" s="422" t="str">
        <f>B37</f>
        <v>元/车位</v>
      </c>
      <c r="C38" s="1080">
        <f>R39</f>
        <v>403451</v>
      </c>
      <c r="D38" s="2137" t="s">
        <v>5839</v>
      </c>
      <c r="E38" s="1081">
        <f>R38</f>
        <v>418482</v>
      </c>
      <c r="F38" s="2138">
        <v>0.4</v>
      </c>
      <c r="G38" s="1080">
        <f>T38</f>
        <v>414853</v>
      </c>
      <c r="H38" s="2138">
        <v>0.4</v>
      </c>
      <c r="I38" s="1081">
        <f>V38</f>
        <v>350583</v>
      </c>
      <c r="J38" s="2138">
        <v>0.2</v>
      </c>
      <c r="K38" s="2140">
        <f>F38+H38+J38</f>
        <v>1</v>
      </c>
      <c r="L38" s="2491"/>
      <c r="M38" s="2484"/>
      <c r="N38" s="2484"/>
      <c r="O38" s="2484"/>
      <c r="P38" s="3384" t="str">
        <f>A38</f>
        <v>比较价值（元/平方米）</v>
      </c>
      <c r="Q38" s="3384"/>
      <c r="R38" s="3389">
        <f>IF(F1="售价",ROUND(PRODUCT(R37,AA7:AA36),0),ROUND(PRODUCT(R37,AA7:AA36),1))</f>
        <v>418482</v>
      </c>
      <c r="S38" s="3389"/>
      <c r="T38" s="3389">
        <f>IF(F1="售价",ROUND(PRODUCT(T37,AB7:AB36),0),ROUND(PRODUCT(T37,AB7:AB36),1))</f>
        <v>414853</v>
      </c>
      <c r="U38" s="3389"/>
      <c r="V38" s="3389">
        <f>IF(F1="售价",ROUND(PRODUCT(V37,AC7:AC36),0),ROUND(PRODUCT(V37,AC7:AC36),1))</f>
        <v>350583</v>
      </c>
      <c r="W38" s="3389"/>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1"/>
      <c r="M39" s="2484"/>
      <c r="N39" s="2484"/>
      <c r="O39" s="2484"/>
      <c r="P39" s="3378" t="str">
        <f>A39</f>
        <v>估价对象XX用房的比较价值（楼面单价，元/平方米）</v>
      </c>
      <c r="Q39" s="3379"/>
      <c r="R39" s="3469">
        <f>IF(F1="售价",ROUND(IF(D38="简单平均",AVERAGE(R38:W38),R38*F38+T38*H38+V38*J38),0),ROUND(IF(D38="简单平均",AVERAGE(R38:V38),R38*F38+T38*H38+V38*J38),1))</f>
        <v>403451</v>
      </c>
      <c r="S39" s="3469"/>
      <c r="T39" s="3469"/>
      <c r="U39" s="3469"/>
      <c r="V39" s="3469"/>
      <c r="W39" s="3469"/>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6"/>
      <c r="L43" s="2492"/>
      <c r="M43" s="2484"/>
      <c r="N43" s="2484"/>
      <c r="O43" s="2484"/>
      <c r="P43" s="2521"/>
      <c r="Q43" s="2484"/>
      <c r="R43" s="2484"/>
      <c r="S43" s="2484"/>
      <c r="T43" s="2484"/>
      <c r="U43" s="2484"/>
      <c r="V43" s="2484"/>
      <c r="W43" s="2484"/>
      <c r="X43" s="2484"/>
      <c r="Y43" s="2484"/>
      <c r="Z43" s="2484"/>
      <c r="AA43" s="2484"/>
      <c r="AB43" s="2484"/>
      <c r="AC43" s="2484"/>
    </row>
    <row r="44" spans="1:29" s="435" customFormat="1" ht="13.5" customHeight="1">
      <c r="A44" s="2494"/>
      <c r="B44" s="2494"/>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5"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5" t="s">
        <v>1850</v>
      </c>
      <c r="B47" s="859"/>
      <c r="C47" s="884"/>
      <c r="D47" s="884"/>
      <c r="E47" s="884"/>
      <c r="F47" s="1086"/>
      <c r="G47" s="1086"/>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0" customFormat="1" ht="15">
      <c r="A48" s="438" t="s">
        <v>1851</v>
      </c>
      <c r="B48" s="439"/>
      <c r="C48" s="1101" t="str">
        <f>YEAR(C7)&amp;"-"&amp;MONTH(C7)</f>
        <v>2025-5</v>
      </c>
      <c r="D48" s="1102">
        <f>EDATE(C48,-1)</f>
        <v>45748</v>
      </c>
      <c r="E48" s="1102">
        <f t="shared" ref="E48:O48" si="16">EDATE(D48,-1)</f>
        <v>45717</v>
      </c>
      <c r="F48" s="1102">
        <f t="shared" si="16"/>
        <v>45689</v>
      </c>
      <c r="G48" s="1102">
        <f t="shared" si="16"/>
        <v>45658</v>
      </c>
      <c r="H48" s="1102">
        <f t="shared" si="16"/>
        <v>45627</v>
      </c>
      <c r="I48" s="1102">
        <f t="shared" si="16"/>
        <v>45597</v>
      </c>
      <c r="J48" s="1102">
        <f t="shared" si="16"/>
        <v>45566</v>
      </c>
      <c r="K48" s="1102">
        <f t="shared" si="16"/>
        <v>45536</v>
      </c>
      <c r="L48" s="1102">
        <f t="shared" si="16"/>
        <v>45505</v>
      </c>
      <c r="M48" s="1102">
        <f t="shared" si="16"/>
        <v>45474</v>
      </c>
      <c r="N48" s="1102">
        <f t="shared" si="16"/>
        <v>45444</v>
      </c>
      <c r="O48" s="1102">
        <f t="shared" si="16"/>
        <v>45413</v>
      </c>
      <c r="P48" s="2524"/>
      <c r="Q48" s="2507"/>
      <c r="R48" s="2507"/>
      <c r="S48" s="2507"/>
      <c r="T48" s="2507"/>
      <c r="U48" s="2507"/>
      <c r="V48" s="2507"/>
      <c r="W48" s="2507"/>
      <c r="X48" s="2507"/>
      <c r="Y48" s="2507"/>
      <c r="Z48" s="2507"/>
      <c r="AA48" s="2507"/>
      <c r="AB48" s="2507"/>
      <c r="AC48" s="2507"/>
    </row>
    <row r="49" spans="1:29" s="102" customFormat="1" ht="15">
      <c r="A49" s="441"/>
      <c r="B49" s="442"/>
      <c r="C49" s="1095">
        <v>100</v>
      </c>
      <c r="D49" s="444"/>
      <c r="E49" s="444"/>
      <c r="F49" s="444"/>
      <c r="G49" s="444"/>
      <c r="H49" s="444"/>
      <c r="I49" s="444"/>
      <c r="J49" s="444"/>
      <c r="K49" s="444"/>
      <c r="L49" s="444"/>
      <c r="M49" s="445"/>
      <c r="N49" s="444"/>
      <c r="O49" s="445"/>
      <c r="P49" s="2525"/>
      <c r="Q49" s="2436"/>
      <c r="R49" s="2436"/>
      <c r="S49" s="2436"/>
      <c r="T49" s="2436"/>
      <c r="U49" s="2436"/>
      <c r="V49" s="2436"/>
      <c r="W49" s="2436"/>
      <c r="X49" s="2436"/>
      <c r="Y49" s="2436"/>
      <c r="Z49" s="2436"/>
      <c r="AA49" s="2436"/>
      <c r="AB49" s="2436"/>
      <c r="AC49" s="2436"/>
    </row>
    <row r="50" spans="1:29" s="102" customFormat="1" ht="15.75" thickBot="1">
      <c r="A50" s="447" t="s">
        <v>1716</v>
      </c>
      <c r="B50" s="448"/>
      <c r="C50" s="449"/>
      <c r="D50" s="450"/>
      <c r="E50" s="450"/>
      <c r="F50" s="450"/>
      <c r="G50" s="450"/>
      <c r="H50" s="450"/>
      <c r="I50" s="450"/>
      <c r="J50" s="450"/>
      <c r="K50" s="450"/>
      <c r="L50" s="450"/>
      <c r="M50" s="451"/>
      <c r="N50" s="450"/>
      <c r="O50" s="451"/>
      <c r="P50" s="2525"/>
      <c r="Q50" s="2505"/>
      <c r="R50" s="2436"/>
      <c r="S50" s="2436"/>
      <c r="T50" s="2436"/>
      <c r="U50" s="2436"/>
      <c r="V50" s="2436"/>
      <c r="W50" s="2436"/>
      <c r="X50" s="2436"/>
      <c r="Y50" s="2436"/>
      <c r="Z50" s="2436"/>
      <c r="AA50" s="2436"/>
      <c r="AB50" s="2436"/>
      <c r="AC50" s="2436"/>
    </row>
    <row r="51" spans="1:29" s="102" customFormat="1" ht="15">
      <c r="A51" s="453" t="s">
        <v>1681</v>
      </c>
      <c r="B51" s="442"/>
      <c r="C51" s="454" t="s">
        <v>1776</v>
      </c>
      <c r="D51" s="31"/>
      <c r="E51" s="31"/>
      <c r="F51" s="31"/>
      <c r="G51" s="31"/>
      <c r="H51" s="31"/>
      <c r="I51" s="31"/>
      <c r="J51" s="31"/>
      <c r="K51" s="31"/>
      <c r="L51" s="455"/>
      <c r="M51" s="456"/>
      <c r="N51" s="2517"/>
      <c r="O51" s="2517"/>
      <c r="P51" s="2526"/>
      <c r="Q51" s="2505"/>
      <c r="R51" s="2436"/>
      <c r="S51" s="2436"/>
      <c r="T51" s="2436"/>
      <c r="U51" s="2436"/>
      <c r="V51" s="2436"/>
      <c r="W51" s="2436"/>
      <c r="X51" s="2436"/>
      <c r="Y51" s="2436"/>
      <c r="Z51" s="2436"/>
      <c r="AA51" s="2436"/>
      <c r="AB51" s="2436"/>
      <c r="AC51" s="2436"/>
    </row>
    <row r="52" spans="1:29" s="102" customFormat="1" ht="15.75" thickBot="1">
      <c r="A52" s="453"/>
      <c r="B52" s="442"/>
      <c r="C52" s="561">
        <v>100</v>
      </c>
      <c r="D52" s="444"/>
      <c r="E52" s="444"/>
      <c r="F52" s="444"/>
      <c r="G52" s="444"/>
      <c r="H52" s="444"/>
      <c r="I52" s="444"/>
      <c r="J52" s="444"/>
      <c r="K52" s="444"/>
      <c r="L52" s="444"/>
      <c r="M52" s="446"/>
      <c r="N52" s="2517"/>
      <c r="O52" s="2517"/>
      <c r="P52" s="2525"/>
      <c r="Q52" s="2505"/>
      <c r="R52" s="2436"/>
      <c r="S52" s="2436"/>
      <c r="T52" s="2436"/>
      <c r="U52" s="2436"/>
      <c r="V52" s="2436"/>
      <c r="W52" s="2436"/>
      <c r="X52" s="2436"/>
      <c r="Y52" s="2436"/>
      <c r="Z52" s="2436"/>
      <c r="AA52" s="2436"/>
      <c r="AB52" s="2436"/>
      <c r="AC52" s="2436"/>
    </row>
    <row r="53" spans="1:29">
      <c r="A53" s="379" t="s">
        <v>1719</v>
      </c>
      <c r="B53" s="458" t="s">
        <v>1685</v>
      </c>
      <c r="C53" s="459" t="str">
        <f>C9</f>
        <v>车位</v>
      </c>
      <c r="D53" s="460"/>
      <c r="E53" s="460"/>
      <c r="F53" s="460"/>
      <c r="G53" s="460"/>
      <c r="H53" s="460"/>
      <c r="I53" s="460"/>
      <c r="J53" s="460"/>
      <c r="K53" s="461"/>
      <c r="L53" s="462"/>
      <c r="M53" s="463"/>
      <c r="N53" s="2518"/>
      <c r="O53" s="2518"/>
      <c r="P53" s="2527"/>
      <c r="Q53" s="2505"/>
      <c r="R53" s="2484"/>
      <c r="S53" s="2484"/>
      <c r="T53" s="2484"/>
      <c r="U53" s="2484"/>
      <c r="V53" s="2484"/>
      <c r="W53" s="2484"/>
      <c r="X53" s="2484"/>
      <c r="Y53" s="2484"/>
      <c r="Z53" s="2484"/>
      <c r="AA53" s="2484"/>
      <c r="AB53" s="2484"/>
      <c r="AC53" s="2484"/>
    </row>
    <row r="54" spans="1:29" ht="15.75" thickBot="1">
      <c r="A54" s="367"/>
      <c r="B54" s="464"/>
      <c r="C54" s="465">
        <v>100</v>
      </c>
      <c r="D54" s="465"/>
      <c r="E54" s="465"/>
      <c r="F54" s="465"/>
      <c r="G54" s="465"/>
      <c r="H54" s="465"/>
      <c r="I54" s="465"/>
      <c r="J54" s="465"/>
      <c r="K54" s="465"/>
      <c r="L54" s="465"/>
      <c r="M54" s="466"/>
      <c r="N54" s="2519"/>
      <c r="O54" s="2519"/>
      <c r="P54" s="2527"/>
      <c r="Q54" s="2505"/>
      <c r="R54" s="2484"/>
      <c r="S54" s="2484"/>
      <c r="T54" s="2484"/>
      <c r="U54" s="2484"/>
      <c r="V54" s="2484"/>
      <c r="W54" s="2484"/>
      <c r="X54" s="2484"/>
      <c r="Y54" s="2484"/>
      <c r="Z54" s="2484"/>
      <c r="AA54" s="2484"/>
      <c r="AB54" s="2484"/>
      <c r="AC54" s="2484"/>
    </row>
    <row r="55" spans="1:29" ht="27.75" thickTop="1">
      <c r="A55" s="367"/>
      <c r="B55" s="467" t="s">
        <v>1688</v>
      </c>
      <c r="C55" s="511"/>
      <c r="D55" s="511"/>
      <c r="E55" s="511"/>
      <c r="F55" s="511"/>
      <c r="G55" s="511"/>
      <c r="H55" s="511"/>
      <c r="I55" s="511"/>
      <c r="J55" s="511"/>
      <c r="K55" s="512"/>
      <c r="L55" s="513"/>
      <c r="M55" s="514"/>
      <c r="N55" s="2518"/>
      <c r="O55" s="2518"/>
      <c r="P55" s="2527"/>
      <c r="Q55" s="2505"/>
      <c r="R55" s="2484"/>
      <c r="S55" s="2484"/>
      <c r="T55" s="2484"/>
      <c r="U55" s="2484"/>
      <c r="V55" s="2484"/>
      <c r="W55" s="2484"/>
      <c r="X55" s="2484"/>
      <c r="Y55" s="2484"/>
      <c r="Z55" s="2484"/>
      <c r="AA55" s="2484"/>
      <c r="AB55" s="2484"/>
      <c r="AC55" s="2484"/>
    </row>
    <row r="56" spans="1:29" ht="15.75" thickBot="1">
      <c r="A56" s="367"/>
      <c r="B56" s="472"/>
      <c r="C56" s="465"/>
      <c r="D56" s="465"/>
      <c r="E56" s="465"/>
      <c r="F56" s="465"/>
      <c r="G56" s="465"/>
      <c r="H56" s="465"/>
      <c r="I56" s="465"/>
      <c r="J56" s="465"/>
      <c r="K56" s="465"/>
      <c r="L56" s="465"/>
      <c r="M56" s="466"/>
      <c r="N56" s="2519"/>
      <c r="O56" s="2519"/>
      <c r="P56" s="2527"/>
      <c r="Q56" s="2505"/>
      <c r="R56" s="2484"/>
      <c r="S56" s="2484"/>
      <c r="T56" s="2484"/>
      <c r="U56" s="2484"/>
      <c r="V56" s="2484"/>
      <c r="W56" s="2484"/>
      <c r="X56" s="2484"/>
      <c r="Y56" s="2484"/>
      <c r="Z56" s="2484"/>
      <c r="AA56" s="2484"/>
      <c r="AB56" s="2484"/>
      <c r="AC56" s="2484"/>
    </row>
    <row r="57" spans="1:29" ht="15.75" thickTop="1">
      <c r="A57" s="367"/>
      <c r="B57" s="579">
        <f>B11</f>
        <v>111</v>
      </c>
      <c r="C57" s="478"/>
      <c r="D57" s="478"/>
      <c r="E57" s="478"/>
      <c r="F57" s="478"/>
      <c r="G57" s="478"/>
      <c r="H57" s="478"/>
      <c r="I57" s="478"/>
      <c r="J57" s="478"/>
      <c r="K57" s="479"/>
      <c r="L57" s="480"/>
      <c r="M57" s="481"/>
      <c r="N57" s="2518"/>
      <c r="O57" s="2518"/>
      <c r="P57" s="2527"/>
      <c r="Q57" s="2505"/>
      <c r="R57" s="2484"/>
      <c r="S57" s="2484"/>
      <c r="T57" s="2484"/>
      <c r="U57" s="2484"/>
      <c r="V57" s="2484"/>
      <c r="W57" s="2484"/>
      <c r="X57" s="2484"/>
      <c r="Y57" s="2484"/>
      <c r="Z57" s="2484"/>
      <c r="AA57" s="2484"/>
      <c r="AB57" s="2484"/>
      <c r="AC57" s="2484"/>
    </row>
    <row r="58" spans="1:29" ht="15.75" thickBot="1">
      <c r="A58" s="367"/>
      <c r="B58" s="464"/>
      <c r="C58" s="489"/>
      <c r="D58" s="465"/>
      <c r="E58" s="465"/>
      <c r="F58" s="465"/>
      <c r="G58" s="465"/>
      <c r="H58" s="465"/>
      <c r="I58" s="465"/>
      <c r="J58" s="465"/>
      <c r="K58" s="465"/>
      <c r="L58" s="465"/>
      <c r="M58" s="466"/>
      <c r="N58" s="2519"/>
      <c r="O58" s="2519"/>
      <c r="P58" s="2527"/>
      <c r="Q58" s="2505"/>
      <c r="R58" s="2484"/>
      <c r="S58" s="2484"/>
      <c r="T58" s="2484"/>
      <c r="U58" s="2484"/>
      <c r="V58" s="2484"/>
      <c r="W58" s="2484"/>
      <c r="X58" s="2484"/>
      <c r="Y58" s="2484"/>
      <c r="Z58" s="2484"/>
      <c r="AA58" s="2484"/>
      <c r="AB58" s="2484"/>
      <c r="AC58" s="2484"/>
    </row>
    <row r="59" spans="1:29" s="408" customFormat="1" ht="15.75" thickTop="1">
      <c r="A59" s="482"/>
      <c r="B59" s="467">
        <f>B12</f>
        <v>111</v>
      </c>
      <c r="C59" s="478"/>
      <c r="D59" s="478"/>
      <c r="E59" s="478"/>
      <c r="F59" s="478"/>
      <c r="G59" s="483"/>
      <c r="H59" s="484"/>
      <c r="I59" s="484"/>
      <c r="J59" s="484"/>
      <c r="K59" s="484"/>
      <c r="L59" s="485"/>
      <c r="M59" s="486"/>
      <c r="N59" s="2520"/>
      <c r="O59" s="2520"/>
      <c r="P59" s="2528"/>
      <c r="Q59" s="2512"/>
      <c r="R59" s="2490"/>
      <c r="S59" s="2490"/>
      <c r="T59" s="2490"/>
      <c r="U59" s="2490"/>
      <c r="V59" s="2490"/>
      <c r="W59" s="2490"/>
      <c r="X59" s="2490"/>
      <c r="Y59" s="2490"/>
      <c r="Z59" s="2490"/>
      <c r="AA59" s="2490"/>
      <c r="AB59" s="2490"/>
      <c r="AC59" s="2490"/>
    </row>
    <row r="60" spans="1:29" s="408" customFormat="1" ht="15.75" thickBot="1">
      <c r="A60" s="482"/>
      <c r="B60" s="472"/>
      <c r="C60" s="489"/>
      <c r="D60" s="465"/>
      <c r="E60" s="465"/>
      <c r="F60" s="465"/>
      <c r="G60" s="465"/>
      <c r="H60" s="465"/>
      <c r="I60" s="465"/>
      <c r="J60" s="465"/>
      <c r="K60" s="465"/>
      <c r="L60" s="465"/>
      <c r="M60" s="466"/>
      <c r="N60" s="2519"/>
      <c r="O60" s="2519"/>
      <c r="P60" s="2528"/>
      <c r="Q60" s="2512"/>
      <c r="R60" s="2490"/>
      <c r="S60" s="2490"/>
      <c r="T60" s="2490"/>
      <c r="U60" s="2490"/>
      <c r="V60" s="2490"/>
      <c r="W60" s="2490"/>
      <c r="X60" s="2490"/>
      <c r="Y60" s="2490"/>
      <c r="Z60" s="2490"/>
      <c r="AA60" s="2490"/>
      <c r="AB60" s="2490"/>
      <c r="AC60" s="2490"/>
    </row>
    <row r="61" spans="1:29" s="408" customFormat="1" ht="15.75" thickTop="1">
      <c r="A61" s="482"/>
      <c r="B61" s="467">
        <f>B13</f>
        <v>111</v>
      </c>
      <c r="C61" s="483"/>
      <c r="D61" s="483"/>
      <c r="E61" s="483"/>
      <c r="F61" s="483"/>
      <c r="G61" s="483"/>
      <c r="H61" s="484"/>
      <c r="I61" s="484"/>
      <c r="J61" s="484"/>
      <c r="K61" s="484"/>
      <c r="L61" s="485"/>
      <c r="M61" s="486"/>
      <c r="N61" s="2520"/>
      <c r="O61" s="2520"/>
      <c r="P61" s="2529"/>
      <c r="Q61" s="2514"/>
      <c r="R61" s="2490"/>
      <c r="S61" s="2490"/>
      <c r="T61" s="2490"/>
      <c r="U61" s="2490"/>
      <c r="V61" s="2490"/>
      <c r="W61" s="2490"/>
      <c r="X61" s="2490"/>
      <c r="Y61" s="2490"/>
      <c r="Z61" s="2490"/>
      <c r="AA61" s="2490"/>
      <c r="AB61" s="2490"/>
      <c r="AC61" s="2490"/>
    </row>
    <row r="62" spans="1:29" s="408" customFormat="1" ht="15.75" thickBot="1">
      <c r="A62" s="482"/>
      <c r="B62" s="472"/>
      <c r="C62" s="489"/>
      <c r="D62" s="489"/>
      <c r="E62" s="489"/>
      <c r="F62" s="489"/>
      <c r="G62" s="489"/>
      <c r="H62" s="491"/>
      <c r="I62" s="491"/>
      <c r="J62" s="491"/>
      <c r="K62" s="491"/>
      <c r="L62" s="491"/>
      <c r="M62" s="492"/>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8"/>
      <c r="O63" s="2518"/>
      <c r="P63" s="2531"/>
      <c r="Q63" s="2505"/>
      <c r="R63" s="2484"/>
      <c r="S63" s="2484"/>
      <c r="T63" s="2484"/>
      <c r="U63" s="2484"/>
      <c r="V63" s="2484"/>
      <c r="W63" s="2484"/>
      <c r="X63" s="2484"/>
      <c r="Y63" s="2484"/>
      <c r="Z63" s="2484"/>
      <c r="AA63" s="2484"/>
      <c r="AB63" s="2484"/>
      <c r="AC63" s="2484"/>
    </row>
    <row r="64" spans="1:29" ht="15.75" thickBot="1">
      <c r="A64" s="367"/>
      <c r="B64" s="472"/>
      <c r="C64" s="473">
        <v>100</v>
      </c>
      <c r="D64" s="473">
        <f>C64-$K14</f>
        <v>97</v>
      </c>
      <c r="E64" s="473">
        <f>D64-$K14</f>
        <v>94</v>
      </c>
      <c r="F64" s="473">
        <f>E64-$K14</f>
        <v>91</v>
      </c>
      <c r="G64" s="473">
        <f>F64-$K14</f>
        <v>88</v>
      </c>
      <c r="H64" s="473"/>
      <c r="I64" s="473"/>
      <c r="J64" s="473"/>
      <c r="K64" s="473"/>
      <c r="L64" s="473"/>
      <c r="M64" s="474"/>
      <c r="N64" s="2519"/>
      <c r="O64" s="2519"/>
      <c r="P64" s="2527"/>
      <c r="Q64" s="2505"/>
      <c r="R64" s="2484"/>
      <c r="S64" s="2484"/>
      <c r="T64" s="2484"/>
      <c r="U64" s="2484"/>
      <c r="V64" s="2484"/>
      <c r="W64" s="2484"/>
      <c r="X64" s="2484"/>
      <c r="Y64" s="2484"/>
      <c r="Z64" s="2484"/>
      <c r="AA64" s="2484"/>
      <c r="AB64" s="2484"/>
      <c r="AC64" s="2484"/>
    </row>
    <row r="65" spans="1:29" ht="15.75" thickTop="1">
      <c r="A65" s="367"/>
      <c r="B65" s="467" t="s">
        <v>1727</v>
      </c>
      <c r="C65" s="507" t="s">
        <v>1721</v>
      </c>
      <c r="D65" s="507" t="s">
        <v>1722</v>
      </c>
      <c r="E65" s="507" t="s">
        <v>1723</v>
      </c>
      <c r="F65" s="507" t="s">
        <v>1724</v>
      </c>
      <c r="G65" s="507" t="s">
        <v>1725</v>
      </c>
      <c r="H65" s="468"/>
      <c r="I65" s="468"/>
      <c r="J65" s="468"/>
      <c r="K65" s="469"/>
      <c r="L65" s="470"/>
      <c r="M65" s="471"/>
      <c r="N65" s="2518"/>
      <c r="O65" s="2518"/>
      <c r="P65" s="2527"/>
      <c r="Q65" s="2505"/>
      <c r="R65" s="2484"/>
      <c r="S65" s="2484"/>
      <c r="T65" s="2484"/>
      <c r="U65" s="2484"/>
      <c r="V65" s="2484"/>
      <c r="W65" s="2484"/>
      <c r="X65" s="2484"/>
      <c r="Y65" s="2484"/>
      <c r="Z65" s="2484"/>
      <c r="AA65" s="2484"/>
      <c r="AB65" s="2484"/>
      <c r="AC65" s="2484"/>
    </row>
    <row r="66" spans="1:29" ht="15.75" thickBot="1">
      <c r="A66" s="367"/>
      <c r="B66" s="472"/>
      <c r="C66" s="473">
        <v>100</v>
      </c>
      <c r="D66" s="473">
        <f>C66-$K16</f>
        <v>97</v>
      </c>
      <c r="E66" s="473">
        <f>D66-$K16</f>
        <v>94</v>
      </c>
      <c r="F66" s="473">
        <f>E66-$K16</f>
        <v>91</v>
      </c>
      <c r="G66" s="473">
        <f>F66-$K16</f>
        <v>88</v>
      </c>
      <c r="H66" s="473"/>
      <c r="I66" s="473"/>
      <c r="J66" s="473"/>
      <c r="K66" s="473"/>
      <c r="L66" s="473"/>
      <c r="M66" s="474"/>
      <c r="N66" s="2519"/>
      <c r="O66" s="2519"/>
      <c r="P66" s="2527"/>
      <c r="Q66" s="2505"/>
      <c r="R66" s="2484"/>
      <c r="S66" s="2484"/>
      <c r="T66" s="2484"/>
      <c r="U66" s="2484"/>
      <c r="V66" s="2484"/>
      <c r="W66" s="2484"/>
      <c r="X66" s="2484"/>
      <c r="Y66" s="2484"/>
      <c r="Z66" s="2484"/>
      <c r="AA66" s="2484"/>
      <c r="AB66" s="2484"/>
      <c r="AC66" s="2484"/>
    </row>
    <row r="67" spans="1:29" ht="15.75" thickTop="1">
      <c r="A67" s="367"/>
      <c r="B67" s="475" t="s">
        <v>1813</v>
      </c>
      <c r="C67" s="579" t="s">
        <v>1799</v>
      </c>
      <c r="D67" s="579" t="s">
        <v>1800</v>
      </c>
      <c r="E67" s="579" t="s">
        <v>1801</v>
      </c>
      <c r="F67" s="579" t="s">
        <v>1802</v>
      </c>
      <c r="G67" s="579" t="s">
        <v>1803</v>
      </c>
      <c r="H67" s="468"/>
      <c r="I67" s="468"/>
      <c r="J67" s="468"/>
      <c r="K67" s="468"/>
      <c r="L67" s="468"/>
      <c r="M67" s="1061"/>
      <c r="N67" s="2519"/>
      <c r="O67" s="2519"/>
      <c r="P67" s="2527"/>
      <c r="Q67" s="2505"/>
      <c r="R67" s="2484"/>
      <c r="S67" s="2484"/>
      <c r="T67" s="2484"/>
      <c r="U67" s="2484"/>
      <c r="V67" s="2484"/>
      <c r="W67" s="2484"/>
      <c r="X67" s="2484"/>
      <c r="Y67" s="2484"/>
      <c r="Z67" s="2484"/>
      <c r="AA67" s="2484"/>
      <c r="AB67" s="2484"/>
      <c r="AC67" s="2484"/>
    </row>
    <row r="68" spans="1:29" ht="15.75" thickBot="1">
      <c r="A68" s="367"/>
      <c r="B68" s="475"/>
      <c r="C68" s="473">
        <v>100</v>
      </c>
      <c r="D68" s="473">
        <f>C68-$K18</f>
        <v>98</v>
      </c>
      <c r="E68" s="473">
        <f>D68-$K18</f>
        <v>96</v>
      </c>
      <c r="F68" s="473">
        <f>E68-$K18</f>
        <v>94</v>
      </c>
      <c r="G68" s="473">
        <f>F68-$K18</f>
        <v>92</v>
      </c>
      <c r="H68" s="579"/>
      <c r="I68" s="579"/>
      <c r="J68" s="579"/>
      <c r="K68" s="579"/>
      <c r="L68" s="579"/>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7" t="s">
        <v>1733</v>
      </c>
      <c r="C69" s="507" t="s">
        <v>1721</v>
      </c>
      <c r="D69" s="507" t="s">
        <v>1722</v>
      </c>
      <c r="E69" s="507" t="s">
        <v>1723</v>
      </c>
      <c r="F69" s="507" t="s">
        <v>1724</v>
      </c>
      <c r="G69" s="507" t="s">
        <v>1725</v>
      </c>
      <c r="H69" s="468"/>
      <c r="I69" s="468"/>
      <c r="J69" s="468"/>
      <c r="K69" s="469"/>
      <c r="L69" s="470"/>
      <c r="M69" s="471"/>
      <c r="N69" s="2518"/>
      <c r="O69" s="2518"/>
      <c r="P69" s="2527"/>
      <c r="Q69" s="2505"/>
      <c r="R69" s="2484"/>
      <c r="S69" s="2484"/>
      <c r="T69" s="2484"/>
      <c r="U69" s="2484"/>
      <c r="V69" s="2484"/>
      <c r="W69" s="2484"/>
      <c r="X69" s="2484"/>
      <c r="Y69" s="2484"/>
      <c r="Z69" s="2484"/>
      <c r="AA69" s="2484"/>
      <c r="AB69" s="2484"/>
      <c r="AC69" s="2484"/>
    </row>
    <row r="70" spans="1:29" ht="15.75" thickBot="1">
      <c r="A70" s="367"/>
      <c r="B70" s="472"/>
      <c r="C70" s="473">
        <v>100</v>
      </c>
      <c r="D70" s="473">
        <f>C70-$K20</f>
        <v>97</v>
      </c>
      <c r="E70" s="473">
        <f>D70-$K20</f>
        <v>94</v>
      </c>
      <c r="F70" s="473">
        <f>E70-$K20</f>
        <v>91</v>
      </c>
      <c r="G70" s="473">
        <f>F70-$K20</f>
        <v>88</v>
      </c>
      <c r="H70" s="473"/>
      <c r="I70" s="473"/>
      <c r="J70" s="473"/>
      <c r="K70" s="473"/>
      <c r="L70" s="473"/>
      <c r="M70" s="474"/>
      <c r="N70" s="2519"/>
      <c r="O70" s="2519"/>
      <c r="P70" s="2527"/>
      <c r="Q70" s="2505"/>
      <c r="R70" s="2484"/>
      <c r="S70" s="2484"/>
      <c r="T70" s="2484"/>
      <c r="U70" s="2484"/>
      <c r="V70" s="2484"/>
      <c r="W70" s="2484"/>
      <c r="X70" s="2484"/>
      <c r="Y70" s="2484"/>
      <c r="Z70" s="2484"/>
      <c r="AA70" s="2484"/>
      <c r="AB70" s="2484"/>
      <c r="AC70" s="2484"/>
    </row>
    <row r="71" spans="1:29" ht="15.75" thickTop="1">
      <c r="A71" s="367"/>
      <c r="B71" s="467" t="s">
        <v>1852</v>
      </c>
      <c r="C71" s="483"/>
      <c r="D71" s="483"/>
      <c r="E71" s="483"/>
      <c r="F71" s="483"/>
      <c r="G71" s="483"/>
      <c r="H71" s="511"/>
      <c r="I71" s="511"/>
      <c r="J71" s="511"/>
      <c r="K71" s="512"/>
      <c r="L71" s="513"/>
      <c r="M71" s="514"/>
      <c r="N71" s="2518"/>
      <c r="O71" s="2518"/>
      <c r="P71" s="2527"/>
      <c r="Q71" s="2505"/>
      <c r="R71" s="2484"/>
      <c r="S71" s="2484"/>
      <c r="T71" s="2484"/>
      <c r="U71" s="2484"/>
      <c r="V71" s="2484"/>
      <c r="W71" s="2484"/>
      <c r="X71" s="2484"/>
      <c r="Y71" s="2484"/>
      <c r="Z71" s="2484"/>
      <c r="AA71" s="2484"/>
      <c r="AB71" s="2484"/>
      <c r="AC71" s="2484"/>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7">
        <f>B23</f>
        <v>111</v>
      </c>
      <c r="C73" s="478"/>
      <c r="D73" s="478"/>
      <c r="E73" s="478"/>
      <c r="F73" s="478"/>
      <c r="G73" s="483"/>
      <c r="H73" s="483"/>
      <c r="I73" s="483"/>
      <c r="J73" s="483"/>
      <c r="K73" s="483"/>
      <c r="L73" s="508"/>
      <c r="M73" s="509"/>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2"/>
      <c r="C74" s="489"/>
      <c r="D74" s="465"/>
      <c r="E74" s="465"/>
      <c r="F74" s="465"/>
      <c r="G74" s="465"/>
      <c r="H74" s="465"/>
      <c r="I74" s="465"/>
      <c r="J74" s="465"/>
      <c r="K74" s="465"/>
      <c r="L74" s="465"/>
      <c r="M74" s="466"/>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7">
        <f>B24</f>
        <v>111</v>
      </c>
      <c r="C75" s="478"/>
      <c r="D75" s="478"/>
      <c r="E75" s="478"/>
      <c r="F75" s="478"/>
      <c r="G75" s="483"/>
      <c r="H75" s="483"/>
      <c r="I75" s="483"/>
      <c r="J75" s="483"/>
      <c r="K75" s="483"/>
      <c r="L75" s="483"/>
      <c r="M75" s="509"/>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2"/>
      <c r="C76" s="489"/>
      <c r="D76" s="465"/>
      <c r="E76" s="465"/>
      <c r="F76" s="465"/>
      <c r="G76" s="465"/>
      <c r="H76" s="465"/>
      <c r="I76" s="465"/>
      <c r="J76" s="465"/>
      <c r="K76" s="465"/>
      <c r="L76" s="465"/>
      <c r="M76" s="466"/>
      <c r="N76" s="2519"/>
      <c r="O76" s="2519"/>
      <c r="P76" s="2527"/>
      <c r="Q76" s="2505"/>
      <c r="R76" s="2436"/>
      <c r="S76" s="2436"/>
      <c r="T76" s="2436"/>
      <c r="U76" s="2436"/>
      <c r="V76" s="2436"/>
      <c r="W76" s="2436"/>
      <c r="X76" s="2436"/>
      <c r="Y76" s="2436"/>
      <c r="Z76" s="2436"/>
      <c r="AA76" s="2436"/>
      <c r="AB76" s="2436"/>
      <c r="AC76" s="2436"/>
    </row>
    <row r="77" spans="1:29" s="408" customFormat="1" ht="15.75" thickTop="1">
      <c r="A77" s="482"/>
      <c r="B77" s="467">
        <f>B25</f>
        <v>111</v>
      </c>
      <c r="C77" s="483"/>
      <c r="D77" s="483"/>
      <c r="E77" s="483"/>
      <c r="F77" s="483"/>
      <c r="G77" s="483"/>
      <c r="H77" s="484"/>
      <c r="I77" s="484"/>
      <c r="J77" s="484"/>
      <c r="K77" s="484"/>
      <c r="L77" s="485"/>
      <c r="M77" s="486"/>
      <c r="N77" s="2520"/>
      <c r="O77" s="2520"/>
      <c r="P77" s="2528"/>
      <c r="Q77" s="2512"/>
      <c r="R77" s="2490"/>
      <c r="S77" s="2490"/>
      <c r="T77" s="2490"/>
      <c r="U77" s="2490"/>
      <c r="V77" s="2490"/>
      <c r="W77" s="2490"/>
      <c r="X77" s="2490"/>
      <c r="Y77" s="2490"/>
      <c r="Z77" s="2490"/>
      <c r="AA77" s="2490"/>
      <c r="AB77" s="2490"/>
      <c r="AC77" s="2490"/>
    </row>
    <row r="78" spans="1:29" s="408" customFormat="1" ht="15.75" thickBot="1">
      <c r="A78" s="482"/>
      <c r="B78" s="472"/>
      <c r="C78" s="489"/>
      <c r="D78" s="489"/>
      <c r="E78" s="489"/>
      <c r="F78" s="489"/>
      <c r="G78" s="465"/>
      <c r="H78" s="465"/>
      <c r="I78" s="465"/>
      <c r="J78" s="465"/>
      <c r="K78" s="465"/>
      <c r="L78" s="465"/>
      <c r="M78" s="466"/>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58" t="s">
        <v>1853</v>
      </c>
      <c r="C79" s="459" t="str">
        <f>C26</f>
        <v>住宅</v>
      </c>
      <c r="D79" s="460"/>
      <c r="E79" s="460"/>
      <c r="F79" s="460"/>
      <c r="G79" s="460"/>
      <c r="H79" s="460"/>
      <c r="I79" s="460"/>
      <c r="J79" s="460"/>
      <c r="K79" s="461"/>
      <c r="L79" s="462"/>
      <c r="M79" s="463"/>
      <c r="N79" s="2518"/>
      <c r="O79" s="2518"/>
      <c r="P79" s="2527"/>
      <c r="Q79" s="2505"/>
      <c r="R79" s="2484"/>
      <c r="S79" s="2484"/>
      <c r="T79" s="2484"/>
      <c r="U79" s="2484"/>
      <c r="V79" s="2484"/>
      <c r="W79" s="2484"/>
      <c r="X79" s="2484"/>
      <c r="Y79" s="2484"/>
      <c r="Z79" s="2484"/>
      <c r="AA79" s="2484"/>
      <c r="AB79" s="2484"/>
      <c r="AC79" s="2484"/>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9"/>
      <c r="O80" s="2519"/>
      <c r="P80" s="2527"/>
      <c r="Q80" s="2505"/>
      <c r="R80" s="2484"/>
      <c r="S80" s="2484"/>
      <c r="T80" s="2484"/>
      <c r="U80" s="2484"/>
      <c r="V80" s="2484"/>
      <c r="W80" s="2484"/>
      <c r="X80" s="2484"/>
      <c r="Y80" s="2484"/>
      <c r="Z80" s="2484"/>
      <c r="AA80" s="2484"/>
      <c r="AB80" s="2484"/>
      <c r="AC80" s="2484"/>
    </row>
    <row r="81" spans="1:29" ht="15.75" thickTop="1">
      <c r="A81" s="367"/>
      <c r="B81" s="467" t="s">
        <v>1854</v>
      </c>
      <c r="C81" s="580"/>
      <c r="D81" s="580"/>
      <c r="E81" s="580"/>
      <c r="F81" s="580"/>
      <c r="G81" s="580"/>
      <c r="H81" s="580"/>
      <c r="I81" s="580"/>
      <c r="J81" s="580"/>
      <c r="K81" s="581"/>
      <c r="L81" s="582"/>
      <c r="M81" s="583"/>
      <c r="N81" s="2517"/>
      <c r="O81" s="2517"/>
      <c r="P81" s="2527"/>
      <c r="Q81" s="2505"/>
      <c r="R81" s="2484"/>
      <c r="S81" s="2484"/>
      <c r="T81" s="2484"/>
      <c r="U81" s="2484"/>
      <c r="V81" s="2484"/>
      <c r="W81" s="2484"/>
      <c r="X81" s="2484"/>
      <c r="Y81" s="2484"/>
      <c r="Z81" s="2484"/>
      <c r="AA81" s="2484"/>
      <c r="AB81" s="2484"/>
      <c r="AC81" s="2484"/>
    </row>
    <row r="82" spans="1:29" s="408" customFormat="1" ht="15.75" thickBot="1">
      <c r="A82" s="482"/>
      <c r="B82" s="472"/>
      <c r="C82" s="489"/>
      <c r="D82" s="465"/>
      <c r="E82" s="465"/>
      <c r="F82" s="465"/>
      <c r="G82" s="465"/>
      <c r="H82" s="465"/>
      <c r="I82" s="465"/>
      <c r="J82" s="465"/>
      <c r="K82" s="465"/>
      <c r="L82" s="465"/>
      <c r="M82" s="466"/>
      <c r="N82" s="2519"/>
      <c r="O82" s="2519"/>
      <c r="P82" s="2528"/>
      <c r="Q82" s="2512"/>
      <c r="R82" s="2490"/>
      <c r="S82" s="2490"/>
      <c r="T82" s="2490"/>
      <c r="U82" s="2490"/>
      <c r="V82" s="2490"/>
      <c r="W82" s="2490"/>
      <c r="X82" s="2490"/>
      <c r="Y82" s="2490"/>
      <c r="Z82" s="2490"/>
      <c r="AA82" s="2490"/>
      <c r="AB82" s="2490"/>
      <c r="AC82" s="2490"/>
    </row>
    <row r="83" spans="1:29" ht="15" thickTop="1">
      <c r="A83" s="409"/>
      <c r="B83" s="467" t="s">
        <v>1740</v>
      </c>
      <c r="C83" s="483"/>
      <c r="D83" s="483"/>
      <c r="E83" s="511"/>
      <c r="F83" s="511"/>
      <c r="G83" s="511"/>
      <c r="H83" s="511"/>
      <c r="I83" s="511"/>
      <c r="J83" s="511"/>
      <c r="K83" s="512"/>
      <c r="L83" s="513"/>
      <c r="M83" s="514"/>
      <c r="N83" s="2518"/>
      <c r="O83" s="2518"/>
      <c r="P83" s="2527"/>
      <c r="Q83" s="2505"/>
      <c r="R83" s="2484"/>
      <c r="S83" s="2484"/>
      <c r="T83" s="2484"/>
      <c r="U83" s="2484"/>
      <c r="V83" s="2484"/>
      <c r="W83" s="2484"/>
      <c r="X83" s="2484"/>
      <c r="Y83" s="2484"/>
      <c r="Z83" s="2484"/>
      <c r="AA83" s="2484"/>
      <c r="AB83" s="2484"/>
      <c r="AC83" s="2484"/>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8"/>
      <c r="O85" s="2518"/>
      <c r="P85" s="2527"/>
      <c r="Q85" s="2505"/>
      <c r="R85" s="2484"/>
      <c r="S85" s="2484"/>
      <c r="T85" s="2484"/>
      <c r="U85" s="2484"/>
      <c r="V85" s="2484"/>
      <c r="W85" s="2484"/>
      <c r="X85" s="2484"/>
      <c r="Y85" s="2484"/>
      <c r="Z85" s="2484"/>
      <c r="AA85" s="2484"/>
      <c r="AB85" s="2484"/>
      <c r="AC85" s="2484"/>
    </row>
    <row r="86" spans="1:29">
      <c r="A86" s="409"/>
      <c r="B86" s="475"/>
      <c r="C86" s="528">
        <v>0.5</v>
      </c>
      <c r="D86" s="528">
        <v>0.6</v>
      </c>
      <c r="E86" s="528">
        <v>0.7</v>
      </c>
      <c r="F86" s="528">
        <v>0.8</v>
      </c>
      <c r="G86" s="528">
        <v>0.9</v>
      </c>
      <c r="H86" s="528">
        <v>1.0001</v>
      </c>
      <c r="I86" s="546"/>
      <c r="J86" s="546"/>
      <c r="K86" s="547"/>
      <c r="L86" s="548"/>
      <c r="M86" s="549"/>
      <c r="N86" s="2518"/>
      <c r="O86" s="2518"/>
      <c r="P86" s="2527"/>
      <c r="Q86" s="2505"/>
      <c r="R86" s="2484"/>
      <c r="S86" s="2484"/>
      <c r="T86" s="2484"/>
      <c r="U86" s="2484"/>
      <c r="V86" s="2484"/>
      <c r="W86" s="2484"/>
      <c r="X86" s="2484"/>
      <c r="Y86" s="2484"/>
      <c r="Z86" s="2484"/>
      <c r="AA86" s="2484"/>
      <c r="AB86" s="2484"/>
      <c r="AC86" s="2484"/>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9"/>
      <c r="O87" s="2519"/>
      <c r="P87" s="2527"/>
      <c r="Q87" s="2505"/>
      <c r="R87" s="2484"/>
      <c r="S87" s="2484"/>
      <c r="T87" s="2484"/>
      <c r="U87" s="2484"/>
      <c r="V87" s="2484"/>
      <c r="W87" s="2484"/>
      <c r="X87" s="2484"/>
      <c r="Y87" s="2484"/>
      <c r="Z87" s="2484"/>
      <c r="AA87" s="2484"/>
      <c r="AB87" s="2484"/>
      <c r="AC87" s="2484"/>
    </row>
    <row r="88" spans="1:29" ht="15" thickTop="1">
      <c r="A88" s="409"/>
      <c r="B88" s="475" t="s">
        <v>1856</v>
      </c>
      <c r="C88" s="460"/>
      <c r="D88" s="460"/>
      <c r="E88" s="460"/>
      <c r="F88" s="460"/>
      <c r="G88" s="460"/>
      <c r="H88" s="460"/>
      <c r="I88" s="460"/>
      <c r="J88" s="460"/>
      <c r="K88" s="461"/>
      <c r="L88" s="462"/>
      <c r="M88" s="463"/>
      <c r="N88" s="2518"/>
      <c r="O88" s="2518"/>
      <c r="P88" s="2527"/>
      <c r="Q88" s="2505"/>
      <c r="R88" s="2484"/>
      <c r="S88" s="2484"/>
      <c r="T88" s="2484"/>
      <c r="U88" s="2484"/>
      <c r="V88" s="2484"/>
      <c r="W88" s="2484"/>
      <c r="X88" s="2484"/>
      <c r="Y88" s="2484"/>
      <c r="Z88" s="2484"/>
      <c r="AA88" s="2484"/>
      <c r="AB88" s="2484"/>
      <c r="AC88" s="2484"/>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5"/>
      <c r="C91" s="6">
        <v>0</v>
      </c>
      <c r="D91" s="6">
        <v>35</v>
      </c>
      <c r="E91" s="6">
        <v>45</v>
      </c>
      <c r="F91" s="6">
        <v>55</v>
      </c>
      <c r="G91" s="6"/>
      <c r="H91" s="6"/>
      <c r="I91" s="6"/>
      <c r="J91" s="522"/>
      <c r="K91" s="522"/>
      <c r="L91" s="523"/>
      <c r="M91" s="524"/>
      <c r="N91" s="2520"/>
      <c r="O91" s="2520"/>
      <c r="P91" s="2528"/>
      <c r="Q91" s="2512"/>
      <c r="R91" s="2490"/>
      <c r="S91" s="2490"/>
      <c r="T91" s="2490"/>
      <c r="U91" s="2490"/>
      <c r="V91" s="2490"/>
      <c r="W91" s="2490"/>
      <c r="X91" s="2490"/>
      <c r="Y91" s="2490"/>
      <c r="Z91" s="2490"/>
      <c r="AA91" s="2490"/>
      <c r="AB91" s="2490"/>
      <c r="AC91" s="2490"/>
    </row>
    <row r="92" spans="1:29" s="408" customFormat="1" ht="15.75" thickBot="1">
      <c r="A92" s="482"/>
      <c r="B92" s="472"/>
      <c r="C92" s="489">
        <v>100</v>
      </c>
      <c r="D92" s="465">
        <v>101</v>
      </c>
      <c r="E92" s="465">
        <v>102</v>
      </c>
      <c r="F92" s="465">
        <v>103</v>
      </c>
      <c r="G92" s="465"/>
      <c r="H92" s="465"/>
      <c r="I92" s="465"/>
      <c r="J92" s="465"/>
      <c r="K92" s="465"/>
      <c r="L92" s="465"/>
      <c r="M92" s="466"/>
      <c r="N92" s="2520"/>
      <c r="O92" s="2520"/>
      <c r="P92" s="2528"/>
      <c r="Q92" s="2512"/>
      <c r="R92" s="2490"/>
      <c r="S92" s="2490"/>
      <c r="T92" s="2490"/>
      <c r="U92" s="2490"/>
      <c r="V92" s="2490"/>
      <c r="W92" s="2490"/>
      <c r="X92" s="2490"/>
      <c r="Y92" s="2490"/>
      <c r="Z92" s="2490"/>
      <c r="AA92" s="2490"/>
      <c r="AB92" s="2490"/>
      <c r="AC92" s="2490"/>
    </row>
    <row r="93" spans="1:29" ht="15" thickTop="1">
      <c r="A93" s="409"/>
      <c r="B93" s="467" t="s">
        <v>1858</v>
      </c>
      <c r="C93" s="483"/>
      <c r="D93" s="483"/>
      <c r="E93" s="511"/>
      <c r="F93" s="511"/>
      <c r="G93" s="511"/>
      <c r="H93" s="511"/>
      <c r="I93" s="511"/>
      <c r="J93" s="511"/>
      <c r="K93" s="512"/>
      <c r="L93" s="513"/>
      <c r="M93" s="514"/>
      <c r="N93" s="2518"/>
      <c r="O93" s="2518"/>
      <c r="P93" s="2527"/>
      <c r="Q93" s="2505"/>
      <c r="R93" s="2484"/>
      <c r="S93" s="2484"/>
      <c r="T93" s="2484"/>
      <c r="U93" s="2484"/>
      <c r="V93" s="2484"/>
      <c r="W93" s="2484"/>
      <c r="X93" s="2484"/>
      <c r="Y93" s="2484"/>
      <c r="Z93" s="2484"/>
      <c r="AA93" s="2484"/>
      <c r="AB93" s="2484"/>
      <c r="AC93" s="2484"/>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7" t="s">
        <v>1859</v>
      </c>
      <c r="C95" s="460"/>
      <c r="D95" s="460"/>
      <c r="E95" s="460"/>
      <c r="F95" s="460"/>
      <c r="G95" s="460"/>
      <c r="H95" s="460"/>
      <c r="I95" s="460"/>
      <c r="J95" s="460"/>
      <c r="K95" s="461"/>
      <c r="L95" s="462"/>
      <c r="M95" s="463"/>
      <c r="N95" s="2518"/>
      <c r="O95" s="2518"/>
      <c r="P95" s="2527"/>
      <c r="Q95" s="2505"/>
      <c r="R95" s="2484"/>
      <c r="S95" s="2484"/>
      <c r="T95" s="2484"/>
      <c r="U95" s="2484"/>
      <c r="V95" s="2484"/>
      <c r="W95" s="2484"/>
      <c r="X95" s="2484"/>
      <c r="Y95" s="2484"/>
      <c r="Z95" s="2484"/>
      <c r="AA95" s="2484"/>
      <c r="AB95" s="2484"/>
      <c r="AC95" s="2484"/>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9"/>
      <c r="O96" s="2519"/>
      <c r="P96" s="2527"/>
      <c r="Q96" s="2505"/>
      <c r="R96" s="2484"/>
      <c r="S96" s="2484"/>
      <c r="T96" s="2484"/>
      <c r="U96" s="2484"/>
      <c r="V96" s="2484"/>
      <c r="W96" s="2484"/>
      <c r="X96" s="2484"/>
      <c r="Y96" s="2484"/>
      <c r="Z96" s="2484"/>
      <c r="AA96" s="2484"/>
      <c r="AB96" s="2484"/>
      <c r="AC96" s="2484"/>
    </row>
    <row r="97" spans="1:29" ht="15" thickTop="1">
      <c r="A97" s="409"/>
      <c r="B97" s="558">
        <f>B34</f>
        <v>111</v>
      </c>
      <c r="C97" s="478"/>
      <c r="D97" s="478"/>
      <c r="E97" s="478"/>
      <c r="F97" s="478"/>
      <c r="G97" s="483"/>
      <c r="H97" s="484"/>
      <c r="I97" s="484"/>
      <c r="J97" s="484"/>
      <c r="K97" s="484"/>
      <c r="L97" s="485"/>
      <c r="M97" s="486"/>
      <c r="N97" s="2519"/>
      <c r="O97" s="2519"/>
      <c r="P97" s="2532"/>
      <c r="Q97" s="2533"/>
      <c r="R97" s="2484"/>
      <c r="S97" s="2484"/>
      <c r="T97" s="2484"/>
      <c r="U97" s="2484"/>
      <c r="V97" s="2484"/>
      <c r="W97" s="2484"/>
      <c r="X97" s="2484"/>
      <c r="Y97" s="2484"/>
      <c r="Z97" s="2484"/>
      <c r="AA97" s="2484"/>
      <c r="AB97" s="2484"/>
      <c r="AC97" s="2484"/>
    </row>
    <row r="98" spans="1:29" ht="15.75" thickBot="1">
      <c r="A98" s="367"/>
      <c r="B98" s="472"/>
      <c r="C98" s="489"/>
      <c r="D98" s="465"/>
      <c r="E98" s="465"/>
      <c r="F98" s="465"/>
      <c r="G98" s="489"/>
      <c r="H98" s="491"/>
      <c r="I98" s="491"/>
      <c r="J98" s="491"/>
      <c r="K98" s="491"/>
      <c r="L98" s="491"/>
      <c r="M98" s="492"/>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7">
        <f>B35</f>
        <v>111</v>
      </c>
      <c r="C99" s="478"/>
      <c r="D99" s="478"/>
      <c r="E99" s="478"/>
      <c r="F99" s="478"/>
      <c r="G99" s="483"/>
      <c r="H99" s="484"/>
      <c r="I99" s="484"/>
      <c r="J99" s="484"/>
      <c r="K99" s="484"/>
      <c r="L99" s="485"/>
      <c r="M99" s="486"/>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2"/>
      <c r="B100" s="464"/>
      <c r="C100" s="489"/>
      <c r="D100" s="465"/>
      <c r="E100" s="465"/>
      <c r="F100" s="465"/>
      <c r="G100" s="489"/>
      <c r="H100" s="491"/>
      <c r="I100" s="491"/>
      <c r="J100" s="491"/>
      <c r="K100" s="491"/>
      <c r="L100" s="491"/>
      <c r="M100" s="492"/>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7">
        <f>B36</f>
        <v>111</v>
      </c>
      <c r="C101" s="483"/>
      <c r="D101" s="483"/>
      <c r="E101" s="483"/>
      <c r="F101" s="483"/>
      <c r="G101" s="483"/>
      <c r="H101" s="484"/>
      <c r="I101" s="484"/>
      <c r="J101" s="484"/>
      <c r="K101" s="484"/>
      <c r="L101" s="485"/>
      <c r="M101" s="486"/>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2"/>
      <c r="C102" s="489"/>
      <c r="D102" s="489"/>
      <c r="E102" s="489"/>
      <c r="F102" s="489"/>
      <c r="G102" s="489"/>
      <c r="H102" s="491"/>
      <c r="I102" s="491"/>
      <c r="J102" s="491"/>
      <c r="K102" s="491"/>
      <c r="L102" s="491"/>
      <c r="M102" s="492"/>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19:S102"/>
  <sheetViews>
    <sheetView topLeftCell="A31" zoomScale="85" zoomScaleNormal="85" workbookViewId="0">
      <selection activeCell="Y75" sqref="Y75"/>
    </sheetView>
  </sheetViews>
  <sheetFormatPr defaultRowHeight="13.5"/>
  <cols>
    <col min="1" max="16384" width="9" style="3159"/>
  </cols>
  <sheetData>
    <row r="19" spans="19:19">
      <c r="S19" s="3159">
        <f>ROUND(421/9,2)</f>
        <v>46.78</v>
      </c>
    </row>
    <row r="20" spans="19:19">
      <c r="S20" s="3159">
        <f>ROUND(380.4*10000/9,0)</f>
        <v>422667</v>
      </c>
    </row>
    <row r="61" spans="19:19">
      <c r="S61" s="3159">
        <f>ROUND(1465/38,2)</f>
        <v>38.549999999999997</v>
      </c>
    </row>
    <row r="62" spans="19:19">
      <c r="S62" s="3159">
        <f>ROUND(1576.44*10000/38,0)</f>
        <v>414853</v>
      </c>
    </row>
    <row r="101" spans="19:19">
      <c r="S101" s="3159">
        <f>ROUND(551/14,2)</f>
        <v>39.36</v>
      </c>
    </row>
    <row r="102" spans="19:19">
      <c r="S102" s="3159">
        <f>ROUND(461.81*10000/14,0)</f>
        <v>329864</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9.5" thickBot="1">
      <c r="A4" s="1389"/>
      <c r="B4" s="3195" t="s">
        <v>917</v>
      </c>
      <c r="C4" s="3195"/>
      <c r="D4" s="3195"/>
      <c r="E4" s="1389"/>
    </row>
    <row r="5" spans="1:5" ht="16.5" thickTop="1">
      <c r="B5" s="3193" t="s">
        <v>909</v>
      </c>
      <c r="C5" s="1390" t="s">
        <v>910</v>
      </c>
      <c r="D5" s="795">
        <f ca="1">结果表!H101</f>
        <v>525316</v>
      </c>
    </row>
    <row r="6" spans="1:5" ht="15.75">
      <c r="B6" s="3193"/>
      <c r="C6" s="1390" t="s">
        <v>911</v>
      </c>
      <c r="D6" s="795" t="str">
        <f ca="1">NUMBERSTRING(INT(D5*10000),2)&amp;"元整"</f>
        <v>伍拾贰亿伍仟叁佰壹拾陆万元整</v>
      </c>
    </row>
    <row r="7" spans="1:5" ht="15.75">
      <c r="B7" s="3198"/>
      <c r="C7" s="1391" t="s">
        <v>912</v>
      </c>
      <c r="D7" s="796">
        <f ca="1">结果表!H102</f>
        <v>70724</v>
      </c>
    </row>
    <row r="8" spans="1:5" ht="15.75">
      <c r="B8" s="3199" t="str">
        <f>结果表!E103</f>
        <v>2.估价师知悉的法定优先受偿款</v>
      </c>
      <c r="C8" s="1392" t="s">
        <v>913</v>
      </c>
      <c r="D8" s="796">
        <f>结果表!H103</f>
        <v>0</v>
      </c>
    </row>
    <row r="9" spans="1:5" ht="15.75">
      <c r="B9" s="3201"/>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92" t="str">
        <f>结果表!E107</f>
        <v>3.房地产抵押价值</v>
      </c>
      <c r="C13" s="1395" t="s">
        <v>910</v>
      </c>
      <c r="D13" s="798">
        <f ca="1">结果表!H107</f>
        <v>525316</v>
      </c>
    </row>
    <row r="14" spans="1:5" ht="15.75">
      <c r="B14" s="3193"/>
      <c r="C14" s="1390" t="s">
        <v>911</v>
      </c>
      <c r="D14" s="795" t="str">
        <f ca="1">NUMBERSTRING(INT(D13*10000),2)&amp;"元整"</f>
        <v>伍拾贰亿伍仟叁佰壹拾陆万元整</v>
      </c>
    </row>
    <row r="15" spans="1:5" ht="15">
      <c r="B15" s="3198"/>
      <c r="C15" s="1391" t="s">
        <v>921</v>
      </c>
      <c r="D15" s="804">
        <f ca="1">结果表!H108</f>
        <v>70724</v>
      </c>
    </row>
    <row r="16" spans="1:5" ht="15">
      <c r="B16" s="3199" t="str">
        <f>结果表!E109</f>
        <v>——</v>
      </c>
      <c r="C16" s="1395" t="s">
        <v>922</v>
      </c>
      <c r="D16" s="1396" t="str">
        <f>结果表!H109</f>
        <v>——</v>
      </c>
    </row>
    <row r="17" spans="1:5" ht="15.75">
      <c r="B17" s="3200"/>
      <c r="C17" s="1390" t="s">
        <v>923</v>
      </c>
      <c r="D17" s="795" t="e">
        <f>NUMBERSTRING(INT(D16*10000),2)&amp;"元整"</f>
        <v>#VALUE!</v>
      </c>
    </row>
    <row r="18" spans="1:5" ht="15">
      <c r="B18" s="3201"/>
      <c r="C18" s="1391" t="s">
        <v>912</v>
      </c>
      <c r="D18" s="804" t="str">
        <f>结果表!H110</f>
        <v>——</v>
      </c>
    </row>
    <row r="19" spans="1:5" ht="15.75">
      <c r="B19" s="3192" t="str">
        <f>结果表!E111</f>
        <v>——</v>
      </c>
      <c r="C19" s="1395" t="s">
        <v>910</v>
      </c>
      <c r="D19" s="796" t="str">
        <f>结果表!H111</f>
        <v>——</v>
      </c>
    </row>
    <row r="20" spans="1:5" ht="15.75">
      <c r="B20" s="3193"/>
      <c r="C20" s="1390" t="s">
        <v>923</v>
      </c>
      <c r="D20" s="795" t="e">
        <f>NUMBERSTRING(INT(D19*10000),2)&amp;"元整"</f>
        <v>#VALUE!</v>
      </c>
    </row>
    <row r="21" spans="1:5" ht="15.75" thickBot="1">
      <c r="B21" s="3194"/>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5" zoomScaleNormal="70" zoomScaleSheetLayoutView="85" workbookViewId="0">
      <selection activeCell="L36" sqref="L3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1" thickBot="1">
      <c r="A1" s="1137" t="s">
        <v>1831</v>
      </c>
      <c r="B1" s="1138" t="s">
        <v>3324</v>
      </c>
      <c r="C1" s="1139" t="s">
        <v>1662</v>
      </c>
      <c r="D1" s="1140" t="s">
        <v>5697</v>
      </c>
      <c r="E1" s="3128" t="s">
        <v>5817</v>
      </c>
      <c r="F1" s="1733" t="s">
        <v>5818</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1" thickTop="1">
      <c r="A2" s="1136" t="s">
        <v>1462</v>
      </c>
      <c r="B2" s="1083">
        <f>IF(E1="项目模式",IF(C2="——",ROUND(C37*D3/10000,0),ROUND(C37*D3/10000,0)-D2),IF(E1="单套模式",IF(C2="——",ROUND(C37*D3/10000,4),ROUND(C37*D3/10000,4)-D2)))</f>
        <v>51414</v>
      </c>
      <c r="C2" s="1735" t="s">
        <v>43</v>
      </c>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1" thickBot="1">
      <c r="A3" s="195" t="s">
        <v>1464</v>
      </c>
      <c r="B3" s="534">
        <f>IF(C2="——",C37,ROUND(B2*10000/D3,0))</f>
        <v>31073</v>
      </c>
      <c r="C3" s="344" t="s">
        <v>1768</v>
      </c>
      <c r="D3" s="343">
        <f>SUMIF('数据-汇总表'!$C19:$C33,D1,'数据-汇总表'!$E19:$E33)</f>
        <v>16546.309999999998</v>
      </c>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81" t="s">
        <v>1770</v>
      </c>
      <c r="D4" s="3393"/>
      <c r="E4" s="3394" t="s">
        <v>1771</v>
      </c>
      <c r="F4" s="3395"/>
      <c r="G4" s="3381" t="s">
        <v>1772</v>
      </c>
      <c r="H4" s="3393"/>
      <c r="I4" s="3381" t="s">
        <v>1773</v>
      </c>
      <c r="J4" s="3393"/>
      <c r="K4" s="535" t="s">
        <v>1774</v>
      </c>
      <c r="L4" s="2483"/>
      <c r="M4" s="2484"/>
      <c r="N4" s="2484"/>
      <c r="O4" s="2484"/>
      <c r="P4" s="3396" t="s">
        <v>1775</v>
      </c>
      <c r="Q4" s="3397"/>
      <c r="R4" s="3402" t="s">
        <v>1771</v>
      </c>
      <c r="S4" s="3403"/>
      <c r="T4" s="3402" t="s">
        <v>1772</v>
      </c>
      <c r="U4" s="3403"/>
      <c r="V4" s="3389" t="s">
        <v>1773</v>
      </c>
      <c r="W4" s="3389"/>
      <c r="X4" s="1263"/>
      <c r="Y4" s="3402" t="s">
        <v>1775</v>
      </c>
      <c r="Z4" s="3403"/>
      <c r="AA4" s="3390" t="s">
        <v>1771</v>
      </c>
      <c r="AB4" s="3391" t="s">
        <v>1772</v>
      </c>
      <c r="AC4" s="3390" t="s">
        <v>1773</v>
      </c>
    </row>
    <row r="5" spans="1:29" ht="15.75" thickBot="1">
      <c r="A5" s="348"/>
      <c r="B5" s="349"/>
      <c r="C5" s="3415" t="s">
        <v>1673</v>
      </c>
      <c r="D5" s="3411"/>
      <c r="E5" s="3418" t="s">
        <v>5828</v>
      </c>
      <c r="F5" s="3419"/>
      <c r="G5" s="3410" t="s">
        <v>5829</v>
      </c>
      <c r="H5" s="3411"/>
      <c r="I5" s="3410" t="s">
        <v>5830</v>
      </c>
      <c r="J5" s="3411"/>
      <c r="K5" s="535"/>
      <c r="L5" s="2483"/>
      <c r="M5" s="2484"/>
      <c r="N5" s="2484"/>
      <c r="O5" s="2484"/>
      <c r="P5" s="3398"/>
      <c r="Q5" s="3399"/>
      <c r="R5" s="3404"/>
      <c r="S5" s="3405"/>
      <c r="T5" s="3404"/>
      <c r="U5" s="3405"/>
      <c r="V5" s="3389"/>
      <c r="W5" s="3389"/>
      <c r="X5" s="1263"/>
      <c r="Y5" s="3404"/>
      <c r="Z5" s="3405"/>
      <c r="AA5" s="3391"/>
      <c r="AB5" s="3391"/>
      <c r="AC5" s="3391"/>
    </row>
    <row r="6" spans="1:29" ht="15.75" hidden="1" thickBot="1">
      <c r="A6" s="350"/>
      <c r="B6" s="351"/>
      <c r="C6" s="3408" t="s">
        <v>1677</v>
      </c>
      <c r="D6" s="3409"/>
      <c r="E6" s="3416" t="s">
        <v>1677</v>
      </c>
      <c r="F6" s="3417"/>
      <c r="G6" s="3408" t="s">
        <v>1677</v>
      </c>
      <c r="H6" s="3409"/>
      <c r="I6" s="3408" t="s">
        <v>1677</v>
      </c>
      <c r="J6" s="3409"/>
      <c r="K6" s="535" t="s">
        <v>1678</v>
      </c>
      <c r="L6" s="2483"/>
      <c r="M6" s="2484"/>
      <c r="N6" s="2484"/>
      <c r="O6" s="2484"/>
      <c r="P6" s="3400"/>
      <c r="Q6" s="3401"/>
      <c r="R6" s="3404"/>
      <c r="S6" s="3405"/>
      <c r="T6" s="3406"/>
      <c r="U6" s="3407"/>
      <c r="V6" s="3389"/>
      <c r="W6" s="3389"/>
      <c r="X6" s="1263"/>
      <c r="Y6" s="3406"/>
      <c r="Z6" s="3407"/>
      <c r="AA6" s="3392"/>
      <c r="AB6" s="3392"/>
      <c r="AC6" s="3392"/>
    </row>
    <row r="7" spans="1:29" s="102" customFormat="1" ht="15.75" thickBot="1">
      <c r="A7" s="352" t="s">
        <v>1679</v>
      </c>
      <c r="B7" s="353"/>
      <c r="C7" s="354">
        <f>'数据-取费表'!B2</f>
        <v>45803</v>
      </c>
      <c r="D7" s="355">
        <v>100</v>
      </c>
      <c r="E7" s="356">
        <f>C7</f>
        <v>45803</v>
      </c>
      <c r="F7" s="357">
        <f>SUMIF(46:46,YEAR(E7)&amp;"-"&amp;MONTH(E7),47:47)</f>
        <v>100</v>
      </c>
      <c r="G7" s="1818">
        <f>E7</f>
        <v>45803</v>
      </c>
      <c r="H7" s="355">
        <f>SUMIF(46:46,YEAR(G7)&amp;"-"&amp;MONTH(G7),47:47)</f>
        <v>100</v>
      </c>
      <c r="I7" s="356">
        <f>G7</f>
        <v>45803</v>
      </c>
      <c r="J7" s="355">
        <f>SUMIF(46:46,YEAR(I7)&amp;"-"&amp;MONTH(I7),47:47)</f>
        <v>100</v>
      </c>
      <c r="K7" s="38"/>
      <c r="L7" s="2485"/>
      <c r="M7" s="2436"/>
      <c r="N7" s="2436"/>
      <c r="O7" s="2436"/>
      <c r="P7" s="3412" t="s">
        <v>1680</v>
      </c>
      <c r="Q7" s="3414"/>
      <c r="R7" s="662" t="s">
        <v>14</v>
      </c>
      <c r="S7" s="663">
        <f t="shared" ref="S7:S14" si="0">F7</f>
        <v>100</v>
      </c>
      <c r="T7" s="662" t="s">
        <v>14</v>
      </c>
      <c r="U7" s="663">
        <f t="shared" ref="U7:U14" si="1">H7</f>
        <v>100</v>
      </c>
      <c r="V7" s="662" t="s">
        <v>14</v>
      </c>
      <c r="W7" s="663">
        <f t="shared" ref="W7:W14" si="2">J7</f>
        <v>100</v>
      </c>
      <c r="X7" s="664"/>
      <c r="Y7" s="3412" t="s">
        <v>1680</v>
      </c>
      <c r="Z7" s="3413"/>
      <c r="AA7" s="50">
        <f>D7/F7</f>
        <v>1</v>
      </c>
      <c r="AB7" s="50">
        <f>D7/H7</f>
        <v>1</v>
      </c>
      <c r="AC7" s="50">
        <f>D7/J7</f>
        <v>1</v>
      </c>
    </row>
    <row r="8" spans="1:29" s="102" customFormat="1" ht="15.75" thickBot="1">
      <c r="A8" s="352" t="s">
        <v>1681</v>
      </c>
      <c r="B8" s="353"/>
      <c r="C8" s="358" t="s">
        <v>5796</v>
      </c>
      <c r="D8" s="355">
        <v>100</v>
      </c>
      <c r="E8" s="358" t="s">
        <v>5796</v>
      </c>
      <c r="F8" s="357">
        <f>SUMIF(49:49,E8,50:50)-SUMIF(49:49,C8,50:50)+100</f>
        <v>100</v>
      </c>
      <c r="G8" s="358" t="s">
        <v>5796</v>
      </c>
      <c r="H8" s="355">
        <f>SUMIF(49:49,G8,50:50)-SUMIF(49:49,C8,50:50)+100</f>
        <v>100</v>
      </c>
      <c r="I8" s="358" t="s">
        <v>5796</v>
      </c>
      <c r="J8" s="355">
        <f>SUMIF(49:49,I8,50:50)-SUMIF(49:49,C8,50:50)+100</f>
        <v>100</v>
      </c>
      <c r="K8" s="38"/>
      <c r="L8" s="2485"/>
      <c r="M8" s="2436"/>
      <c r="N8" s="2436"/>
      <c r="O8" s="2436"/>
      <c r="P8" s="3412" t="s">
        <v>1683</v>
      </c>
      <c r="Q8" s="3413"/>
      <c r="R8" s="662" t="s">
        <v>14</v>
      </c>
      <c r="S8" s="663">
        <f t="shared" si="0"/>
        <v>100</v>
      </c>
      <c r="T8" s="662" t="s">
        <v>14</v>
      </c>
      <c r="U8" s="663">
        <f t="shared" si="1"/>
        <v>100</v>
      </c>
      <c r="V8" s="662" t="s">
        <v>14</v>
      </c>
      <c r="W8" s="663">
        <f t="shared" si="2"/>
        <v>100</v>
      </c>
      <c r="X8" s="664"/>
      <c r="Y8" s="3412" t="s">
        <v>1683</v>
      </c>
      <c r="Z8" s="3413"/>
      <c r="AA8" s="50">
        <f t="shared" ref="AA8:AA34" si="3">D8/F8</f>
        <v>1</v>
      </c>
      <c r="AB8" s="50">
        <f t="shared" ref="AB8:AB34" si="4">D8/H8</f>
        <v>1</v>
      </c>
      <c r="AC8" s="50">
        <f t="shared" ref="AC8:AC34" si="5">D8/J8</f>
        <v>1</v>
      </c>
    </row>
    <row r="9" spans="1:29" s="102" customFormat="1">
      <c r="A9" s="359" t="s">
        <v>1684</v>
      </c>
      <c r="B9" s="60" t="s">
        <v>1685</v>
      </c>
      <c r="C9" s="3188" t="s">
        <v>5836</v>
      </c>
      <c r="D9" s="59">
        <v>100</v>
      </c>
      <c r="E9" s="362" t="s">
        <v>3324</v>
      </c>
      <c r="F9" s="60">
        <f>SUMIF(51:51,E9,52:52)-SUMIF(51:51,C9,52:52)+100</f>
        <v>100</v>
      </c>
      <c r="G9" s="362" t="s">
        <v>3324</v>
      </c>
      <c r="H9" s="59">
        <f>SUMIF(51:51,G9,52:52)-SUMIF(51:51,C9,52:52)+100</f>
        <v>100</v>
      </c>
      <c r="I9" s="362" t="s">
        <v>3324</v>
      </c>
      <c r="J9" s="59">
        <f>SUMIF(51:51,I9,52:52)-SUMIF(51:51,C9,52:52)+100</f>
        <v>100</v>
      </c>
      <c r="K9" s="38"/>
      <c r="L9" s="2485"/>
      <c r="M9" s="2436"/>
      <c r="N9" s="2436"/>
      <c r="O9" s="2537"/>
      <c r="P9" s="3384" t="s">
        <v>1686</v>
      </c>
      <c r="Q9" s="528" t="str">
        <f t="shared" ref="Q9:Q14" si="6">B9</f>
        <v>用途</v>
      </c>
      <c r="R9" s="662" t="s">
        <v>14</v>
      </c>
      <c r="S9" s="663">
        <f t="shared" si="0"/>
        <v>100</v>
      </c>
      <c r="T9" s="662" t="s">
        <v>14</v>
      </c>
      <c r="U9" s="663">
        <f t="shared" si="1"/>
        <v>100</v>
      </c>
      <c r="V9" s="662" t="s">
        <v>14</v>
      </c>
      <c r="W9" s="663">
        <f t="shared" si="2"/>
        <v>100</v>
      </c>
      <c r="X9" s="664"/>
      <c r="Y9" s="3281" t="s">
        <v>1687</v>
      </c>
      <c r="Z9" s="50" t="str">
        <f t="shared" ref="Z9:Z14" si="7">Q9</f>
        <v>用途</v>
      </c>
      <c r="AA9" s="50">
        <f t="shared" si="3"/>
        <v>1</v>
      </c>
      <c r="AB9" s="50">
        <f t="shared" si="4"/>
        <v>1</v>
      </c>
      <c r="AC9" s="50">
        <f t="shared" si="5"/>
        <v>1</v>
      </c>
    </row>
    <row r="10" spans="1:29" s="366" customFormat="1" ht="27.75" thickBot="1">
      <c r="A10" s="363"/>
      <c r="B10" s="364" t="s">
        <v>1688</v>
      </c>
      <c r="C10" s="3129" t="s">
        <v>5832</v>
      </c>
      <c r="D10" s="119">
        <v>100</v>
      </c>
      <c r="E10" s="3129" t="s">
        <v>5832</v>
      </c>
      <c r="F10" s="364">
        <f>SUMIF(53:53,E10,54:54)-SUMIF(53:53,C10,54:54)+100</f>
        <v>100</v>
      </c>
      <c r="G10" s="3129" t="s">
        <v>5832</v>
      </c>
      <c r="H10" s="119">
        <f>SUMIF(53:53,G10,54:54)-SUMIF(53:53,C10,54:54)+100</f>
        <v>100</v>
      </c>
      <c r="I10" s="3129" t="s">
        <v>5832</v>
      </c>
      <c r="J10" s="119">
        <f>SUMIF(53:53,I10,54:54)-SUMIF(53:53,C10,54:54)+100</f>
        <v>100</v>
      </c>
      <c r="K10" s="38"/>
      <c r="L10" s="2486"/>
      <c r="M10" s="2487"/>
      <c r="N10" s="2487"/>
      <c r="O10" s="2538"/>
      <c r="P10" s="3384"/>
      <c r="Q10" s="528" t="str">
        <f t="shared" si="6"/>
        <v>土地使用年限（年）</v>
      </c>
      <c r="R10" s="662" t="s">
        <v>14</v>
      </c>
      <c r="S10" s="663">
        <f t="shared" si="0"/>
        <v>100</v>
      </c>
      <c r="T10" s="662" t="s">
        <v>14</v>
      </c>
      <c r="U10" s="663">
        <f t="shared" si="1"/>
        <v>100</v>
      </c>
      <c r="V10" s="662" t="s">
        <v>14</v>
      </c>
      <c r="W10" s="663">
        <f t="shared" si="2"/>
        <v>100</v>
      </c>
      <c r="X10" s="664"/>
      <c r="Y10" s="3281"/>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8"/>
      <c r="M11" s="2484"/>
      <c r="N11" s="2484"/>
      <c r="O11" s="2539"/>
      <c r="P11" s="3384"/>
      <c r="Q11" s="528">
        <f t="shared" si="6"/>
        <v>111</v>
      </c>
      <c r="R11" s="662" t="s">
        <v>14</v>
      </c>
      <c r="S11" s="663">
        <f t="shared" si="0"/>
        <v>100</v>
      </c>
      <c r="T11" s="662" t="s">
        <v>14</v>
      </c>
      <c r="U11" s="663">
        <f t="shared" si="1"/>
        <v>100</v>
      </c>
      <c r="V11" s="662" t="s">
        <v>14</v>
      </c>
      <c r="W11" s="663">
        <f t="shared" si="2"/>
        <v>100</v>
      </c>
      <c r="X11" s="664"/>
      <c r="Y11" s="3281"/>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5"/>
      <c r="M12" s="2436"/>
      <c r="N12" s="2436"/>
      <c r="O12" s="2537"/>
      <c r="P12" s="3384"/>
      <c r="Q12" s="528">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9"/>
      <c r="H13" s="377">
        <f>SUMIF(59:59,G13,60:60)-SUMIF(59:59,C13,60:60)+100</f>
        <v>100</v>
      </c>
      <c r="I13" s="407"/>
      <c r="J13" s="374">
        <f>SUMIF(59:59,I13,60:60)-SUMIF(59:59,C13,60:60)+100</f>
        <v>100</v>
      </c>
      <c r="K13" s="537"/>
      <c r="L13" s="2489"/>
      <c r="M13" s="2484"/>
      <c r="N13" s="2484"/>
      <c r="O13" s="2539"/>
      <c r="P13" s="3384"/>
      <c r="Q13" s="528">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
      <c r="A14" s="379" t="s">
        <v>1690</v>
      </c>
      <c r="B14" s="58" t="s">
        <v>1833</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9"/>
      <c r="M14" s="2484"/>
      <c r="N14" s="2484"/>
      <c r="O14" s="2539"/>
      <c r="P14" s="3385" t="s">
        <v>1691</v>
      </c>
      <c r="Q14" s="1261" t="str">
        <f t="shared" si="6"/>
        <v>交通便捷度</v>
      </c>
      <c r="R14" s="665" t="s">
        <v>14</v>
      </c>
      <c r="S14" s="666">
        <f t="shared" si="0"/>
        <v>100</v>
      </c>
      <c r="T14" s="665" t="s">
        <v>14</v>
      </c>
      <c r="U14" s="666">
        <f t="shared" si="1"/>
        <v>100</v>
      </c>
      <c r="V14" s="665" t="s">
        <v>14</v>
      </c>
      <c r="W14" s="666">
        <f t="shared" si="2"/>
        <v>100</v>
      </c>
      <c r="X14" s="1263"/>
      <c r="Y14" s="3385" t="s">
        <v>1691</v>
      </c>
      <c r="Z14" s="1262" t="str">
        <f t="shared" si="7"/>
        <v>交通便捷度</v>
      </c>
      <c r="AA14" s="1262">
        <f t="shared" si="3"/>
        <v>1</v>
      </c>
      <c r="AB14" s="1262">
        <f t="shared" si="4"/>
        <v>1</v>
      </c>
      <c r="AC14" s="1262">
        <f t="shared" si="5"/>
        <v>1</v>
      </c>
    </row>
    <row r="15" spans="1:29" ht="15">
      <c r="A15" s="367"/>
      <c r="B15" s="385"/>
      <c r="C15" s="386" t="s">
        <v>5802</v>
      </c>
      <c r="D15" s="387"/>
      <c r="E15" s="386" t="s">
        <v>5802</v>
      </c>
      <c r="F15" s="388"/>
      <c r="G15" s="386" t="s">
        <v>5802</v>
      </c>
      <c r="H15" s="389"/>
      <c r="I15" s="386" t="s">
        <v>5802</v>
      </c>
      <c r="J15" s="387"/>
      <c r="K15" s="539"/>
      <c r="L15" s="2489"/>
      <c r="M15" s="2484"/>
      <c r="N15" s="2484"/>
      <c r="O15" s="2539"/>
      <c r="P15" s="3386"/>
      <c r="Q15" s="1261"/>
      <c r="R15" s="665"/>
      <c r="S15" s="666"/>
      <c r="T15" s="665"/>
      <c r="U15" s="666"/>
      <c r="V15" s="665"/>
      <c r="W15" s="666"/>
      <c r="X15" s="1263"/>
      <c r="Y15" s="3386"/>
      <c r="Z15" s="1262"/>
      <c r="AA15" s="1262">
        <v>1</v>
      </c>
      <c r="AB15" s="1262">
        <v>1</v>
      </c>
      <c r="AC15" s="1262">
        <v>1</v>
      </c>
    </row>
    <row r="16" spans="1:29" ht="15">
      <c r="A16" s="367"/>
      <c r="B16" s="390" t="s">
        <v>1812</v>
      </c>
      <c r="C16" s="1752">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9"/>
      <c r="M16" s="2484"/>
      <c r="N16" s="2484"/>
      <c r="O16" s="2539"/>
      <c r="P16" s="3386"/>
      <c r="Q16" s="1261" t="str">
        <f>B16</f>
        <v>公共配套设施</v>
      </c>
      <c r="R16" s="665" t="s">
        <v>14</v>
      </c>
      <c r="S16" s="666">
        <f>F16</f>
        <v>100</v>
      </c>
      <c r="T16" s="665" t="s">
        <v>14</v>
      </c>
      <c r="U16" s="666">
        <f>H16</f>
        <v>100</v>
      </c>
      <c r="V16" s="665" t="s">
        <v>14</v>
      </c>
      <c r="W16" s="666">
        <f>J16</f>
        <v>97</v>
      </c>
      <c r="X16" s="1263"/>
      <c r="Y16" s="3386"/>
      <c r="Z16" s="1262" t="str">
        <f>Q16</f>
        <v>公共配套设施</v>
      </c>
      <c r="AA16" s="1262">
        <f t="shared" si="3"/>
        <v>1</v>
      </c>
      <c r="AB16" s="1262">
        <f t="shared" si="4"/>
        <v>1</v>
      </c>
      <c r="AC16" s="1262">
        <f t="shared" si="5"/>
        <v>1.0309278350515463</v>
      </c>
    </row>
    <row r="17" spans="1:29" ht="15">
      <c r="A17" s="367"/>
      <c r="B17" s="395"/>
      <c r="C17" s="3535" t="s">
        <v>5798</v>
      </c>
      <c r="D17" s="387"/>
      <c r="E17" s="386" t="s">
        <v>5798</v>
      </c>
      <c r="F17" s="388"/>
      <c r="G17" s="386" t="s">
        <v>5798</v>
      </c>
      <c r="H17" s="387"/>
      <c r="I17" s="386" t="s">
        <v>5802</v>
      </c>
      <c r="J17" s="387"/>
      <c r="K17" s="539"/>
      <c r="L17" s="2489"/>
      <c r="M17" s="2484"/>
      <c r="N17" s="2484"/>
      <c r="O17" s="2539"/>
      <c r="P17" s="3386"/>
      <c r="Q17" s="1261"/>
      <c r="R17" s="665"/>
      <c r="S17" s="666"/>
      <c r="T17" s="665"/>
      <c r="U17" s="666"/>
      <c r="V17" s="665"/>
      <c r="W17" s="666"/>
      <c r="X17" s="1263"/>
      <c r="Y17" s="3386"/>
      <c r="Z17" s="1262"/>
      <c r="AA17" s="1262">
        <v>1</v>
      </c>
      <c r="AB17" s="1262">
        <v>1</v>
      </c>
      <c r="AC17" s="1262">
        <v>1</v>
      </c>
    </row>
    <row r="18" spans="1:29" ht="15">
      <c r="A18" s="367"/>
      <c r="B18" s="584" t="s">
        <v>1813</v>
      </c>
      <c r="C18" s="1752">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9"/>
      <c r="M18" s="2484"/>
      <c r="N18" s="2484"/>
      <c r="O18" s="2539"/>
      <c r="P18" s="3386"/>
      <c r="Q18" s="1261" t="str">
        <f>B18</f>
        <v>基础设施水平</v>
      </c>
      <c r="R18" s="665" t="s">
        <v>14</v>
      </c>
      <c r="S18" s="666">
        <f>F18</f>
        <v>100</v>
      </c>
      <c r="T18" s="665" t="s">
        <v>14</v>
      </c>
      <c r="U18" s="666">
        <f>H18</f>
        <v>100</v>
      </c>
      <c r="V18" s="665" t="s">
        <v>14</v>
      </c>
      <c r="W18" s="666">
        <f>J18</f>
        <v>100</v>
      </c>
      <c r="X18" s="1263"/>
      <c r="Y18" s="3386"/>
      <c r="Z18" s="1262" t="str">
        <f>Q18</f>
        <v>基础设施水平</v>
      </c>
      <c r="AA18" s="1262">
        <f t="shared" ref="AA18" si="8">D18/F18</f>
        <v>1</v>
      </c>
      <c r="AB18" s="1262">
        <f t="shared" ref="AB18" si="9">D18/H18</f>
        <v>1</v>
      </c>
      <c r="AC18" s="1262">
        <f t="shared" ref="AC18" si="10">D18/J18</f>
        <v>1</v>
      </c>
    </row>
    <row r="19" spans="1:29" ht="15">
      <c r="A19" s="367"/>
      <c r="B19" s="584"/>
      <c r="C19" s="1753" t="s">
        <v>5799</v>
      </c>
      <c r="D19" s="389"/>
      <c r="E19" s="1753" t="s">
        <v>5799</v>
      </c>
      <c r="F19" s="392"/>
      <c r="G19" s="1753" t="s">
        <v>5799</v>
      </c>
      <c r="H19" s="387"/>
      <c r="I19" s="386" t="s">
        <v>5799</v>
      </c>
      <c r="J19" s="387"/>
      <c r="K19" s="1062"/>
      <c r="L19" s="2489"/>
      <c r="M19" s="2484"/>
      <c r="N19" s="2484"/>
      <c r="O19" s="2539"/>
      <c r="P19" s="3386"/>
      <c r="Q19" s="1261"/>
      <c r="R19" s="665"/>
      <c r="S19" s="666"/>
      <c r="T19" s="665"/>
      <c r="U19" s="666"/>
      <c r="V19" s="665"/>
      <c r="W19" s="666"/>
      <c r="X19" s="1263"/>
      <c r="Y19" s="3386"/>
      <c r="Z19" s="1262"/>
      <c r="AA19" s="1262">
        <v>1</v>
      </c>
      <c r="AB19" s="1262">
        <v>1</v>
      </c>
      <c r="AC19" s="1262">
        <v>1</v>
      </c>
    </row>
    <row r="20" spans="1:29" ht="15">
      <c r="A20" s="367"/>
      <c r="B20" s="390" t="s">
        <v>1834</v>
      </c>
      <c r="C20" s="1752">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9"/>
      <c r="M20" s="2484"/>
      <c r="N20" s="2484"/>
      <c r="O20" s="2539"/>
      <c r="P20" s="3386"/>
      <c r="Q20" s="1261" t="str">
        <f>B20</f>
        <v>自然及人文环境</v>
      </c>
      <c r="R20" s="665" t="s">
        <v>14</v>
      </c>
      <c r="S20" s="666">
        <f>F20</f>
        <v>100</v>
      </c>
      <c r="T20" s="665" t="s">
        <v>14</v>
      </c>
      <c r="U20" s="666">
        <f>H20</f>
        <v>100</v>
      </c>
      <c r="V20" s="665" t="s">
        <v>14</v>
      </c>
      <c r="W20" s="666">
        <f>J20</f>
        <v>97</v>
      </c>
      <c r="X20" s="1263"/>
      <c r="Y20" s="3386"/>
      <c r="Z20" s="1262" t="str">
        <f>Q20</f>
        <v>自然及人文环境</v>
      </c>
      <c r="AA20" s="1262">
        <f t="shared" si="3"/>
        <v>1</v>
      </c>
      <c r="AB20" s="1262">
        <f t="shared" si="4"/>
        <v>1</v>
      </c>
      <c r="AC20" s="1262">
        <f t="shared" si="5"/>
        <v>1.0309278350515463</v>
      </c>
    </row>
    <row r="21" spans="1:29" ht="15.75" thickBot="1">
      <c r="A21" s="367"/>
      <c r="B21" s="395"/>
      <c r="C21" s="386" t="s">
        <v>5798</v>
      </c>
      <c r="D21" s="387"/>
      <c r="E21" s="386" t="s">
        <v>5798</v>
      </c>
      <c r="F21" s="388"/>
      <c r="G21" s="386" t="s">
        <v>5798</v>
      </c>
      <c r="H21" s="387"/>
      <c r="I21" s="386" t="s">
        <v>5802</v>
      </c>
      <c r="J21" s="387"/>
      <c r="K21" s="539"/>
      <c r="L21" s="2489"/>
      <c r="M21" s="2484"/>
      <c r="N21" s="2484"/>
      <c r="O21" s="2539"/>
      <c r="P21" s="3386"/>
      <c r="Q21" s="1261"/>
      <c r="R21" s="665"/>
      <c r="S21" s="666"/>
      <c r="T21" s="665"/>
      <c r="U21" s="666"/>
      <c r="V21" s="665"/>
      <c r="W21" s="666"/>
      <c r="X21" s="1263"/>
      <c r="Y21" s="3386"/>
      <c r="Z21" s="1262"/>
      <c r="AA21" s="1262">
        <v>1</v>
      </c>
      <c r="AB21" s="1262">
        <v>1</v>
      </c>
      <c r="AC21" s="1262">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9"/>
      <c r="M22" s="2484"/>
      <c r="N22" s="2484"/>
      <c r="O22" s="2539"/>
      <c r="P22" s="3386"/>
      <c r="Q22" s="1261" t="str">
        <f>B22</f>
        <v>楼层</v>
      </c>
      <c r="R22" s="665" t="s">
        <v>14</v>
      </c>
      <c r="S22" s="666">
        <f>F22</f>
        <v>100</v>
      </c>
      <c r="T22" s="665" t="s">
        <v>14</v>
      </c>
      <c r="U22" s="666">
        <f>H22</f>
        <v>100</v>
      </c>
      <c r="V22" s="665" t="s">
        <v>14</v>
      </c>
      <c r="W22" s="666">
        <f>J22</f>
        <v>100</v>
      </c>
      <c r="X22" s="1263"/>
      <c r="Y22" s="3386"/>
      <c r="Z22" s="1262" t="str">
        <f>Q22</f>
        <v>楼层</v>
      </c>
      <c r="AA22" s="1262">
        <f t="shared" si="3"/>
        <v>1</v>
      </c>
      <c r="AB22" s="1262">
        <f t="shared" si="4"/>
        <v>1</v>
      </c>
      <c r="AC22" s="1262">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9"/>
      <c r="M23" s="2484"/>
      <c r="N23" s="2484"/>
      <c r="O23" s="2539"/>
      <c r="P23" s="3386"/>
      <c r="Q23" s="1261">
        <f>B23</f>
        <v>111</v>
      </c>
      <c r="R23" s="665" t="s">
        <v>14</v>
      </c>
      <c r="S23" s="666">
        <f>F23</f>
        <v>100</v>
      </c>
      <c r="T23" s="665" t="s">
        <v>14</v>
      </c>
      <c r="U23" s="666">
        <f>H23</f>
        <v>100</v>
      </c>
      <c r="V23" s="665" t="s">
        <v>14</v>
      </c>
      <c r="W23" s="666">
        <f>J23</f>
        <v>100</v>
      </c>
      <c r="X23" s="1263"/>
      <c r="Y23" s="3386"/>
      <c r="Z23" s="1262">
        <f>Q23</f>
        <v>111</v>
      </c>
      <c r="AA23" s="1262">
        <f t="shared" si="3"/>
        <v>1</v>
      </c>
      <c r="AB23" s="1262">
        <f t="shared" si="4"/>
        <v>1</v>
      </c>
      <c r="AC23" s="1262">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9"/>
      <c r="M24" s="2484"/>
      <c r="N24" s="2484"/>
      <c r="O24" s="2539"/>
      <c r="P24" s="3386"/>
      <c r="Q24" s="1261">
        <f t="shared" ref="Q24:Q34" si="11">B24</f>
        <v>111</v>
      </c>
      <c r="R24" s="665" t="s">
        <v>14</v>
      </c>
      <c r="S24" s="666">
        <f>F24</f>
        <v>100</v>
      </c>
      <c r="T24" s="665" t="s">
        <v>14</v>
      </c>
      <c r="U24" s="666">
        <f>H24</f>
        <v>100</v>
      </c>
      <c r="V24" s="665" t="s">
        <v>14</v>
      </c>
      <c r="W24" s="666">
        <f>J24</f>
        <v>100</v>
      </c>
      <c r="X24" s="1263"/>
      <c r="Y24" s="3386"/>
      <c r="Z24" s="1262">
        <f>Q24</f>
        <v>111</v>
      </c>
      <c r="AA24" s="1262">
        <f t="shared" si="3"/>
        <v>1</v>
      </c>
      <c r="AB24" s="1262">
        <f t="shared" si="4"/>
        <v>1</v>
      </c>
      <c r="AC24" s="1262">
        <f t="shared" si="5"/>
        <v>1</v>
      </c>
    </row>
    <row r="25" spans="1:29" s="102" customFormat="1" ht="15.75" hidden="1" thickBot="1">
      <c r="A25" s="370"/>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5"/>
      <c r="M25" s="2436"/>
      <c r="N25" s="2436"/>
      <c r="O25" s="2537"/>
      <c r="P25" s="3386"/>
      <c r="Q25" s="528">
        <f t="shared" si="11"/>
        <v>111</v>
      </c>
      <c r="R25" s="662" t="s">
        <v>14</v>
      </c>
      <c r="S25" s="663">
        <f>F25</f>
        <v>100</v>
      </c>
      <c r="T25" s="662" t="s">
        <v>14</v>
      </c>
      <c r="U25" s="663">
        <f>H25</f>
        <v>100</v>
      </c>
      <c r="V25" s="662" t="s">
        <v>14</v>
      </c>
      <c r="W25" s="663">
        <f>J25</f>
        <v>100</v>
      </c>
      <c r="X25" s="664"/>
      <c r="Y25" s="3386"/>
      <c r="Z25" s="50">
        <f>Q25</f>
        <v>111</v>
      </c>
      <c r="AA25" s="1262">
        <f>D25/F25</f>
        <v>1</v>
      </c>
      <c r="AB25" s="1262">
        <f>D25/H25</f>
        <v>1</v>
      </c>
      <c r="AC25" s="1262">
        <f>D25/J25</f>
        <v>1</v>
      </c>
    </row>
    <row r="26" spans="1:29" ht="28.5">
      <c r="A26" s="404" t="s">
        <v>1694</v>
      </c>
      <c r="B26" s="60" t="s">
        <v>1838</v>
      </c>
      <c r="C26" s="1762" t="s">
        <v>5835</v>
      </c>
      <c r="D26" s="405">
        <v>100</v>
      </c>
      <c r="E26" s="3185" t="s">
        <v>5822</v>
      </c>
      <c r="F26" s="585">
        <f>SUMIF(77:77,E26,78:78)-SUMIF(77:77,C26,78:78)+100</f>
        <v>100</v>
      </c>
      <c r="G26" s="3185" t="s">
        <v>5822</v>
      </c>
      <c r="H26" s="405">
        <f>SUMIF(77:77,G26,78:78)-SUMIF(77:77,C26,78:78)+100</f>
        <v>100</v>
      </c>
      <c r="I26" s="3185" t="s">
        <v>5822</v>
      </c>
      <c r="J26" s="405">
        <f>SUMIF(77:77,I26,78:78)-SUMIF(77:77,C26,78:78)+100</f>
        <v>100</v>
      </c>
      <c r="K26" s="536">
        <v>3</v>
      </c>
      <c r="L26" s="2489"/>
      <c r="M26" s="2484"/>
      <c r="N26" s="2484"/>
      <c r="O26" s="2539"/>
      <c r="P26" s="3387"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88" t="s">
        <v>1696</v>
      </c>
      <c r="Z26" s="1262" t="str">
        <f t="shared" ref="Z26:Z34" si="15">Q26</f>
        <v>公共部分装修</v>
      </c>
      <c r="AA26" s="1262">
        <f t="shared" si="3"/>
        <v>1</v>
      </c>
      <c r="AB26" s="1262">
        <f t="shared" si="4"/>
        <v>1</v>
      </c>
      <c r="AC26" s="1262">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8"/>
      <c r="M27" s="2490"/>
      <c r="N27" s="2490"/>
      <c r="O27" s="2540"/>
      <c r="P27" s="3388"/>
      <c r="Q27" s="529" t="str">
        <f t="shared" si="11"/>
        <v>成新率</v>
      </c>
      <c r="R27" s="667" t="s">
        <v>14</v>
      </c>
      <c r="S27" s="668">
        <f t="shared" si="12"/>
        <v>100</v>
      </c>
      <c r="T27" s="667" t="s">
        <v>14</v>
      </c>
      <c r="U27" s="668">
        <f t="shared" si="13"/>
        <v>100</v>
      </c>
      <c r="V27" s="667" t="s">
        <v>14</v>
      </c>
      <c r="W27" s="668">
        <f t="shared" si="14"/>
        <v>100</v>
      </c>
      <c r="X27" s="669"/>
      <c r="Y27" s="3388"/>
      <c r="Z27" s="670" t="str">
        <f t="shared" si="15"/>
        <v>成新率</v>
      </c>
      <c r="AA27" s="1262">
        <f t="shared" si="3"/>
        <v>1</v>
      </c>
      <c r="AB27" s="1262">
        <f t="shared" si="4"/>
        <v>1</v>
      </c>
      <c r="AC27" s="1262">
        <f t="shared" si="5"/>
        <v>1</v>
      </c>
    </row>
    <row r="28" spans="1:29" ht="15.75" thickBot="1">
      <c r="A28" s="409"/>
      <c r="B28" s="364" t="s">
        <v>1840</v>
      </c>
      <c r="C28" s="3186" t="s">
        <v>5823</v>
      </c>
      <c r="D28" s="374">
        <v>100</v>
      </c>
      <c r="E28" s="3186" t="s">
        <v>5823</v>
      </c>
      <c r="F28" s="400">
        <f>SUMIF(82:82,E28,83:83)-SUMIF(82:82,C28,83:83)+100</f>
        <v>100</v>
      </c>
      <c r="G28" s="3186" t="s">
        <v>5823</v>
      </c>
      <c r="H28" s="374">
        <f>SUMIF(82:82,G28,83:83)-SUMIF(82:82,C28,83:83)+100</f>
        <v>100</v>
      </c>
      <c r="I28" s="3186" t="s">
        <v>5823</v>
      </c>
      <c r="J28" s="374">
        <f>SUMIF(82:82,I28,83:83)-SUMIF(82:82,C28,83:83)+100</f>
        <v>100</v>
      </c>
      <c r="K28" s="536">
        <v>2</v>
      </c>
      <c r="L28" s="2489"/>
      <c r="M28" s="2484"/>
      <c r="N28" s="2484"/>
      <c r="O28" s="2539"/>
      <c r="P28" s="3388"/>
      <c r="Q28" s="1261" t="str">
        <f t="shared" si="11"/>
        <v>物业等级</v>
      </c>
      <c r="R28" s="665" t="s">
        <v>14</v>
      </c>
      <c r="S28" s="666">
        <f t="shared" si="12"/>
        <v>100</v>
      </c>
      <c r="T28" s="665" t="s">
        <v>14</v>
      </c>
      <c r="U28" s="666">
        <f t="shared" si="13"/>
        <v>100</v>
      </c>
      <c r="V28" s="665" t="s">
        <v>14</v>
      </c>
      <c r="W28" s="666">
        <f t="shared" si="14"/>
        <v>100</v>
      </c>
      <c r="X28" s="1263"/>
      <c r="Y28" s="3388"/>
      <c r="Z28" s="1262" t="str">
        <f t="shared" si="15"/>
        <v>物业等级</v>
      </c>
      <c r="AA28" s="1262">
        <f t="shared" si="3"/>
        <v>1</v>
      </c>
      <c r="AB28" s="1262">
        <f t="shared" si="4"/>
        <v>1</v>
      </c>
      <c r="AC28" s="1262">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9"/>
      <c r="M29" s="2484"/>
      <c r="N29" s="2484"/>
      <c r="O29" s="2539"/>
      <c r="P29" s="3388"/>
      <c r="Q29" s="1261" t="str">
        <f t="shared" si="11"/>
        <v>有无电梯</v>
      </c>
      <c r="R29" s="665" t="s">
        <v>14</v>
      </c>
      <c r="S29" s="666">
        <f t="shared" si="12"/>
        <v>100</v>
      </c>
      <c r="T29" s="665" t="s">
        <v>14</v>
      </c>
      <c r="U29" s="666">
        <f t="shared" si="13"/>
        <v>100</v>
      </c>
      <c r="V29" s="665" t="s">
        <v>14</v>
      </c>
      <c r="W29" s="666">
        <f t="shared" si="14"/>
        <v>100</v>
      </c>
      <c r="X29" s="1263"/>
      <c r="Y29" s="3388"/>
      <c r="Z29" s="1262" t="str">
        <f t="shared" si="15"/>
        <v>有无电梯</v>
      </c>
      <c r="AA29" s="1262">
        <f t="shared" si="3"/>
        <v>1</v>
      </c>
      <c r="AB29" s="1262">
        <f t="shared" si="4"/>
        <v>1</v>
      </c>
      <c r="AC29" s="1262">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9"/>
      <c r="M30" s="2484"/>
      <c r="N30" s="2484"/>
      <c r="O30" s="2539"/>
      <c r="P30" s="3388"/>
      <c r="Q30" s="1261" t="str">
        <f t="shared" si="11"/>
        <v>建筑面积</v>
      </c>
      <c r="R30" s="665" t="s">
        <v>14</v>
      </c>
      <c r="S30" s="666">
        <f t="shared" si="12"/>
        <v>100</v>
      </c>
      <c r="T30" s="665" t="s">
        <v>14</v>
      </c>
      <c r="U30" s="666">
        <f t="shared" si="13"/>
        <v>100</v>
      </c>
      <c r="V30" s="665" t="s">
        <v>14</v>
      </c>
      <c r="W30" s="666">
        <f t="shared" si="14"/>
        <v>100</v>
      </c>
      <c r="X30" s="1263"/>
      <c r="Y30" s="3388"/>
      <c r="Z30" s="1262" t="str">
        <f t="shared" si="15"/>
        <v>建筑面积</v>
      </c>
      <c r="AA30" s="1262">
        <f t="shared" si="3"/>
        <v>1</v>
      </c>
      <c r="AB30" s="1262">
        <f t="shared" si="4"/>
        <v>1</v>
      </c>
      <c r="AC30" s="1262">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5"/>
      <c r="M31" s="2436"/>
      <c r="N31" s="2436"/>
      <c r="O31" s="2537"/>
      <c r="P31" s="3388"/>
      <c r="Q31" s="528" t="str">
        <f t="shared" si="11"/>
        <v>是否封闭</v>
      </c>
      <c r="R31" s="662" t="s">
        <v>14</v>
      </c>
      <c r="S31" s="663">
        <f t="shared" si="12"/>
        <v>100</v>
      </c>
      <c r="T31" s="662" t="s">
        <v>14</v>
      </c>
      <c r="U31" s="663">
        <f t="shared" si="13"/>
        <v>100</v>
      </c>
      <c r="V31" s="662" t="s">
        <v>14</v>
      </c>
      <c r="W31" s="663">
        <f t="shared" si="14"/>
        <v>100</v>
      </c>
      <c r="X31" s="664"/>
      <c r="Y31" s="3388"/>
      <c r="Z31" s="50" t="str">
        <f t="shared" si="15"/>
        <v>是否封闭</v>
      </c>
      <c r="AA31" s="50">
        <f t="shared" si="3"/>
        <v>1</v>
      </c>
      <c r="AB31" s="50">
        <f t="shared" si="4"/>
        <v>1</v>
      </c>
      <c r="AC31" s="50">
        <f t="shared" si="5"/>
        <v>1</v>
      </c>
    </row>
    <row r="32" spans="1:29" ht="15" hidden="1">
      <c r="A32" s="409"/>
      <c r="B32" s="445">
        <v>111</v>
      </c>
      <c r="C32" s="371"/>
      <c r="D32" s="374">
        <v>100</v>
      </c>
      <c r="E32" s="407"/>
      <c r="F32" s="400">
        <f>SUMIF(91:91,E32,92:92)-SUMIF(91:91,C32,92:92)+100</f>
        <v>100</v>
      </c>
      <c r="G32" s="407"/>
      <c r="H32" s="374">
        <f>SUMIF(91:91,G32,92:92)-SUMIF(91:91,C32,92:92)+100</f>
        <v>100</v>
      </c>
      <c r="I32" s="407"/>
      <c r="J32" s="374">
        <f>SUMIF(91:91,I32,92:92)-SUMIF(91:91,C32,92:92)+100</f>
        <v>100</v>
      </c>
      <c r="K32" s="537"/>
      <c r="L32" s="2489"/>
      <c r="M32" s="2484"/>
      <c r="N32" s="2484"/>
      <c r="O32" s="2539"/>
      <c r="P32" s="3388" t="s">
        <v>1696</v>
      </c>
      <c r="Q32" s="1261">
        <f t="shared" si="11"/>
        <v>111</v>
      </c>
      <c r="R32" s="665" t="s">
        <v>14</v>
      </c>
      <c r="S32" s="666">
        <f t="shared" si="12"/>
        <v>100</v>
      </c>
      <c r="T32" s="665" t="s">
        <v>14</v>
      </c>
      <c r="U32" s="666">
        <f t="shared" si="13"/>
        <v>100</v>
      </c>
      <c r="V32" s="665" t="s">
        <v>14</v>
      </c>
      <c r="W32" s="666">
        <f t="shared" si="14"/>
        <v>100</v>
      </c>
      <c r="X32" s="1263"/>
      <c r="Y32" s="3388" t="s">
        <v>1696</v>
      </c>
      <c r="Z32" s="1262">
        <f t="shared" si="15"/>
        <v>111</v>
      </c>
      <c r="AA32" s="1262">
        <f t="shared" si="3"/>
        <v>1</v>
      </c>
      <c r="AB32" s="1262">
        <f t="shared" si="4"/>
        <v>1</v>
      </c>
      <c r="AC32" s="1262">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9"/>
      <c r="M33" s="2484"/>
      <c r="N33" s="2484"/>
      <c r="O33" s="2539"/>
      <c r="P33" s="3388"/>
      <c r="Q33" s="1261">
        <f t="shared" si="11"/>
        <v>111</v>
      </c>
      <c r="R33" s="665" t="s">
        <v>14</v>
      </c>
      <c r="S33" s="666">
        <f t="shared" si="12"/>
        <v>100</v>
      </c>
      <c r="T33" s="665" t="s">
        <v>14</v>
      </c>
      <c r="U33" s="666">
        <f t="shared" si="13"/>
        <v>100</v>
      </c>
      <c r="V33" s="665" t="s">
        <v>14</v>
      </c>
      <c r="W33" s="666">
        <f t="shared" si="14"/>
        <v>100</v>
      </c>
      <c r="X33" s="1263"/>
      <c r="Y33" s="3388"/>
      <c r="Z33" s="1262">
        <f t="shared" si="15"/>
        <v>111</v>
      </c>
      <c r="AA33" s="1262">
        <f t="shared" si="3"/>
        <v>1</v>
      </c>
      <c r="AB33" s="1262">
        <f t="shared" si="4"/>
        <v>1</v>
      </c>
      <c r="AC33" s="1262">
        <f t="shared" si="5"/>
        <v>1</v>
      </c>
    </row>
    <row r="34" spans="1:30" ht="15.75" hidden="1" thickBot="1">
      <c r="A34" s="413"/>
      <c r="B34" s="1747">
        <v>111</v>
      </c>
      <c r="C34" s="376"/>
      <c r="D34" s="377">
        <v>100</v>
      </c>
      <c r="E34" s="1819"/>
      <c r="F34" s="378">
        <f>SUMIF(95:95,E34,96:96)-SUMIF(95:95,C34,96:96)+100</f>
        <v>100</v>
      </c>
      <c r="G34" s="1819"/>
      <c r="H34" s="377">
        <f>SUMIF(95:95,G34,96:96)-SUMIF(95:95,C34,96:96)+100</f>
        <v>100</v>
      </c>
      <c r="I34" s="1819"/>
      <c r="J34" s="377">
        <f>SUMIF(95:95,I34,96:96)-SUMIF(95:95,C34,96:96)+100</f>
        <v>100</v>
      </c>
      <c r="K34" s="537"/>
      <c r="L34" s="2489"/>
      <c r="M34" s="2484"/>
      <c r="N34" s="2484"/>
      <c r="O34" s="2539"/>
      <c r="P34" s="3388"/>
      <c r="Q34" s="1261">
        <f t="shared" si="11"/>
        <v>111</v>
      </c>
      <c r="R34" s="665" t="s">
        <v>14</v>
      </c>
      <c r="S34" s="666">
        <f t="shared" si="12"/>
        <v>100</v>
      </c>
      <c r="T34" s="665" t="s">
        <v>14</v>
      </c>
      <c r="U34" s="666">
        <f t="shared" si="13"/>
        <v>100</v>
      </c>
      <c r="V34" s="665" t="s">
        <v>14</v>
      </c>
      <c r="W34" s="666">
        <f t="shared" si="14"/>
        <v>100</v>
      </c>
      <c r="X34" s="1263"/>
      <c r="Y34" s="3388"/>
      <c r="Z34" s="1262">
        <f t="shared" si="15"/>
        <v>111</v>
      </c>
      <c r="AA34" s="1262">
        <f t="shared" si="3"/>
        <v>1</v>
      </c>
      <c r="AB34" s="1262">
        <f t="shared" si="4"/>
        <v>1</v>
      </c>
      <c r="AC34" s="1262">
        <f t="shared" si="5"/>
        <v>1</v>
      </c>
    </row>
    <row r="35" spans="1:30" ht="15">
      <c r="A35" s="414" t="s">
        <v>1708</v>
      </c>
      <c r="B35" s="415"/>
      <c r="C35" s="1079" t="s">
        <v>0</v>
      </c>
      <c r="D35" s="416"/>
      <c r="E35" s="417">
        <v>33002</v>
      </c>
      <c r="F35" s="418"/>
      <c r="G35" s="419">
        <v>32439</v>
      </c>
      <c r="H35" s="420"/>
      <c r="I35" s="417">
        <v>23034</v>
      </c>
      <c r="J35" s="420"/>
      <c r="K35" s="672"/>
      <c r="L35" s="2491"/>
      <c r="M35" s="2484"/>
      <c r="N35" s="2484"/>
      <c r="O35" s="2484"/>
      <c r="P35" s="3384" t="str">
        <f>A35</f>
        <v>成交单价（元/平方米）</v>
      </c>
      <c r="Q35" s="3384"/>
      <c r="R35" s="3389">
        <f>E35</f>
        <v>33002</v>
      </c>
      <c r="S35" s="3389"/>
      <c r="T35" s="3389">
        <f>G35</f>
        <v>32439</v>
      </c>
      <c r="U35" s="3389"/>
      <c r="V35" s="3389">
        <f>I35</f>
        <v>23034</v>
      </c>
      <c r="W35" s="3389"/>
      <c r="X35" s="385"/>
      <c r="Y35" s="671"/>
      <c r="Z35" s="385"/>
      <c r="AA35" s="385"/>
      <c r="AB35" s="385"/>
      <c r="AC35" s="385"/>
    </row>
    <row r="36" spans="1:30" ht="15.75" thickBot="1">
      <c r="A36" s="421" t="s">
        <v>1793</v>
      </c>
      <c r="B36" s="422"/>
      <c r="C36" s="1080">
        <f>R37</f>
        <v>31073</v>
      </c>
      <c r="D36" s="2137" t="s">
        <v>5839</v>
      </c>
      <c r="E36" s="1081">
        <f>R36</f>
        <v>33002</v>
      </c>
      <c r="F36" s="2138">
        <v>0.4</v>
      </c>
      <c r="G36" s="1080">
        <f>T36</f>
        <v>32439</v>
      </c>
      <c r="H36" s="2138">
        <v>0.4</v>
      </c>
      <c r="I36" s="1081">
        <f>V36</f>
        <v>24481</v>
      </c>
      <c r="J36" s="2138">
        <v>0.2</v>
      </c>
      <c r="K36" s="2140">
        <f>F36+H36+J36</f>
        <v>1</v>
      </c>
      <c r="L36" s="2491"/>
      <c r="M36" s="2484"/>
      <c r="N36" s="2484"/>
      <c r="O36" s="2484"/>
      <c r="P36" s="3384" t="str">
        <f>A36</f>
        <v>比较价值（元/平方米）</v>
      </c>
      <c r="Q36" s="3384"/>
      <c r="R36" s="3389">
        <f>IF(F1="售价",ROUND(PRODUCT(R35,AA7:AA34),0),ROUND(PRODUCT(R35,AA7:AA34),1))</f>
        <v>33002</v>
      </c>
      <c r="S36" s="3389"/>
      <c r="T36" s="3389">
        <f>IF(F1="售价",ROUND(PRODUCT(T35,AB7:AB34),0),ROUND(PRODUCT(T35,AB7:AB34),1))</f>
        <v>32439</v>
      </c>
      <c r="U36" s="3389"/>
      <c r="V36" s="3389">
        <f>IF(F1="售价",ROUND(PRODUCT(V35,AC7:AC34),0),ROUND(PRODUCT(V35,AC7:AC34),1))</f>
        <v>24481</v>
      </c>
      <c r="W36" s="3389"/>
      <c r="X36" s="385"/>
      <c r="Y36" s="385"/>
      <c r="Z36" s="385"/>
      <c r="AA36" s="385"/>
      <c r="AB36" s="385"/>
      <c r="AC36" s="385"/>
    </row>
    <row r="37" spans="1:30" ht="15.75" thickBot="1">
      <c r="A37" s="425" t="s">
        <v>1794</v>
      </c>
      <c r="B37" s="426"/>
      <c r="C37" s="351">
        <f>R37</f>
        <v>31073</v>
      </c>
      <c r="D37" s="351"/>
      <c r="E37" s="351"/>
      <c r="F37" s="351"/>
      <c r="G37" s="351"/>
      <c r="H37" s="351"/>
      <c r="I37" s="351"/>
      <c r="J37" s="351"/>
      <c r="K37" s="673"/>
      <c r="L37" s="2491"/>
      <c r="M37" s="2484"/>
      <c r="N37" s="2484"/>
      <c r="O37" s="2484"/>
      <c r="P37" s="3378" t="str">
        <f>A37</f>
        <v>估价对象XX用房的比较价值（楼面单价，元/平方米）</v>
      </c>
      <c r="Q37" s="3379"/>
      <c r="R37" s="3469">
        <f>IF(F1="售价",ROUND(IF(D36="简单平均",AVERAGE(R36:W36),R36*F36+T36*H36+V36*J36),0),ROUND(IF(D36="简单平均",AVERAGE(R36:V36),R36*F36+T36*H36+V36*J36),1))</f>
        <v>31073</v>
      </c>
      <c r="S37" s="3469"/>
      <c r="T37" s="3469"/>
      <c r="U37" s="3469"/>
      <c r="V37" s="3469"/>
      <c r="W37" s="3469"/>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0" t="s">
        <v>1795</v>
      </c>
      <c r="D40" s="431"/>
      <c r="E40" s="432">
        <f>IF(E35&lt;E36,E36/E35-1,E35/E36-1)</f>
        <v>0</v>
      </c>
      <c r="F40" s="433" t="str">
        <f>IF(OR(E40&gt;=0.3,E40&lt;=-0.3),"超过30%","")</f>
        <v/>
      </c>
      <c r="G40" s="432">
        <f>IF(G35&lt;G36,G36/G35-1,G35/G36-1)</f>
        <v>0</v>
      </c>
      <c r="H40" s="433" t="str">
        <f>IF(OR(G40&gt;=0.3,G40&lt;=-0.3),"超过30%","")</f>
        <v/>
      </c>
      <c r="I40" s="432">
        <f>IF(I35&lt;I36,I36/I35-1,I35/I36-1)</f>
        <v>6.282017886602409E-2</v>
      </c>
      <c r="J40" s="433" t="str">
        <f>IF(OR(I40&gt;=0.3,I40&lt;=-0.3),"超过30%","")</f>
        <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0" t="s">
        <v>1796</v>
      </c>
      <c r="D41" s="434"/>
      <c r="E41" s="432">
        <f>IF(E36&lt;G36,G36/E36-1,E36/G36-1)</f>
        <v>1.735565214710677E-2</v>
      </c>
      <c r="F41" s="433" t="str">
        <f>IF(OR(E41&gt;=0.2,E41&lt;=-0.2),"超过20%","")</f>
        <v/>
      </c>
      <c r="G41" s="432">
        <f>IF(G36&lt;I36,I36/G36-1,G36/I36-1)</f>
        <v>0.32506842040766304</v>
      </c>
      <c r="H41" s="433" t="str">
        <f>IF(OR(G41&gt;=0.2,G41&lt;=-0.2),"超过20%","")</f>
        <v>超过20%</v>
      </c>
      <c r="I41" s="432">
        <f>IF(I36&lt;E36,E36/I36-1,I36/E36-1)</f>
        <v>0.34806584698337484</v>
      </c>
      <c r="J41" s="433" t="str">
        <f>IF(OR(I41&gt;=0.2,I41&lt;=-0.2),"超过20%","")</f>
        <v>超过20%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5" customFormat="1" ht="13.5" customHeight="1">
      <c r="A42" s="2494"/>
      <c r="B42" s="2494"/>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5"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5"/>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0" customFormat="1" ht="15">
      <c r="A46" s="438" t="s">
        <v>1679</v>
      </c>
      <c r="B46" s="439"/>
      <c r="C46" s="1101" t="str">
        <f>YEAR(C7)&amp;"-"&amp;MONTH(C7)</f>
        <v>2025-5</v>
      </c>
      <c r="D46" s="1102">
        <f>EDATE(C46,-1)</f>
        <v>45748</v>
      </c>
      <c r="E46" s="1102">
        <f t="shared" ref="E46:O46" si="16">EDATE(D46,-1)</f>
        <v>45717</v>
      </c>
      <c r="F46" s="1102">
        <f t="shared" si="16"/>
        <v>45689</v>
      </c>
      <c r="G46" s="1102">
        <f t="shared" si="16"/>
        <v>45658</v>
      </c>
      <c r="H46" s="1102">
        <f t="shared" si="16"/>
        <v>45627</v>
      </c>
      <c r="I46" s="1102">
        <f t="shared" si="16"/>
        <v>45597</v>
      </c>
      <c r="J46" s="1102">
        <f t="shared" si="16"/>
        <v>45566</v>
      </c>
      <c r="K46" s="1102">
        <f t="shared" si="16"/>
        <v>45536</v>
      </c>
      <c r="L46" s="1102">
        <f t="shared" si="16"/>
        <v>45505</v>
      </c>
      <c r="M46" s="1102">
        <f t="shared" si="16"/>
        <v>45474</v>
      </c>
      <c r="N46" s="1102">
        <f t="shared" si="16"/>
        <v>45444</v>
      </c>
      <c r="O46" s="1102">
        <f t="shared" si="16"/>
        <v>45413</v>
      </c>
      <c r="P46" s="2507"/>
      <c r="Q46" s="2507"/>
      <c r="R46" s="2507"/>
      <c r="S46" s="2507"/>
      <c r="T46" s="2507"/>
      <c r="U46" s="2507"/>
      <c r="V46" s="2507"/>
      <c r="W46" s="2507"/>
      <c r="X46" s="2507"/>
      <c r="Y46" s="2507"/>
      <c r="Z46" s="2507"/>
      <c r="AA46" s="2507"/>
      <c r="AB46" s="2507"/>
      <c r="AC46" s="2507"/>
      <c r="AD46" s="2507"/>
    </row>
    <row r="47" spans="1:30" s="102" customFormat="1" ht="15">
      <c r="A47" s="441"/>
      <c r="B47" s="442"/>
      <c r="C47" s="1100">
        <v>100</v>
      </c>
      <c r="D47" s="444"/>
      <c r="E47" s="444"/>
      <c r="F47" s="444"/>
      <c r="G47" s="444"/>
      <c r="H47" s="444"/>
      <c r="I47" s="444"/>
      <c r="J47" s="444"/>
      <c r="K47" s="444"/>
      <c r="L47" s="444"/>
      <c r="M47" s="445"/>
      <c r="N47" s="444"/>
      <c r="O47" s="446"/>
      <c r="P47" s="2505"/>
      <c r="Q47" s="2436"/>
      <c r="R47" s="2436"/>
      <c r="S47" s="2436"/>
      <c r="T47" s="2436"/>
      <c r="U47" s="2436"/>
      <c r="V47" s="2436"/>
      <c r="W47" s="2436"/>
      <c r="X47" s="2436"/>
      <c r="Y47" s="2436"/>
      <c r="Z47" s="2436"/>
      <c r="AA47" s="2436"/>
      <c r="AB47" s="2436"/>
      <c r="AC47" s="2436"/>
      <c r="AD47" s="2436"/>
    </row>
    <row r="48" spans="1:30" s="102" customFormat="1" ht="15.75" thickBot="1">
      <c r="A48" s="447" t="s">
        <v>1716</v>
      </c>
      <c r="B48" s="448"/>
      <c r="C48" s="449"/>
      <c r="D48" s="450"/>
      <c r="E48" s="450"/>
      <c r="F48" s="450"/>
      <c r="G48" s="450"/>
      <c r="H48" s="450"/>
      <c r="I48" s="450"/>
      <c r="J48" s="450"/>
      <c r="K48" s="450"/>
      <c r="L48" s="450"/>
      <c r="M48" s="451"/>
      <c r="N48" s="450"/>
      <c r="O48" s="452"/>
      <c r="P48" s="2505"/>
      <c r="Q48" s="2505"/>
      <c r="R48" s="2436"/>
      <c r="S48" s="2436"/>
      <c r="T48" s="2436"/>
      <c r="U48" s="2436"/>
      <c r="V48" s="2436"/>
      <c r="W48" s="2436"/>
      <c r="X48" s="2436"/>
      <c r="Y48" s="2436"/>
      <c r="Z48" s="2436"/>
      <c r="AA48" s="2436"/>
      <c r="AB48" s="2436"/>
      <c r="AC48" s="2436"/>
      <c r="AD48" s="2436"/>
    </row>
    <row r="49" spans="1:30" s="102" customFormat="1" ht="15">
      <c r="A49" s="453" t="s">
        <v>1681</v>
      </c>
      <c r="B49" s="442"/>
      <c r="C49" s="454" t="s">
        <v>1776</v>
      </c>
      <c r="D49" s="31"/>
      <c r="E49" s="31"/>
      <c r="F49" s="31"/>
      <c r="G49" s="31"/>
      <c r="H49" s="31"/>
      <c r="I49" s="31"/>
      <c r="J49" s="31"/>
      <c r="K49" s="31"/>
      <c r="L49" s="455"/>
      <c r="M49" s="456"/>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3"/>
      <c r="B50" s="442"/>
      <c r="C50" s="561">
        <v>100</v>
      </c>
      <c r="D50" s="444"/>
      <c r="E50" s="444"/>
      <c r="F50" s="444"/>
      <c r="G50" s="444"/>
      <c r="H50" s="444"/>
      <c r="I50" s="444"/>
      <c r="J50" s="444"/>
      <c r="K50" s="444"/>
      <c r="L50" s="444"/>
      <c r="M50" s="446"/>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58" t="s">
        <v>1685</v>
      </c>
      <c r="C51" s="459" t="str">
        <f>C9</f>
        <v>仓储</v>
      </c>
      <c r="D51" s="460"/>
      <c r="E51" s="460"/>
      <c r="F51" s="460"/>
      <c r="G51" s="460"/>
      <c r="H51" s="460"/>
      <c r="I51" s="460"/>
      <c r="J51" s="460"/>
      <c r="K51" s="461"/>
      <c r="L51" s="462"/>
      <c r="M51" s="463"/>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4"/>
      <c r="C52" s="465">
        <v>100</v>
      </c>
      <c r="D52" s="465"/>
      <c r="E52" s="465"/>
      <c r="F52" s="465"/>
      <c r="G52" s="465"/>
      <c r="H52" s="465"/>
      <c r="I52" s="465"/>
      <c r="J52" s="465"/>
      <c r="K52" s="465"/>
      <c r="L52" s="465"/>
      <c r="M52" s="466"/>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7" t="s">
        <v>1688</v>
      </c>
      <c r="C53" s="511"/>
      <c r="D53" s="511"/>
      <c r="E53" s="511"/>
      <c r="F53" s="511"/>
      <c r="G53" s="511"/>
      <c r="H53" s="511"/>
      <c r="I53" s="511"/>
      <c r="J53" s="511"/>
      <c r="K53" s="512"/>
      <c r="L53" s="513"/>
      <c r="M53" s="514"/>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2"/>
      <c r="C54" s="465"/>
      <c r="D54" s="465"/>
      <c r="E54" s="465"/>
      <c r="F54" s="465"/>
      <c r="G54" s="465"/>
      <c r="H54" s="465"/>
      <c r="I54" s="465"/>
      <c r="J54" s="465"/>
      <c r="K54" s="465"/>
      <c r="L54" s="465"/>
      <c r="M54" s="466"/>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79">
        <f>B11</f>
        <v>111</v>
      </c>
      <c r="C55" s="478"/>
      <c r="D55" s="478"/>
      <c r="E55" s="478"/>
      <c r="F55" s="478"/>
      <c r="G55" s="478"/>
      <c r="H55" s="478"/>
      <c r="I55" s="478"/>
      <c r="J55" s="478"/>
      <c r="K55" s="479"/>
      <c r="L55" s="480"/>
      <c r="M55" s="481"/>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4"/>
      <c r="C56" s="489"/>
      <c r="D56" s="465"/>
      <c r="E56" s="465"/>
      <c r="F56" s="465"/>
      <c r="G56" s="465"/>
      <c r="H56" s="465"/>
      <c r="I56" s="465"/>
      <c r="J56" s="465"/>
      <c r="K56" s="465"/>
      <c r="L56" s="465"/>
      <c r="M56" s="466"/>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2"/>
      <c r="B57" s="467">
        <f>B12</f>
        <v>111</v>
      </c>
      <c r="C57" s="478"/>
      <c r="D57" s="478"/>
      <c r="E57" s="478"/>
      <c r="F57" s="478"/>
      <c r="G57" s="483"/>
      <c r="H57" s="484"/>
      <c r="I57" s="484"/>
      <c r="J57" s="484"/>
      <c r="K57" s="484"/>
      <c r="L57" s="485"/>
      <c r="M57" s="486"/>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2"/>
      <c r="B58" s="472"/>
      <c r="C58" s="489"/>
      <c r="D58" s="465"/>
      <c r="E58" s="465"/>
      <c r="F58" s="465"/>
      <c r="G58" s="465"/>
      <c r="H58" s="465"/>
      <c r="I58" s="465"/>
      <c r="J58" s="465"/>
      <c r="K58" s="465"/>
      <c r="L58" s="465"/>
      <c r="M58" s="466"/>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2"/>
      <c r="B59" s="467">
        <f>B13</f>
        <v>111</v>
      </c>
      <c r="C59" s="478"/>
      <c r="D59" s="478"/>
      <c r="E59" s="478"/>
      <c r="F59" s="478"/>
      <c r="G59" s="483"/>
      <c r="H59" s="484"/>
      <c r="I59" s="484"/>
      <c r="J59" s="484"/>
      <c r="K59" s="484"/>
      <c r="L59" s="485"/>
      <c r="M59" s="486"/>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2"/>
      <c r="B60" s="472"/>
      <c r="C60" s="489"/>
      <c r="D60" s="489"/>
      <c r="E60" s="489"/>
      <c r="F60" s="489"/>
      <c r="G60" s="489"/>
      <c r="H60" s="491"/>
      <c r="I60" s="491"/>
      <c r="J60" s="491"/>
      <c r="K60" s="491"/>
      <c r="L60" s="491"/>
      <c r="M60" s="492"/>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2"/>
      <c r="C62" s="473">
        <v>100</v>
      </c>
      <c r="D62" s="473">
        <f>C62-$K14</f>
        <v>97</v>
      </c>
      <c r="E62" s="473">
        <f>D62-$K14</f>
        <v>94</v>
      </c>
      <c r="F62" s="473">
        <f>E62-$K14</f>
        <v>91</v>
      </c>
      <c r="G62" s="473">
        <f>F62-$K14</f>
        <v>88</v>
      </c>
      <c r="H62" s="473"/>
      <c r="I62" s="473"/>
      <c r="J62" s="473"/>
      <c r="K62" s="473"/>
      <c r="L62" s="473"/>
      <c r="M62" s="474"/>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7" t="s">
        <v>1863</v>
      </c>
      <c r="C63" s="507" t="s">
        <v>1721</v>
      </c>
      <c r="D63" s="507" t="s">
        <v>1722</v>
      </c>
      <c r="E63" s="507" t="s">
        <v>1723</v>
      </c>
      <c r="F63" s="507" t="s">
        <v>1724</v>
      </c>
      <c r="G63" s="507" t="s">
        <v>1725</v>
      </c>
      <c r="H63" s="468"/>
      <c r="I63" s="468"/>
      <c r="J63" s="468"/>
      <c r="K63" s="469"/>
      <c r="L63" s="470"/>
      <c r="M63" s="471"/>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2"/>
      <c r="C64" s="473">
        <v>100</v>
      </c>
      <c r="D64" s="473">
        <f>C64-$K16</f>
        <v>97</v>
      </c>
      <c r="E64" s="473">
        <f>D64-$K16</f>
        <v>94</v>
      </c>
      <c r="F64" s="473">
        <f>E64-$K16</f>
        <v>91</v>
      </c>
      <c r="G64" s="473">
        <f>F64-$K16</f>
        <v>88</v>
      </c>
      <c r="H64" s="473"/>
      <c r="I64" s="473"/>
      <c r="J64" s="473"/>
      <c r="K64" s="473"/>
      <c r="L64" s="473"/>
      <c r="M64" s="474"/>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5" t="s">
        <v>1813</v>
      </c>
      <c r="C65" s="579" t="s">
        <v>1799</v>
      </c>
      <c r="D65" s="579" t="s">
        <v>1800</v>
      </c>
      <c r="E65" s="579" t="s">
        <v>1801</v>
      </c>
      <c r="F65" s="579" t="s">
        <v>1802</v>
      </c>
      <c r="G65" s="579" t="s">
        <v>1803</v>
      </c>
      <c r="H65" s="468"/>
      <c r="I65" s="468"/>
      <c r="J65" s="468"/>
      <c r="K65" s="468"/>
      <c r="L65" s="468"/>
      <c r="M65" s="1061"/>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5"/>
      <c r="C66" s="473">
        <v>100</v>
      </c>
      <c r="D66" s="473">
        <f>C66-$K18</f>
        <v>98</v>
      </c>
      <c r="E66" s="473">
        <f>D66-$K18</f>
        <v>96</v>
      </c>
      <c r="F66" s="473">
        <f>E66-$K18</f>
        <v>94</v>
      </c>
      <c r="G66" s="473">
        <f>F66-$K18</f>
        <v>92</v>
      </c>
      <c r="H66" s="579"/>
      <c r="I66" s="579"/>
      <c r="J66" s="579"/>
      <c r="K66" s="579"/>
      <c r="L66" s="579"/>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7" t="s">
        <v>1733</v>
      </c>
      <c r="C67" s="507" t="s">
        <v>1721</v>
      </c>
      <c r="D67" s="507" t="s">
        <v>1722</v>
      </c>
      <c r="E67" s="507" t="s">
        <v>1723</v>
      </c>
      <c r="F67" s="507" t="s">
        <v>1724</v>
      </c>
      <c r="G67" s="507" t="s">
        <v>1725</v>
      </c>
      <c r="H67" s="468"/>
      <c r="I67" s="468"/>
      <c r="J67" s="468"/>
      <c r="K67" s="469"/>
      <c r="L67" s="470"/>
      <c r="M67" s="471"/>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2"/>
      <c r="C68" s="473">
        <v>100</v>
      </c>
      <c r="D68" s="473">
        <f>C68-$K20</f>
        <v>97</v>
      </c>
      <c r="E68" s="473">
        <f>D68-$K20</f>
        <v>94</v>
      </c>
      <c r="F68" s="473">
        <f>E68-$K20</f>
        <v>91</v>
      </c>
      <c r="G68" s="473">
        <f>F68-$K20</f>
        <v>88</v>
      </c>
      <c r="H68" s="473"/>
      <c r="I68" s="473"/>
      <c r="J68" s="473"/>
      <c r="K68" s="473"/>
      <c r="L68" s="473"/>
      <c r="M68" s="474"/>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7" t="s">
        <v>1852</v>
      </c>
      <c r="C69" s="483"/>
      <c r="D69" s="483"/>
      <c r="E69" s="483"/>
      <c r="F69" s="483"/>
      <c r="G69" s="483"/>
      <c r="H69" s="511"/>
      <c r="I69" s="511"/>
      <c r="J69" s="511"/>
      <c r="K69" s="512"/>
      <c r="L69" s="513"/>
      <c r="M69" s="514"/>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2"/>
      <c r="C70" s="473">
        <v>100</v>
      </c>
      <c r="D70" s="473">
        <f>C70-$K22</f>
        <v>100</v>
      </c>
      <c r="E70" s="473"/>
      <c r="F70" s="473"/>
      <c r="G70" s="473"/>
      <c r="H70" s="473"/>
      <c r="I70" s="473"/>
      <c r="J70" s="473"/>
      <c r="K70" s="473"/>
      <c r="L70" s="473"/>
      <c r="M70" s="474"/>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7">
        <f>B23</f>
        <v>111</v>
      </c>
      <c r="C71" s="478"/>
      <c r="D71" s="478"/>
      <c r="E71" s="478"/>
      <c r="F71" s="478"/>
      <c r="G71" s="483"/>
      <c r="H71" s="483"/>
      <c r="I71" s="483"/>
      <c r="J71" s="483"/>
      <c r="K71" s="483"/>
      <c r="L71" s="508"/>
      <c r="M71" s="509"/>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2"/>
      <c r="C72" s="489"/>
      <c r="D72" s="465"/>
      <c r="E72" s="465"/>
      <c r="F72" s="465"/>
      <c r="G72" s="465"/>
      <c r="H72" s="465"/>
      <c r="I72" s="465"/>
      <c r="J72" s="465"/>
      <c r="K72" s="465"/>
      <c r="L72" s="465"/>
      <c r="M72" s="466"/>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7">
        <f>B24</f>
        <v>111</v>
      </c>
      <c r="C73" s="478"/>
      <c r="D73" s="478"/>
      <c r="E73" s="478"/>
      <c r="F73" s="478"/>
      <c r="G73" s="483"/>
      <c r="H73" s="483"/>
      <c r="I73" s="483"/>
      <c r="J73" s="483"/>
      <c r="K73" s="483"/>
      <c r="L73" s="483"/>
      <c r="M73" s="509"/>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2"/>
      <c r="C74" s="489"/>
      <c r="D74" s="465"/>
      <c r="E74" s="465"/>
      <c r="F74" s="465"/>
      <c r="G74" s="465"/>
      <c r="H74" s="465"/>
      <c r="I74" s="465"/>
      <c r="J74" s="465"/>
      <c r="K74" s="465"/>
      <c r="L74" s="465"/>
      <c r="M74" s="466"/>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2"/>
      <c r="B75" s="467">
        <f>B25</f>
        <v>111</v>
      </c>
      <c r="C75" s="478"/>
      <c r="D75" s="478"/>
      <c r="E75" s="478"/>
      <c r="F75" s="478"/>
      <c r="G75" s="483"/>
      <c r="H75" s="484"/>
      <c r="I75" s="484"/>
      <c r="J75" s="484"/>
      <c r="K75" s="484"/>
      <c r="L75" s="485"/>
      <c r="M75" s="486"/>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2"/>
      <c r="B76" s="472"/>
      <c r="C76" s="489"/>
      <c r="D76" s="489"/>
      <c r="E76" s="489"/>
      <c r="F76" s="489"/>
      <c r="G76" s="465"/>
      <c r="H76" s="465"/>
      <c r="I76" s="465"/>
      <c r="J76" s="465"/>
      <c r="K76" s="465"/>
      <c r="L76" s="465"/>
      <c r="M76" s="466"/>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58" t="s">
        <v>1740</v>
      </c>
      <c r="C77" s="483"/>
      <c r="D77" s="483"/>
      <c r="E77" s="460"/>
      <c r="F77" s="460"/>
      <c r="G77" s="460"/>
      <c r="H77" s="460"/>
      <c r="I77" s="460"/>
      <c r="J77" s="460"/>
      <c r="K77" s="461"/>
      <c r="L77" s="462"/>
      <c r="M77" s="463"/>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7"/>
      <c r="O79" s="2517"/>
      <c r="P79" s="2517"/>
      <c r="Q79" s="2505"/>
      <c r="R79" s="2484"/>
      <c r="S79" s="2484"/>
      <c r="T79" s="2484"/>
      <c r="U79" s="2484"/>
      <c r="V79" s="2484"/>
      <c r="W79" s="2484"/>
      <c r="X79" s="2484"/>
      <c r="Y79" s="2484"/>
      <c r="Z79" s="2484"/>
      <c r="AA79" s="2484"/>
      <c r="AB79" s="2484"/>
      <c r="AC79" s="2484"/>
      <c r="AD79" s="2484"/>
    </row>
    <row r="80" spans="1:30" ht="15">
      <c r="A80" s="367"/>
      <c r="B80" s="475"/>
      <c r="C80" s="528">
        <v>0.5</v>
      </c>
      <c r="D80" s="528">
        <v>0.6</v>
      </c>
      <c r="E80" s="528">
        <v>0.7</v>
      </c>
      <c r="F80" s="528">
        <v>0.8</v>
      </c>
      <c r="G80" s="528">
        <v>0.9</v>
      </c>
      <c r="H80" s="528">
        <v>1.0001</v>
      </c>
      <c r="I80" s="579"/>
      <c r="J80" s="579"/>
      <c r="K80" s="586"/>
      <c r="L80" s="587"/>
      <c r="M80" s="588"/>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5" t="s">
        <v>1856</v>
      </c>
      <c r="C82" s="483"/>
      <c r="D82" s="483"/>
      <c r="E82" s="511"/>
      <c r="F82" s="511"/>
      <c r="G82" s="511"/>
      <c r="H82" s="511"/>
      <c r="I82" s="511"/>
      <c r="J82" s="511"/>
      <c r="K82" s="512"/>
      <c r="L82" s="513"/>
      <c r="M82" s="514"/>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7" t="s">
        <v>1864</v>
      </c>
      <c r="C84" s="483"/>
      <c r="D84" s="483"/>
      <c r="E84" s="483"/>
      <c r="F84" s="483"/>
      <c r="G84" s="483"/>
      <c r="H84" s="483"/>
      <c r="I84" s="511"/>
      <c r="J84" s="511"/>
      <c r="K84" s="512"/>
      <c r="L84" s="513"/>
      <c r="M84" s="514"/>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5"/>
      <c r="C87" s="6">
        <v>0</v>
      </c>
      <c r="D87" s="6"/>
      <c r="E87" s="6"/>
      <c r="F87" s="6"/>
      <c r="G87" s="6"/>
      <c r="H87" s="6"/>
      <c r="I87" s="6"/>
      <c r="J87" s="522"/>
      <c r="K87" s="522"/>
      <c r="L87" s="523"/>
      <c r="M87" s="524"/>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2"/>
      <c r="C88" s="489">
        <v>100</v>
      </c>
      <c r="D88" s="465"/>
      <c r="E88" s="465"/>
      <c r="F88" s="465"/>
      <c r="G88" s="465"/>
      <c r="H88" s="465"/>
      <c r="I88" s="465"/>
      <c r="J88" s="465"/>
      <c r="K88" s="465"/>
      <c r="L88" s="465"/>
      <c r="M88" s="465"/>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7" t="s">
        <v>1866</v>
      </c>
      <c r="C89" s="483"/>
      <c r="D89" s="483"/>
      <c r="E89" s="483"/>
      <c r="F89" s="483"/>
      <c r="G89" s="483"/>
      <c r="H89" s="483"/>
      <c r="I89" s="483"/>
      <c r="J89" s="483"/>
      <c r="K89" s="483"/>
      <c r="L89" s="483"/>
      <c r="M89" s="509"/>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2"/>
      <c r="B90" s="472"/>
      <c r="C90" s="489"/>
      <c r="D90" s="465"/>
      <c r="E90" s="465"/>
      <c r="F90" s="465"/>
      <c r="G90" s="465"/>
      <c r="H90" s="465"/>
      <c r="I90" s="465"/>
      <c r="J90" s="465"/>
      <c r="K90" s="465"/>
      <c r="L90" s="465"/>
      <c r="M90" s="466"/>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7">
        <f>B32</f>
        <v>111</v>
      </c>
      <c r="C91" s="478"/>
      <c r="D91" s="478"/>
      <c r="E91" s="478"/>
      <c r="F91" s="478"/>
      <c r="G91" s="483"/>
      <c r="H91" s="484"/>
      <c r="I91" s="484"/>
      <c r="J91" s="484"/>
      <c r="K91" s="484"/>
      <c r="L91" s="485"/>
      <c r="M91" s="486"/>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2"/>
      <c r="C92" s="489"/>
      <c r="D92" s="465"/>
      <c r="E92" s="465"/>
      <c r="F92" s="465"/>
      <c r="G92" s="489"/>
      <c r="H92" s="491"/>
      <c r="I92" s="491"/>
      <c r="J92" s="491"/>
      <c r="K92" s="491"/>
      <c r="L92" s="491"/>
      <c r="M92" s="492"/>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7">
        <f>B33</f>
        <v>111</v>
      </c>
      <c r="C93" s="478"/>
      <c r="D93" s="478"/>
      <c r="E93" s="478"/>
      <c r="F93" s="478"/>
      <c r="G93" s="483"/>
      <c r="H93" s="484"/>
      <c r="I93" s="484"/>
      <c r="J93" s="484"/>
      <c r="K93" s="484"/>
      <c r="L93" s="485"/>
      <c r="M93" s="486"/>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2"/>
      <c r="C94" s="489"/>
      <c r="D94" s="465"/>
      <c r="E94" s="465"/>
      <c r="F94" s="465"/>
      <c r="G94" s="489"/>
      <c r="H94" s="491"/>
      <c r="I94" s="491"/>
      <c r="J94" s="491"/>
      <c r="K94" s="491"/>
      <c r="L94" s="491"/>
      <c r="M94" s="492"/>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58">
        <f>B34</f>
        <v>111</v>
      </c>
      <c r="C95" s="478"/>
      <c r="D95" s="478"/>
      <c r="E95" s="478"/>
      <c r="F95" s="478"/>
      <c r="G95" s="483"/>
      <c r="H95" s="484"/>
      <c r="I95" s="484"/>
      <c r="J95" s="484"/>
      <c r="K95" s="484"/>
      <c r="L95" s="485"/>
      <c r="M95" s="486"/>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2"/>
      <c r="C96" s="489"/>
      <c r="D96" s="489"/>
      <c r="E96" s="489"/>
      <c r="F96" s="489"/>
      <c r="G96" s="489"/>
      <c r="H96" s="491"/>
      <c r="I96" s="491"/>
      <c r="J96" s="491"/>
      <c r="K96" s="491"/>
      <c r="L96" s="491"/>
      <c r="M96" s="492"/>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W46" sqref="W46"/>
    </sheetView>
  </sheetViews>
  <sheetFormatPr defaultRowHeight="13.5"/>
  <cols>
    <col min="1" max="16384" width="9" style="3159"/>
  </cols>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9"/>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381" t="s">
        <v>1770</v>
      </c>
      <c r="D4" s="3393"/>
      <c r="E4" s="3394" t="s">
        <v>1771</v>
      </c>
      <c r="F4" s="3395"/>
      <c r="G4" s="3381" t="s">
        <v>1772</v>
      </c>
      <c r="H4" s="3393"/>
      <c r="I4" s="3381" t="s">
        <v>1773</v>
      </c>
      <c r="J4" s="3393"/>
      <c r="K4" s="535" t="s">
        <v>1774</v>
      </c>
      <c r="L4" s="2483"/>
      <c r="M4" s="2484"/>
      <c r="N4" s="2484"/>
      <c r="O4" s="2484"/>
      <c r="P4" s="3396" t="s">
        <v>1775</v>
      </c>
      <c r="Q4" s="3397"/>
      <c r="R4" s="3402" t="s">
        <v>1771</v>
      </c>
      <c r="S4" s="3403"/>
      <c r="T4" s="3402" t="s">
        <v>1772</v>
      </c>
      <c r="U4" s="3403"/>
      <c r="V4" s="3389" t="s">
        <v>1773</v>
      </c>
      <c r="W4" s="3389"/>
      <c r="X4" s="1263"/>
      <c r="Y4" s="3402" t="s">
        <v>1775</v>
      </c>
      <c r="Z4" s="3403"/>
      <c r="AA4" s="3390" t="s">
        <v>1771</v>
      </c>
      <c r="AB4" s="3391" t="s">
        <v>1772</v>
      </c>
      <c r="AC4" s="3390" t="s">
        <v>1773</v>
      </c>
    </row>
    <row r="5" spans="1:29" ht="15">
      <c r="A5" s="348"/>
      <c r="B5" s="349"/>
      <c r="C5" s="3415" t="s">
        <v>1673</v>
      </c>
      <c r="D5" s="3411"/>
      <c r="E5" s="3453" t="s">
        <v>1674</v>
      </c>
      <c r="F5" s="3419"/>
      <c r="G5" s="3415" t="s">
        <v>1675</v>
      </c>
      <c r="H5" s="3411"/>
      <c r="I5" s="3415" t="s">
        <v>1676</v>
      </c>
      <c r="J5" s="3411"/>
      <c r="K5" s="535"/>
      <c r="L5" s="2483"/>
      <c r="M5" s="2484"/>
      <c r="N5" s="2484"/>
      <c r="O5" s="2484"/>
      <c r="P5" s="3398"/>
      <c r="Q5" s="3399"/>
      <c r="R5" s="3404"/>
      <c r="S5" s="3405"/>
      <c r="T5" s="3404"/>
      <c r="U5" s="3405"/>
      <c r="V5" s="3389"/>
      <c r="W5" s="3389"/>
      <c r="X5" s="1263"/>
      <c r="Y5" s="3404"/>
      <c r="Z5" s="3405"/>
      <c r="AA5" s="3391"/>
      <c r="AB5" s="3391"/>
      <c r="AC5" s="3391"/>
    </row>
    <row r="6" spans="1:29" ht="15.75" thickBot="1">
      <c r="A6" s="350"/>
      <c r="B6" s="351"/>
      <c r="C6" s="3470" t="s">
        <v>1918</v>
      </c>
      <c r="D6" s="3471"/>
      <c r="E6" s="3472" t="s">
        <v>1918</v>
      </c>
      <c r="F6" s="3473"/>
      <c r="G6" s="3470" t="s">
        <v>1918</v>
      </c>
      <c r="H6" s="3471"/>
      <c r="I6" s="3470" t="s">
        <v>1918</v>
      </c>
      <c r="J6" s="3471"/>
      <c r="K6" s="535" t="s">
        <v>1678</v>
      </c>
      <c r="L6" s="2483"/>
      <c r="M6" s="2484"/>
      <c r="N6" s="2484"/>
      <c r="O6" s="2484"/>
      <c r="P6" s="3400"/>
      <c r="Q6" s="3401"/>
      <c r="R6" s="3404"/>
      <c r="S6" s="3405"/>
      <c r="T6" s="3406"/>
      <c r="U6" s="3407"/>
      <c r="V6" s="3389"/>
      <c r="W6" s="3389"/>
      <c r="X6" s="1263"/>
      <c r="Y6" s="3406"/>
      <c r="Z6" s="3407"/>
      <c r="AA6" s="3392"/>
      <c r="AB6" s="3392"/>
      <c r="AC6" s="3392"/>
    </row>
    <row r="7" spans="1:29" s="102" customFormat="1" ht="15.75" thickBot="1">
      <c r="A7" s="352" t="s">
        <v>1679</v>
      </c>
      <c r="B7" s="353"/>
      <c r="C7" s="354">
        <f>'数据-取费表'!B2</f>
        <v>45803</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412" t="s">
        <v>1680</v>
      </c>
      <c r="Q7" s="3414"/>
      <c r="R7" s="662" t="s">
        <v>14</v>
      </c>
      <c r="S7" s="663">
        <f t="shared" ref="S7:S15" si="0">F7</f>
        <v>0</v>
      </c>
      <c r="T7" s="662" t="s">
        <v>14</v>
      </c>
      <c r="U7" s="663">
        <f t="shared" ref="U7:U15" si="1">H7</f>
        <v>0</v>
      </c>
      <c r="V7" s="662" t="s">
        <v>14</v>
      </c>
      <c r="W7" s="663">
        <f t="shared" ref="W7:W15" si="2">J7</f>
        <v>0</v>
      </c>
      <c r="X7" s="664"/>
      <c r="Y7" s="3412" t="s">
        <v>1680</v>
      </c>
      <c r="Z7" s="341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412" t="s">
        <v>1683</v>
      </c>
      <c r="Q8" s="3413"/>
      <c r="R8" s="662" t="s">
        <v>14</v>
      </c>
      <c r="S8" s="663">
        <f t="shared" si="0"/>
        <v>0</v>
      </c>
      <c r="T8" s="662" t="s">
        <v>14</v>
      </c>
      <c r="U8" s="663">
        <f t="shared" si="1"/>
        <v>0</v>
      </c>
      <c r="V8" s="662" t="s">
        <v>14</v>
      </c>
      <c r="W8" s="663">
        <f t="shared" si="2"/>
        <v>0</v>
      </c>
      <c r="X8" s="664"/>
      <c r="Y8" s="3412" t="s">
        <v>1683</v>
      </c>
      <c r="Z8" s="3413"/>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84" t="s">
        <v>1686</v>
      </c>
      <c r="Q9" s="528" t="str">
        <f t="shared" ref="Q9:Q15" si="6">B9</f>
        <v>用途</v>
      </c>
      <c r="R9" s="662" t="s">
        <v>14</v>
      </c>
      <c r="S9" s="663">
        <f t="shared" si="0"/>
        <v>100</v>
      </c>
      <c r="T9" s="662" t="s">
        <v>14</v>
      </c>
      <c r="U9" s="663">
        <f t="shared" si="1"/>
        <v>100</v>
      </c>
      <c r="V9" s="662" t="s">
        <v>14</v>
      </c>
      <c r="W9" s="663">
        <f t="shared" si="2"/>
        <v>100</v>
      </c>
      <c r="X9" s="664"/>
      <c r="Y9" s="328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6"/>
      <c r="M10" s="2487"/>
      <c r="N10" s="2487"/>
      <c r="O10" s="2538"/>
      <c r="P10" s="3384"/>
      <c r="Q10" s="528" t="str">
        <f t="shared" si="6"/>
        <v>土地使用年限（年）</v>
      </c>
      <c r="R10" s="662" t="s">
        <v>14</v>
      </c>
      <c r="S10" s="663">
        <f t="shared" si="0"/>
        <v>101</v>
      </c>
      <c r="T10" s="662" t="s">
        <v>14</v>
      </c>
      <c r="U10" s="663">
        <f t="shared" si="1"/>
        <v>101</v>
      </c>
      <c r="V10" s="662" t="s">
        <v>14</v>
      </c>
      <c r="W10" s="663">
        <f t="shared" si="2"/>
        <v>101</v>
      </c>
      <c r="X10" s="664"/>
      <c r="Y10" s="3281"/>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8"/>
      <c r="M11" s="2484"/>
      <c r="N11" s="2484"/>
      <c r="O11" s="2539"/>
      <c r="P11" s="3384"/>
      <c r="Q11" s="528" t="str">
        <f t="shared" si="6"/>
        <v>容积率</v>
      </c>
      <c r="R11" s="662" t="s">
        <v>14</v>
      </c>
      <c r="S11" s="663" t="e">
        <f t="shared" si="0"/>
        <v>#N/A</v>
      </c>
      <c r="T11" s="662" t="s">
        <v>14</v>
      </c>
      <c r="U11" s="663" t="e">
        <f t="shared" si="1"/>
        <v>#N/A</v>
      </c>
      <c r="V11" s="662" t="s">
        <v>14</v>
      </c>
      <c r="W11" s="663" t="e">
        <f t="shared" si="2"/>
        <v>#N/A</v>
      </c>
      <c r="X11" s="664"/>
      <c r="Y11" s="3281"/>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5"/>
      <c r="M12" s="2436"/>
      <c r="N12" s="2436"/>
      <c r="O12" s="2537"/>
      <c r="P12" s="3384"/>
      <c r="Q12" s="528">
        <f t="shared" si="6"/>
        <v>111</v>
      </c>
      <c r="R12" s="662" t="s">
        <v>14</v>
      </c>
      <c r="S12" s="663">
        <f t="shared" si="0"/>
        <v>100</v>
      </c>
      <c r="T12" s="662" t="s">
        <v>14</v>
      </c>
      <c r="U12" s="663">
        <f t="shared" si="1"/>
        <v>100</v>
      </c>
      <c r="V12" s="662" t="s">
        <v>14</v>
      </c>
      <c r="W12" s="663">
        <f t="shared" si="2"/>
        <v>100</v>
      </c>
      <c r="X12" s="664"/>
      <c r="Y12" s="3281"/>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9"/>
      <c r="M13" s="2484"/>
      <c r="N13" s="2484"/>
      <c r="O13" s="2539"/>
      <c r="P13" s="3384"/>
      <c r="Q13" s="528">
        <f t="shared" si="6"/>
        <v>111</v>
      </c>
      <c r="R13" s="662" t="s">
        <v>14</v>
      </c>
      <c r="S13" s="663">
        <f t="shared" si="0"/>
        <v>100</v>
      </c>
      <c r="T13" s="662" t="s">
        <v>14</v>
      </c>
      <c r="U13" s="663">
        <f t="shared" si="1"/>
        <v>100</v>
      </c>
      <c r="V13" s="662" t="s">
        <v>14</v>
      </c>
      <c r="W13" s="663">
        <f t="shared" si="2"/>
        <v>100</v>
      </c>
      <c r="X13" s="664"/>
      <c r="Y13" s="3281"/>
      <c r="Z13" s="50">
        <f t="shared" si="7"/>
        <v>111</v>
      </c>
      <c r="AA13" s="50">
        <f t="shared" si="3"/>
        <v>1</v>
      </c>
      <c r="AB13" s="50">
        <f t="shared" si="4"/>
        <v>1</v>
      </c>
      <c r="AC13" s="50">
        <f t="shared" si="5"/>
        <v>1</v>
      </c>
    </row>
    <row r="14" spans="1:29" ht="15.75" thickBot="1">
      <c r="A14" s="375"/>
      <c r="B14" s="1747">
        <v>111</v>
      </c>
      <c r="C14" s="376"/>
      <c r="D14" s="377">
        <v>100</v>
      </c>
      <c r="E14" s="478"/>
      <c r="F14" s="377">
        <f>SUMIF(81:81,E14,82:82)-SUMIF(81:81,C14,82:82)+100</f>
        <v>100</v>
      </c>
      <c r="G14" s="592"/>
      <c r="H14" s="377">
        <f>SUMIF(81:81,G14,82:82)-SUMIF(81:81,C14,82:82)+100</f>
        <v>100</v>
      </c>
      <c r="I14" s="478"/>
      <c r="J14" s="377">
        <f>SUMIF(81:81,I14,82:82)-SUMIF(81:81,C14,82:82)+100</f>
        <v>100</v>
      </c>
      <c r="K14" s="590"/>
      <c r="L14" s="2489"/>
      <c r="M14" s="2484"/>
      <c r="N14" s="2484"/>
      <c r="O14" s="2539"/>
      <c r="P14" s="3384"/>
      <c r="Q14" s="528">
        <f t="shared" si="6"/>
        <v>111</v>
      </c>
      <c r="R14" s="662" t="s">
        <v>14</v>
      </c>
      <c r="S14" s="663">
        <f t="shared" si="0"/>
        <v>100</v>
      </c>
      <c r="T14" s="662" t="s">
        <v>14</v>
      </c>
      <c r="U14" s="663">
        <f t="shared" si="1"/>
        <v>100</v>
      </c>
      <c r="V14" s="662" t="s">
        <v>14</v>
      </c>
      <c r="W14" s="663">
        <f t="shared" si="2"/>
        <v>100</v>
      </c>
      <c r="X14" s="664"/>
      <c r="Y14" s="3281"/>
      <c r="Z14" s="50">
        <f t="shared" si="7"/>
        <v>111</v>
      </c>
      <c r="AA14" s="50">
        <f t="shared" si="3"/>
        <v>1</v>
      </c>
      <c r="AB14" s="50">
        <f t="shared" si="4"/>
        <v>1</v>
      </c>
      <c r="AC14" s="50">
        <f t="shared" si="5"/>
        <v>1</v>
      </c>
    </row>
    <row r="15" spans="1:29" ht="15">
      <c r="A15" s="379" t="s">
        <v>1690</v>
      </c>
      <c r="B15" s="552" t="s">
        <v>1919</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9"/>
      <c r="M15" s="2484"/>
      <c r="N15" s="2484"/>
      <c r="O15" s="2539"/>
      <c r="P15" s="3385" t="s">
        <v>1691</v>
      </c>
      <c r="Q15" s="1261" t="str">
        <f t="shared" si="6"/>
        <v>产业集聚程度</v>
      </c>
      <c r="R15" s="665" t="s">
        <v>14</v>
      </c>
      <c r="S15" s="666">
        <f t="shared" si="0"/>
        <v>100</v>
      </c>
      <c r="T15" s="665" t="s">
        <v>14</v>
      </c>
      <c r="U15" s="666">
        <f t="shared" si="1"/>
        <v>100</v>
      </c>
      <c r="V15" s="665" t="s">
        <v>14</v>
      </c>
      <c r="W15" s="666">
        <f t="shared" si="2"/>
        <v>100</v>
      </c>
      <c r="X15" s="1263"/>
      <c r="Y15" s="3385" t="s">
        <v>1691</v>
      </c>
      <c r="Z15" s="1262" t="str">
        <f t="shared" si="7"/>
        <v>产业集聚程度</v>
      </c>
      <c r="AA15" s="1262">
        <f t="shared" si="3"/>
        <v>1</v>
      </c>
      <c r="AB15" s="1262">
        <f t="shared" si="4"/>
        <v>1</v>
      </c>
      <c r="AC15" s="1262">
        <f t="shared" si="5"/>
        <v>1</v>
      </c>
    </row>
    <row r="16" spans="1:29" ht="15">
      <c r="A16" s="367"/>
      <c r="B16" s="553"/>
      <c r="C16" s="386"/>
      <c r="D16" s="387"/>
      <c r="E16" s="1756"/>
      <c r="F16" s="387"/>
      <c r="G16" s="1756"/>
      <c r="H16" s="389"/>
      <c r="I16" s="1756"/>
      <c r="J16" s="387"/>
      <c r="K16" s="590"/>
      <c r="L16" s="2489"/>
      <c r="M16" s="2484"/>
      <c r="N16" s="2484"/>
      <c r="O16" s="2539"/>
      <c r="P16" s="3386"/>
      <c r="Q16" s="1261"/>
      <c r="R16" s="665"/>
      <c r="S16" s="666"/>
      <c r="T16" s="665"/>
      <c r="U16" s="666"/>
      <c r="V16" s="665"/>
      <c r="W16" s="666"/>
      <c r="X16" s="1263"/>
      <c r="Y16" s="3386"/>
      <c r="Z16" s="1262"/>
      <c r="AA16" s="1262">
        <v>1</v>
      </c>
      <c r="AB16" s="1262">
        <v>1</v>
      </c>
      <c r="AC16" s="1262">
        <v>1</v>
      </c>
    </row>
    <row r="17" spans="1:29" ht="15">
      <c r="A17" s="367"/>
      <c r="B17" s="554" t="s">
        <v>1833</v>
      </c>
      <c r="C17" s="1752">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9"/>
      <c r="M17" s="2484"/>
      <c r="N17" s="2484"/>
      <c r="O17" s="2539"/>
      <c r="P17" s="3386"/>
      <c r="Q17" s="1261" t="str">
        <f>B17</f>
        <v>交通便捷度</v>
      </c>
      <c r="R17" s="665" t="s">
        <v>14</v>
      </c>
      <c r="S17" s="666">
        <f>F17</f>
        <v>100</v>
      </c>
      <c r="T17" s="665" t="s">
        <v>14</v>
      </c>
      <c r="U17" s="666">
        <f>H17</f>
        <v>100</v>
      </c>
      <c r="V17" s="665" t="s">
        <v>14</v>
      </c>
      <c r="W17" s="666">
        <f>J17</f>
        <v>100</v>
      </c>
      <c r="X17" s="1263"/>
      <c r="Y17" s="3386"/>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0"/>
      <c r="L18" s="2489"/>
      <c r="M18" s="2484"/>
      <c r="N18" s="2484"/>
      <c r="O18" s="2539"/>
      <c r="P18" s="3386"/>
      <c r="Q18" s="1261"/>
      <c r="R18" s="665"/>
      <c r="S18" s="666"/>
      <c r="T18" s="665"/>
      <c r="U18" s="666"/>
      <c r="V18" s="665"/>
      <c r="W18" s="666"/>
      <c r="X18" s="1263"/>
      <c r="Y18" s="3386"/>
      <c r="Z18" s="1262"/>
      <c r="AA18" s="1262">
        <v>1</v>
      </c>
      <c r="AB18" s="1262">
        <v>1</v>
      </c>
      <c r="AC18" s="1262">
        <v>1</v>
      </c>
    </row>
    <row r="19" spans="1:29" ht="15">
      <c r="A19" s="367"/>
      <c r="B19" s="554" t="s">
        <v>1870</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9"/>
      <c r="M19" s="2484"/>
      <c r="N19" s="2484"/>
      <c r="O19" s="2539"/>
      <c r="P19" s="3386"/>
      <c r="Q19" s="1261" t="str">
        <f t="shared" ref="Q19:Q33" si="8">B19</f>
        <v>区域土地利用方向</v>
      </c>
      <c r="R19" s="665" t="s">
        <v>14</v>
      </c>
      <c r="S19" s="666">
        <f>F19</f>
        <v>100</v>
      </c>
      <c r="T19" s="665" t="s">
        <v>14</v>
      </c>
      <c r="U19" s="666">
        <f>H19</f>
        <v>100</v>
      </c>
      <c r="V19" s="665" t="s">
        <v>14</v>
      </c>
      <c r="W19" s="666">
        <f>J19</f>
        <v>100</v>
      </c>
      <c r="X19" s="1263"/>
      <c r="Y19" s="3386"/>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89"/>
      <c r="M20" s="2484"/>
      <c r="N20" s="2484"/>
      <c r="O20" s="2539"/>
      <c r="P20" s="3386"/>
      <c r="Q20" s="1261"/>
      <c r="R20" s="665"/>
      <c r="S20" s="666"/>
      <c r="T20" s="665"/>
      <c r="U20" s="666"/>
      <c r="V20" s="665"/>
      <c r="W20" s="666"/>
      <c r="X20" s="1263"/>
      <c r="Y20" s="3386"/>
      <c r="Z20" s="1262"/>
      <c r="AA20" s="1262"/>
      <c r="AB20" s="1262"/>
      <c r="AC20" s="1262"/>
    </row>
    <row r="21" spans="1:29" ht="15">
      <c r="A21" s="348"/>
      <c r="B21" s="554" t="s">
        <v>1920</v>
      </c>
      <c r="C21" s="1752">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9"/>
      <c r="M21" s="2484"/>
      <c r="N21" s="2484"/>
      <c r="O21" s="2539"/>
      <c r="P21" s="3386"/>
      <c r="Q21" s="1261" t="str">
        <f t="shared" si="8"/>
        <v>环境状况</v>
      </c>
      <c r="R21" s="665" t="s">
        <v>14</v>
      </c>
      <c r="S21" s="666">
        <f>F21</f>
        <v>100</v>
      </c>
      <c r="T21" s="665" t="s">
        <v>14</v>
      </c>
      <c r="U21" s="666">
        <f>H21</f>
        <v>100</v>
      </c>
      <c r="V21" s="665" t="s">
        <v>14</v>
      </c>
      <c r="W21" s="666">
        <f>J21</f>
        <v>100</v>
      </c>
      <c r="X21" s="1263"/>
      <c r="Y21" s="3386"/>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0"/>
      <c r="L22" s="2489"/>
      <c r="M22" s="2484"/>
      <c r="N22" s="2484"/>
      <c r="O22" s="2539"/>
      <c r="P22" s="3386"/>
      <c r="Q22" s="1261"/>
      <c r="R22" s="665"/>
      <c r="S22" s="666"/>
      <c r="T22" s="665"/>
      <c r="U22" s="666"/>
      <c r="V22" s="665"/>
      <c r="W22" s="666"/>
      <c r="X22" s="1263"/>
      <c r="Y22" s="3386"/>
      <c r="Z22" s="1262"/>
      <c r="AA22" s="1262">
        <v>1</v>
      </c>
      <c r="AB22" s="1262">
        <v>1</v>
      </c>
      <c r="AC22" s="1262">
        <v>1</v>
      </c>
    </row>
    <row r="23" spans="1:29" s="102" customFormat="1" ht="15">
      <c r="A23" s="441"/>
      <c r="B23" s="555" t="s">
        <v>1778</v>
      </c>
      <c r="C23" s="1752">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5"/>
      <c r="M23" s="2436"/>
      <c r="N23" s="2436"/>
      <c r="O23" s="2537"/>
      <c r="P23" s="3386"/>
      <c r="Q23" s="528" t="str">
        <f t="shared" si="8"/>
        <v>公共配套设施</v>
      </c>
      <c r="R23" s="662" t="s">
        <v>14</v>
      </c>
      <c r="S23" s="663">
        <f>F23</f>
        <v>100</v>
      </c>
      <c r="T23" s="662" t="s">
        <v>14</v>
      </c>
      <c r="U23" s="663">
        <f>H23</f>
        <v>100</v>
      </c>
      <c r="V23" s="662" t="s">
        <v>14</v>
      </c>
      <c r="W23" s="663">
        <f>J23</f>
        <v>100</v>
      </c>
      <c r="X23" s="664"/>
      <c r="Y23" s="3386"/>
      <c r="Z23" s="50" t="str">
        <f>Q23</f>
        <v>公共配套设施</v>
      </c>
      <c r="AA23" s="1262">
        <f>D23/F23</f>
        <v>1</v>
      </c>
      <c r="AB23" s="1262">
        <f>D23/H23</f>
        <v>1</v>
      </c>
      <c r="AC23" s="1262">
        <f>D23/J23</f>
        <v>1</v>
      </c>
    </row>
    <row r="24" spans="1:29" s="102" customFormat="1" ht="15">
      <c r="A24" s="441"/>
      <c r="B24" s="401"/>
      <c r="C24" s="1822"/>
      <c r="D24" s="387"/>
      <c r="E24" s="1756"/>
      <c r="F24" s="387"/>
      <c r="G24" s="1756"/>
      <c r="H24" s="387"/>
      <c r="I24" s="386"/>
      <c r="J24" s="387"/>
      <c r="K24" s="590"/>
      <c r="L24" s="2485"/>
      <c r="M24" s="2436"/>
      <c r="N24" s="2436"/>
      <c r="O24" s="2537"/>
      <c r="P24" s="3386"/>
      <c r="Q24" s="528"/>
      <c r="R24" s="662"/>
      <c r="S24" s="663"/>
      <c r="T24" s="662"/>
      <c r="U24" s="663"/>
      <c r="V24" s="662"/>
      <c r="W24" s="663"/>
      <c r="X24" s="664"/>
      <c r="Y24" s="3386"/>
      <c r="Z24" s="50"/>
      <c r="AA24" s="50">
        <v>1</v>
      </c>
      <c r="AB24" s="50">
        <v>1</v>
      </c>
      <c r="AC24" s="50">
        <v>1</v>
      </c>
    </row>
    <row r="25" spans="1:29" s="102" customFormat="1" ht="15">
      <c r="A25" s="441"/>
      <c r="B25" s="555" t="s">
        <v>1779</v>
      </c>
      <c r="C25" s="1752">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5"/>
      <c r="M25" s="2436"/>
      <c r="N25" s="2436"/>
      <c r="O25" s="2537"/>
      <c r="P25" s="3386"/>
      <c r="Q25" s="528" t="str">
        <f t="shared" ref="Q25" si="9">B25</f>
        <v>基础设施水平</v>
      </c>
      <c r="R25" s="662" t="s">
        <v>14</v>
      </c>
      <c r="S25" s="663">
        <f>F25</f>
        <v>100</v>
      </c>
      <c r="T25" s="662" t="s">
        <v>14</v>
      </c>
      <c r="U25" s="663">
        <f>H25</f>
        <v>100</v>
      </c>
      <c r="V25" s="662" t="s">
        <v>14</v>
      </c>
      <c r="W25" s="663">
        <f>J25</f>
        <v>100</v>
      </c>
      <c r="X25" s="664"/>
      <c r="Y25" s="3386"/>
      <c r="Z25" s="50" t="str">
        <f>Q25</f>
        <v>基础设施水平</v>
      </c>
      <c r="AA25" s="1262">
        <f>D25/F25</f>
        <v>1</v>
      </c>
      <c r="AB25" s="1262">
        <f>D25/H25</f>
        <v>1</v>
      </c>
      <c r="AC25" s="1262">
        <f>D25/J25</f>
        <v>1</v>
      </c>
    </row>
    <row r="26" spans="1:29" s="102" customFormat="1" ht="15">
      <c r="A26" s="441"/>
      <c r="B26" s="401"/>
      <c r="C26" s="1822"/>
      <c r="D26" s="387"/>
      <c r="E26" s="1823"/>
      <c r="F26" s="387"/>
      <c r="G26" s="1823"/>
      <c r="H26" s="387"/>
      <c r="I26" s="1823"/>
      <c r="J26" s="387"/>
      <c r="K26" s="590"/>
      <c r="L26" s="2485"/>
      <c r="M26" s="2436"/>
      <c r="N26" s="2436"/>
      <c r="O26" s="2537"/>
      <c r="P26" s="3386"/>
      <c r="Q26" s="528"/>
      <c r="R26" s="662"/>
      <c r="S26" s="663"/>
      <c r="T26" s="662"/>
      <c r="U26" s="663"/>
      <c r="V26" s="662"/>
      <c r="W26" s="663"/>
      <c r="X26" s="664"/>
      <c r="Y26" s="3386"/>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9"/>
      <c r="M27" s="2484"/>
      <c r="N27" s="2484"/>
      <c r="O27" s="2539"/>
      <c r="P27" s="3386"/>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86"/>
      <c r="Z27" s="1262" t="str">
        <f t="shared" ref="Z27:Z40" si="13">Q27</f>
        <v>临街状况</v>
      </c>
      <c r="AA27" s="1262">
        <f t="shared" si="3"/>
        <v>1</v>
      </c>
      <c r="AB27" s="1262">
        <f t="shared" si="4"/>
        <v>1</v>
      </c>
      <c r="AC27" s="1262">
        <f t="shared" si="5"/>
        <v>1</v>
      </c>
    </row>
    <row r="28" spans="1:29" ht="27">
      <c r="A28" s="367"/>
      <c r="B28" s="555"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9"/>
      <c r="M28" s="2484"/>
      <c r="N28" s="2484"/>
      <c r="O28" s="2539"/>
      <c r="P28" s="3386"/>
      <c r="Q28" s="1261" t="str">
        <f t="shared" si="8"/>
        <v>毗邻道路的类型与等级</v>
      </c>
      <c r="R28" s="665" t="s">
        <v>14</v>
      </c>
      <c r="S28" s="666">
        <f t="shared" si="10"/>
        <v>100</v>
      </c>
      <c r="T28" s="665" t="s">
        <v>14</v>
      </c>
      <c r="U28" s="666">
        <f t="shared" si="11"/>
        <v>100</v>
      </c>
      <c r="V28" s="665" t="s">
        <v>14</v>
      </c>
      <c r="W28" s="666">
        <f t="shared" si="12"/>
        <v>100</v>
      </c>
      <c r="X28" s="1263"/>
      <c r="Y28" s="3386"/>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7"/>
      <c r="L29" s="2489"/>
      <c r="M29" s="2484"/>
      <c r="N29" s="2484"/>
      <c r="O29" s="2539"/>
      <c r="P29" s="3386"/>
      <c r="Q29" s="1261"/>
      <c r="R29" s="665"/>
      <c r="S29" s="666"/>
      <c r="T29" s="665"/>
      <c r="U29" s="666"/>
      <c r="V29" s="665"/>
      <c r="W29" s="666"/>
      <c r="X29" s="1263"/>
      <c r="Y29" s="3386"/>
      <c r="Z29" s="1262"/>
      <c r="AA29" s="1262">
        <v>1</v>
      </c>
      <c r="AB29" s="1262">
        <v>1</v>
      </c>
      <c r="AC29" s="1262">
        <v>1</v>
      </c>
    </row>
    <row r="30" spans="1:29" ht="15">
      <c r="A30" s="367"/>
      <c r="B30" s="119" t="s">
        <v>1872</v>
      </c>
      <c r="C30" s="1067">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9"/>
      <c r="M30" s="2484"/>
      <c r="N30" s="2484"/>
      <c r="O30" s="2539"/>
      <c r="P30" s="3386"/>
      <c r="Q30" s="1261" t="str">
        <f t="shared" si="8"/>
        <v>土地级别</v>
      </c>
      <c r="R30" s="665" t="s">
        <v>14</v>
      </c>
      <c r="S30" s="666">
        <f t="shared" si="10"/>
        <v>100</v>
      </c>
      <c r="T30" s="665" t="s">
        <v>14</v>
      </c>
      <c r="U30" s="666">
        <f t="shared" si="11"/>
        <v>100</v>
      </c>
      <c r="V30" s="665" t="s">
        <v>14</v>
      </c>
      <c r="W30" s="666">
        <f t="shared" si="12"/>
        <v>100</v>
      </c>
      <c r="X30" s="1263"/>
      <c r="Y30" s="3386"/>
      <c r="Z30" s="1262" t="str">
        <f t="shared" si="13"/>
        <v>土地级别</v>
      </c>
      <c r="AA30" s="1262">
        <f t="shared" si="3"/>
        <v>1</v>
      </c>
      <c r="AB30" s="1262">
        <f t="shared" si="4"/>
        <v>1</v>
      </c>
      <c r="AC30" s="1262">
        <f t="shared" si="5"/>
        <v>1</v>
      </c>
    </row>
    <row r="31" spans="1:29" ht="15">
      <c r="A31" s="348"/>
      <c r="B31" s="1097">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9"/>
      <c r="M31" s="2484"/>
      <c r="N31" s="2484"/>
      <c r="O31" s="2539"/>
      <c r="P31" s="3386"/>
      <c r="Q31" s="1261">
        <f t="shared" si="8"/>
        <v>111</v>
      </c>
      <c r="R31" s="665" t="s">
        <v>14</v>
      </c>
      <c r="S31" s="666">
        <f t="shared" si="10"/>
        <v>100</v>
      </c>
      <c r="T31" s="665" t="s">
        <v>14</v>
      </c>
      <c r="U31" s="666">
        <f t="shared" si="11"/>
        <v>100</v>
      </c>
      <c r="V31" s="665" t="s">
        <v>14</v>
      </c>
      <c r="W31" s="666">
        <f t="shared" si="12"/>
        <v>100</v>
      </c>
      <c r="X31" s="1263"/>
      <c r="Y31" s="3386"/>
      <c r="Z31" s="1262">
        <f t="shared" si="13"/>
        <v>111</v>
      </c>
      <c r="AA31" s="1262">
        <f t="shared" si="3"/>
        <v>1</v>
      </c>
      <c r="AB31" s="1262">
        <f t="shared" si="4"/>
        <v>1</v>
      </c>
      <c r="AC31" s="1262">
        <f t="shared" si="5"/>
        <v>1</v>
      </c>
    </row>
    <row r="32" spans="1:29" ht="15">
      <c r="A32" s="593"/>
      <c r="B32" s="1835">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9"/>
      <c r="M32" s="2484"/>
      <c r="N32" s="2484"/>
      <c r="O32" s="2539"/>
      <c r="P32" s="3387" t="s">
        <v>1696</v>
      </c>
      <c r="Q32" s="1261">
        <f t="shared" si="8"/>
        <v>111</v>
      </c>
      <c r="R32" s="665" t="s">
        <v>14</v>
      </c>
      <c r="S32" s="666">
        <f t="shared" si="10"/>
        <v>100</v>
      </c>
      <c r="T32" s="665" t="s">
        <v>14</v>
      </c>
      <c r="U32" s="666">
        <f t="shared" si="11"/>
        <v>100</v>
      </c>
      <c r="V32" s="665" t="s">
        <v>14</v>
      </c>
      <c r="W32" s="666">
        <f t="shared" si="12"/>
        <v>100</v>
      </c>
      <c r="X32" s="1263"/>
      <c r="Y32" s="3388" t="s">
        <v>1696</v>
      </c>
      <c r="Z32" s="1262">
        <f t="shared" si="13"/>
        <v>111</v>
      </c>
      <c r="AA32" s="1262">
        <f t="shared" si="3"/>
        <v>1</v>
      </c>
      <c r="AB32" s="1262">
        <f t="shared" si="4"/>
        <v>1</v>
      </c>
      <c r="AC32" s="1262">
        <f t="shared" si="5"/>
        <v>1</v>
      </c>
    </row>
    <row r="33" spans="1:31" s="408" customFormat="1" ht="15.75" thickBot="1">
      <c r="A33" s="594"/>
      <c r="B33" s="1836">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8"/>
      <c r="M33" s="2490"/>
      <c r="N33" s="2490"/>
      <c r="O33" s="2540"/>
      <c r="P33" s="3388"/>
      <c r="Q33" s="1261">
        <f t="shared" si="8"/>
        <v>111</v>
      </c>
      <c r="R33" s="667" t="s">
        <v>14</v>
      </c>
      <c r="S33" s="668">
        <f t="shared" si="10"/>
        <v>100</v>
      </c>
      <c r="T33" s="667" t="s">
        <v>14</v>
      </c>
      <c r="U33" s="668">
        <f t="shared" si="11"/>
        <v>100</v>
      </c>
      <c r="V33" s="667" t="s">
        <v>14</v>
      </c>
      <c r="W33" s="668">
        <f t="shared" si="12"/>
        <v>100</v>
      </c>
      <c r="X33" s="669"/>
      <c r="Y33" s="3388"/>
      <c r="Z33" s="670">
        <f t="shared" si="13"/>
        <v>111</v>
      </c>
      <c r="AA33" s="1262">
        <f t="shared" si="3"/>
        <v>1</v>
      </c>
      <c r="AB33" s="1262">
        <f t="shared" si="4"/>
        <v>1</v>
      </c>
      <c r="AC33" s="1262">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9"/>
      <c r="M34" s="2484"/>
      <c r="N34" s="2484"/>
      <c r="O34" s="2539"/>
      <c r="P34" s="3388"/>
      <c r="Q34" s="1261" t="str">
        <f>B34</f>
        <v>宗地面积</v>
      </c>
      <c r="R34" s="665" t="s">
        <v>14</v>
      </c>
      <c r="S34" s="666" t="e">
        <f t="shared" si="10"/>
        <v>#N/A</v>
      </c>
      <c r="T34" s="665" t="s">
        <v>14</v>
      </c>
      <c r="U34" s="666" t="e">
        <f t="shared" si="11"/>
        <v>#N/A</v>
      </c>
      <c r="V34" s="665" t="s">
        <v>14</v>
      </c>
      <c r="W34" s="666" t="e">
        <f t="shared" si="12"/>
        <v>#N/A</v>
      </c>
      <c r="X34" s="1263"/>
      <c r="Y34" s="3388"/>
      <c r="Z34" s="1262" t="str">
        <f t="shared" si="13"/>
        <v>宗地面积</v>
      </c>
      <c r="AA34" s="1262" t="e">
        <f t="shared" si="3"/>
        <v>#N/A</v>
      </c>
      <c r="AB34" s="1262" t="e">
        <f t="shared" si="4"/>
        <v>#N/A</v>
      </c>
      <c r="AC34" s="1262" t="e">
        <f t="shared" si="5"/>
        <v>#N/A</v>
      </c>
    </row>
    <row r="35" spans="1:31" ht="15">
      <c r="A35" s="409"/>
      <c r="B35" s="364" t="s">
        <v>1874</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6"/>
      <c r="L35" s="2489"/>
      <c r="M35" s="2484"/>
      <c r="N35" s="2484"/>
      <c r="O35" s="2539"/>
      <c r="P35" s="3388"/>
      <c r="Q35" s="1261" t="str">
        <f t="shared" ref="Q35:Q40" si="14">B35</f>
        <v>宗地形状</v>
      </c>
      <c r="R35" s="665" t="s">
        <v>14</v>
      </c>
      <c r="S35" s="666">
        <f t="shared" si="10"/>
        <v>100</v>
      </c>
      <c r="T35" s="665" t="s">
        <v>14</v>
      </c>
      <c r="U35" s="666">
        <f t="shared" si="11"/>
        <v>100</v>
      </c>
      <c r="V35" s="665" t="s">
        <v>14</v>
      </c>
      <c r="W35" s="666">
        <f t="shared" si="12"/>
        <v>100</v>
      </c>
      <c r="X35" s="1263"/>
      <c r="Y35" s="3388"/>
      <c r="Z35" s="1262" t="str">
        <f t="shared" si="13"/>
        <v>宗地形状</v>
      </c>
      <c r="AA35" s="1262">
        <f t="shared" si="3"/>
        <v>1</v>
      </c>
      <c r="AB35" s="1262">
        <f t="shared" si="4"/>
        <v>1</v>
      </c>
      <c r="AC35" s="1262">
        <f t="shared" si="5"/>
        <v>1</v>
      </c>
    </row>
    <row r="36" spans="1:31" s="102" customFormat="1" ht="15">
      <c r="A36" s="410"/>
      <c r="B36" s="364" t="s">
        <v>1876</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6"/>
      <c r="L36" s="2485"/>
      <c r="M36" s="2436"/>
      <c r="N36" s="2436"/>
      <c r="O36" s="2537"/>
      <c r="P36" s="3388"/>
      <c r="Q36" s="1261" t="str">
        <f t="shared" si="14"/>
        <v>宗地开发程度</v>
      </c>
      <c r="R36" s="662" t="s">
        <v>14</v>
      </c>
      <c r="S36" s="663">
        <f t="shared" si="10"/>
        <v>100</v>
      </c>
      <c r="T36" s="662" t="s">
        <v>14</v>
      </c>
      <c r="U36" s="663">
        <f t="shared" si="11"/>
        <v>100</v>
      </c>
      <c r="V36" s="662" t="s">
        <v>14</v>
      </c>
      <c r="W36" s="663">
        <f t="shared" si="12"/>
        <v>100</v>
      </c>
      <c r="X36" s="664"/>
      <c r="Y36" s="3388"/>
      <c r="Z36" s="50" t="str">
        <f t="shared" si="13"/>
        <v>宗地开发程度</v>
      </c>
      <c r="AA36" s="50">
        <f t="shared" si="3"/>
        <v>1</v>
      </c>
      <c r="AB36" s="50">
        <f t="shared" si="4"/>
        <v>1</v>
      </c>
      <c r="AC36" s="50">
        <f t="shared" si="5"/>
        <v>1</v>
      </c>
    </row>
    <row r="37" spans="1:31" ht="15">
      <c r="A37" s="409"/>
      <c r="B37" s="364" t="s">
        <v>1877</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6"/>
      <c r="L37" s="2489"/>
      <c r="M37" s="2484"/>
      <c r="N37" s="2484"/>
      <c r="O37" s="2539"/>
      <c r="P37" s="3388" t="s">
        <v>1696</v>
      </c>
      <c r="Q37" s="1261" t="str">
        <f t="shared" si="14"/>
        <v>工程地质条件</v>
      </c>
      <c r="R37" s="665" t="s">
        <v>14</v>
      </c>
      <c r="S37" s="666">
        <f t="shared" si="10"/>
        <v>100</v>
      </c>
      <c r="T37" s="665" t="s">
        <v>14</v>
      </c>
      <c r="U37" s="666">
        <f t="shared" si="11"/>
        <v>100</v>
      </c>
      <c r="V37" s="665" t="s">
        <v>14</v>
      </c>
      <c r="W37" s="666">
        <f t="shared" si="12"/>
        <v>100</v>
      </c>
      <c r="X37" s="1263"/>
      <c r="Y37" s="3388" t="s">
        <v>1696</v>
      </c>
      <c r="Z37" s="1262" t="str">
        <f t="shared" si="13"/>
        <v>工程地质条件</v>
      </c>
      <c r="AA37" s="1262">
        <f t="shared" si="3"/>
        <v>1</v>
      </c>
      <c r="AB37" s="1262">
        <f t="shared" si="4"/>
        <v>1</v>
      </c>
      <c r="AC37" s="1262">
        <f t="shared" si="5"/>
        <v>1</v>
      </c>
    </row>
    <row r="38" spans="1:31" ht="15">
      <c r="A38" s="409"/>
      <c r="B38" s="1065">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9"/>
      <c r="M38" s="2484"/>
      <c r="N38" s="2484"/>
      <c r="O38" s="2539"/>
      <c r="P38" s="3388"/>
      <c r="Q38" s="1261">
        <f t="shared" si="14"/>
        <v>111</v>
      </c>
      <c r="R38" s="665" t="s">
        <v>14</v>
      </c>
      <c r="S38" s="666">
        <f t="shared" si="10"/>
        <v>100</v>
      </c>
      <c r="T38" s="665" t="s">
        <v>14</v>
      </c>
      <c r="U38" s="666">
        <f t="shared" si="11"/>
        <v>100</v>
      </c>
      <c r="V38" s="665" t="s">
        <v>14</v>
      </c>
      <c r="W38" s="666">
        <f t="shared" si="12"/>
        <v>100</v>
      </c>
      <c r="X38" s="1263"/>
      <c r="Y38" s="3388"/>
      <c r="Z38" s="1262">
        <f t="shared" si="13"/>
        <v>111</v>
      </c>
      <c r="AA38" s="1262">
        <f t="shared" si="3"/>
        <v>1</v>
      </c>
      <c r="AB38" s="1262">
        <f t="shared" si="4"/>
        <v>1</v>
      </c>
      <c r="AC38" s="1262">
        <f t="shared" si="5"/>
        <v>1</v>
      </c>
    </row>
    <row r="39" spans="1:31" ht="15">
      <c r="A39" s="409"/>
      <c r="B39" s="1065">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9"/>
      <c r="M39" s="2484"/>
      <c r="N39" s="2484"/>
      <c r="O39" s="2539"/>
      <c r="P39" s="3388"/>
      <c r="Q39" s="1261">
        <f t="shared" si="14"/>
        <v>111</v>
      </c>
      <c r="R39" s="665" t="s">
        <v>14</v>
      </c>
      <c r="S39" s="666">
        <f t="shared" si="10"/>
        <v>100</v>
      </c>
      <c r="T39" s="665" t="s">
        <v>14</v>
      </c>
      <c r="U39" s="666">
        <f t="shared" si="11"/>
        <v>100</v>
      </c>
      <c r="V39" s="665" t="s">
        <v>14</v>
      </c>
      <c r="W39" s="666">
        <f t="shared" si="12"/>
        <v>100</v>
      </c>
      <c r="X39" s="1263"/>
      <c r="Y39" s="3388"/>
      <c r="Z39" s="1262">
        <f t="shared" si="13"/>
        <v>111</v>
      </c>
      <c r="AA39" s="1262">
        <f t="shared" si="3"/>
        <v>1</v>
      </c>
      <c r="AB39" s="1262">
        <f t="shared" si="4"/>
        <v>1</v>
      </c>
      <c r="AC39" s="1262">
        <f t="shared" si="5"/>
        <v>1</v>
      </c>
    </row>
    <row r="40" spans="1:31" s="408" customFormat="1" ht="15.75" thickBot="1">
      <c r="A40" s="406"/>
      <c r="B40" s="1065">
        <v>111</v>
      </c>
      <c r="C40" s="1825"/>
      <c r="D40" s="120">
        <v>100</v>
      </c>
      <c r="E40" s="592"/>
      <c r="F40" s="377">
        <f>SUMIF(120:120,E40,121:121)-SUMIF(120:120,C40,121:121)+100</f>
        <v>100</v>
      </c>
      <c r="G40" s="592"/>
      <c r="H40" s="377">
        <f>SUMIF(120:120,G40,121:121)-SUMIF(120:120,C40,121:121)+100</f>
        <v>100</v>
      </c>
      <c r="I40" s="478"/>
      <c r="J40" s="377">
        <f>SUMIF(120:120,I40,121:121)-SUMIF(120:120,C40,121:121)+100</f>
        <v>100</v>
      </c>
      <c r="K40" s="599"/>
      <c r="L40" s="2488"/>
      <c r="M40" s="2490"/>
      <c r="N40" s="2490"/>
      <c r="O40" s="2540"/>
      <c r="P40" s="3388"/>
      <c r="Q40" s="1261">
        <f t="shared" si="14"/>
        <v>111</v>
      </c>
      <c r="R40" s="667" t="s">
        <v>14</v>
      </c>
      <c r="S40" s="668">
        <f t="shared" si="10"/>
        <v>100</v>
      </c>
      <c r="T40" s="667" t="s">
        <v>14</v>
      </c>
      <c r="U40" s="668">
        <f t="shared" si="11"/>
        <v>100</v>
      </c>
      <c r="V40" s="667" t="s">
        <v>14</v>
      </c>
      <c r="W40" s="668">
        <f t="shared" si="12"/>
        <v>100</v>
      </c>
      <c r="X40" s="669"/>
      <c r="Y40" s="3388"/>
      <c r="Z40" s="670">
        <f t="shared" si="13"/>
        <v>111</v>
      </c>
      <c r="AA40" s="1262">
        <f t="shared" si="3"/>
        <v>1</v>
      </c>
      <c r="AB40" s="1262">
        <f t="shared" si="4"/>
        <v>1</v>
      </c>
      <c r="AC40" s="1262">
        <f t="shared" si="5"/>
        <v>1</v>
      </c>
    </row>
    <row r="41" spans="1:31" ht="15">
      <c r="A41" s="414" t="s">
        <v>1844</v>
      </c>
      <c r="B41" s="1826" t="s">
        <v>1921</v>
      </c>
      <c r="C41" s="600" t="s">
        <v>0</v>
      </c>
      <c r="D41" s="416"/>
      <c r="E41" s="417"/>
      <c r="F41" s="418"/>
      <c r="G41" s="419"/>
      <c r="H41" s="420"/>
      <c r="I41" s="417"/>
      <c r="J41" s="420"/>
      <c r="K41" s="672"/>
      <c r="L41" s="2491"/>
      <c r="M41" s="2484"/>
      <c r="N41" s="2484"/>
      <c r="O41" s="2484"/>
      <c r="P41" s="3384" t="str">
        <f>A41</f>
        <v>成交单价</v>
      </c>
      <c r="Q41" s="3384"/>
      <c r="R41" s="3389">
        <f>E41</f>
        <v>0</v>
      </c>
      <c r="S41" s="3389"/>
      <c r="T41" s="3389">
        <f>G41</f>
        <v>0</v>
      </c>
      <c r="U41" s="3389"/>
      <c r="V41" s="3389">
        <f>I41</f>
        <v>0</v>
      </c>
      <c r="W41" s="3389"/>
      <c r="X41" s="385"/>
      <c r="Y41" s="671"/>
      <c r="Z41" s="385"/>
      <c r="AA41" s="385"/>
      <c r="AB41" s="385"/>
      <c r="AC41" s="385"/>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91"/>
      <c r="M42" s="2484"/>
      <c r="N42" s="2484"/>
      <c r="O42" s="2484"/>
      <c r="P42" s="3384" t="str">
        <f>A42</f>
        <v>比较价值（元/平方米）</v>
      </c>
      <c r="Q42" s="3384"/>
      <c r="R42" s="3377" t="e">
        <f>ROUND(PRODUCT(R41,AA7:AA40),0)</f>
        <v>#DIV/0!</v>
      </c>
      <c r="S42" s="3377"/>
      <c r="T42" s="3377" t="e">
        <f>ROUND(PRODUCT(T41,AB7:AB40),0)</f>
        <v>#DIV/0!</v>
      </c>
      <c r="U42" s="3377"/>
      <c r="V42" s="3377" t="e">
        <f>ROUND(PRODUCT(V41,AC7:AC40),0)</f>
        <v>#DIV/0!</v>
      </c>
      <c r="W42" s="3377"/>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1"/>
      <c r="M43" s="2484"/>
      <c r="N43" s="2484"/>
      <c r="O43" s="2484"/>
      <c r="P43" s="3378" t="str">
        <f>A43</f>
        <v>估价对象XX用房的比较价值（楼面单价，元/平方米）</v>
      </c>
      <c r="Q43" s="3379"/>
      <c r="R43" s="3380" t="e">
        <f>ROUND(IF(D42="简单平均",AVERAGE(R42:W42),R42*F42+T42*H42+V42*J42),0)</f>
        <v>#DIV/0!</v>
      </c>
      <c r="S43" s="3380"/>
      <c r="T43" s="3380"/>
      <c r="U43" s="3380"/>
      <c r="V43" s="3380"/>
      <c r="W43" s="3380"/>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5" customFormat="1" ht="13.5" customHeight="1">
      <c r="A48" s="2494"/>
      <c r="B48" s="2494"/>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5"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2" t="s">
        <v>1880</v>
      </c>
      <c r="B50" s="603" t="s">
        <v>1881</v>
      </c>
      <c r="C50" s="1827" t="s">
        <v>1882</v>
      </c>
      <c r="D50" s="1828" t="s">
        <v>1883</v>
      </c>
      <c r="E50" s="604" t="s">
        <v>1884</v>
      </c>
      <c r="F50" s="605" t="s">
        <v>1885</v>
      </c>
      <c r="G50" s="3381" t="s">
        <v>1886</v>
      </c>
      <c r="H50" s="3382"/>
      <c r="I50" s="1262" t="s">
        <v>1922</v>
      </c>
      <c r="J50" s="1262">
        <f>项目基本情况!F35</f>
        <v>0</v>
      </c>
      <c r="K50" s="1830" t="s">
        <v>1888</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0" customFormat="1">
      <c r="A51" s="606" t="s">
        <v>1889</v>
      </c>
      <c r="B51" s="607" t="e">
        <f>C43</f>
        <v>#DIV/0!</v>
      </c>
      <c r="C51" s="608">
        <v>1</v>
      </c>
      <c r="D51" s="888">
        <v>1</v>
      </c>
      <c r="E51" s="608">
        <f>'数据-汇总表'!E8+'数据-汇总表'!E9</f>
        <v>40881.349999999984</v>
      </c>
      <c r="F51" s="609" t="e">
        <f t="shared" ref="F51:F60" si="15">ROUND(B51*E51/10000,0)</f>
        <v>#DIV/0!</v>
      </c>
      <c r="G51" s="3383"/>
      <c r="H51" s="3384"/>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0" customFormat="1">
      <c r="A52" s="611" t="s">
        <v>1890</v>
      </c>
      <c r="B52" s="210" t="e">
        <f>ROUND($C$43*C52*D52,0)</f>
        <v>#DIV/0!</v>
      </c>
      <c r="C52" s="163">
        <f t="shared" ref="C52:C60" si="16">IF($C$50="北京市系数",I52,J52)</f>
        <v>0.6</v>
      </c>
      <c r="D52" s="889">
        <v>0.25</v>
      </c>
      <c r="E52" s="612"/>
      <c r="F52" s="609" t="e">
        <f t="shared" si="15"/>
        <v>#DIV/0!</v>
      </c>
      <c r="G52" s="2747" t="s">
        <v>1891</v>
      </c>
      <c r="H52" s="832" t="str">
        <f>项目基本情况!B37</f>
        <v>六级</v>
      </c>
      <c r="I52" s="725">
        <f>SUMIF(修正!A57:A68,H52,修正!B57:B68)</f>
        <v>0.6</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0" customFormat="1">
      <c r="A53" s="611" t="s">
        <v>1892</v>
      </c>
      <c r="B53" s="210" t="e">
        <f t="shared" ref="B53:B60" si="17">ROUND($C$43*C53*D53,0)</f>
        <v>#DIV/0!</v>
      </c>
      <c r="C53" s="163">
        <f t="shared" si="16"/>
        <v>0.3</v>
      </c>
      <c r="D53" s="889">
        <v>0.25</v>
      </c>
      <c r="E53" s="612"/>
      <c r="F53" s="609" t="e">
        <f t="shared" si="15"/>
        <v>#DIV/0!</v>
      </c>
      <c r="G53" s="2748"/>
      <c r="H53" s="832" t="str">
        <f>项目基本情况!B37</f>
        <v>六级</v>
      </c>
      <c r="I53" s="725">
        <f>SUMIF(修正!A57:A68,H53,修正!C57:C68)</f>
        <v>0.3</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0" customFormat="1">
      <c r="A54" s="611" t="s">
        <v>1893</v>
      </c>
      <c r="B54" s="210" t="e">
        <f t="shared" si="17"/>
        <v>#DIV/0!</v>
      </c>
      <c r="C54" s="163">
        <f t="shared" si="16"/>
        <v>0.25</v>
      </c>
      <c r="D54" s="889">
        <v>0.25</v>
      </c>
      <c r="E54" s="612"/>
      <c r="F54" s="609" t="e">
        <f t="shared" si="15"/>
        <v>#DIV/0!</v>
      </c>
      <c r="G54" s="2748"/>
      <c r="H54" s="832" t="str">
        <f>项目基本情况!B37</f>
        <v>六级</v>
      </c>
      <c r="I54" s="725">
        <f>SUMIF(修正!A57:A68,H54,修正!D57:D68)</f>
        <v>0.25</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0" customFormat="1" hidden="1">
      <c r="A55" s="611"/>
      <c r="B55" s="210"/>
      <c r="C55" s="163"/>
      <c r="D55" s="889"/>
      <c r="E55" s="612"/>
      <c r="F55" s="609"/>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0" customFormat="1">
      <c r="A56" s="611" t="s">
        <v>1894</v>
      </c>
      <c r="B56" s="210" t="e">
        <f t="shared" si="17"/>
        <v>#DIV/0!</v>
      </c>
      <c r="C56" s="163">
        <f t="shared" si="16"/>
        <v>0.25</v>
      </c>
      <c r="D56" s="889">
        <v>0.25</v>
      </c>
      <c r="E56" s="209">
        <f>'数据-汇总表'!E11</f>
        <v>0</v>
      </c>
      <c r="F56" s="609" t="e">
        <f t="shared" si="15"/>
        <v>#DIV/0!</v>
      </c>
      <c r="G56" s="1831" t="s">
        <v>1895</v>
      </c>
      <c r="H56" s="832" t="str">
        <f>项目基本情况!C37</f>
        <v>六级</v>
      </c>
      <c r="I56" s="725">
        <f>SUMIF(修正!A57:A68,H56,修正!E57:E68)</f>
        <v>0.25</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0" customFormat="1">
      <c r="A57" s="611" t="s">
        <v>1896</v>
      </c>
      <c r="B57" s="210" t="e">
        <f t="shared" si="17"/>
        <v>#DIV/0!</v>
      </c>
      <c r="C57" s="163">
        <f t="shared" si="16"/>
        <v>0.25</v>
      </c>
      <c r="D57" s="889">
        <v>0.25</v>
      </c>
      <c r="E57" s="209">
        <f>'数据-汇总表'!E12</f>
        <v>16546.309999999998</v>
      </c>
      <c r="F57" s="609" t="e">
        <f t="shared" si="15"/>
        <v>#DIV/0!</v>
      </c>
      <c r="G57" s="837" t="s">
        <v>1897</v>
      </c>
      <c r="H57" s="832" t="str">
        <f>IF(G57="商业",项目基本情况!B37,IF(G57="办公",项目基本情况!C37,IF(G57="住宅",项目基本情况!D37,项目基本情况!E37)))</f>
        <v>六级</v>
      </c>
      <c r="I57" s="725">
        <f>SUMIF(修正!A57:A68,H57,修正!F57:F68)</f>
        <v>0.25</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0" customFormat="1">
      <c r="A58" s="611" t="s">
        <v>1898</v>
      </c>
      <c r="B58" s="210" t="e">
        <f t="shared" si="17"/>
        <v>#DIV/0!</v>
      </c>
      <c r="C58" s="163">
        <f t="shared" si="16"/>
        <v>0.15</v>
      </c>
      <c r="D58" s="889">
        <v>0.25</v>
      </c>
      <c r="E58" s="209">
        <f>'数据-汇总表'!E13</f>
        <v>16849.759999999893</v>
      </c>
      <c r="F58" s="609" t="e">
        <f t="shared" si="15"/>
        <v>#DIV/0!</v>
      </c>
      <c r="G58" s="837" t="s">
        <v>1899</v>
      </c>
      <c r="H58" s="832" t="str">
        <f>IF(G58="商业",项目基本情况!B37,IF(G58="办公",项目基本情况!C37,IF(G58="住宅",项目基本情况!D37,项目基本情况!E37)))</f>
        <v>六级</v>
      </c>
      <c r="I58" s="725">
        <f>SUMIF(修正!A57:A68,H58,修正!G57:G68)</f>
        <v>0.15</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0" customFormat="1">
      <c r="A59" s="611" t="s">
        <v>1900</v>
      </c>
      <c r="B59" s="210" t="e">
        <f t="shared" si="17"/>
        <v>#DIV/0!</v>
      </c>
      <c r="C59" s="163">
        <f t="shared" si="16"/>
        <v>0.15</v>
      </c>
      <c r="D59" s="889">
        <v>0.25</v>
      </c>
      <c r="E59" s="209">
        <f>'数据-汇总表'!E14</f>
        <v>0</v>
      </c>
      <c r="F59" s="609" t="e">
        <f t="shared" si="15"/>
        <v>#DIV/0!</v>
      </c>
      <c r="G59" s="1831" t="s">
        <v>1891</v>
      </c>
      <c r="H59" s="832" t="str">
        <f>项目基本情况!B37</f>
        <v>六级</v>
      </c>
      <c r="I59" s="725">
        <f>SUMIF(修正!A57:A68,H59,修正!G57:G68)</f>
        <v>0.15</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0" customFormat="1" ht="15" thickBot="1">
      <c r="A60" s="611" t="s">
        <v>1901</v>
      </c>
      <c r="B60" s="210" t="e">
        <f t="shared" si="17"/>
        <v>#DIV/0!</v>
      </c>
      <c r="C60" s="163">
        <f t="shared" si="16"/>
        <v>0.15</v>
      </c>
      <c r="D60" s="889">
        <v>0.25</v>
      </c>
      <c r="E60" s="209">
        <f>'数据-汇总表'!E15</f>
        <v>0</v>
      </c>
      <c r="F60" s="609" t="e">
        <f t="shared" si="15"/>
        <v>#DIV/0!</v>
      </c>
      <c r="G60" s="1832" t="s">
        <v>1895</v>
      </c>
      <c r="H60" s="842" t="str">
        <f>项目基本情况!C37</f>
        <v>六级</v>
      </c>
      <c r="I60" s="725">
        <f>SUMIF(修正!A57:A68,H60,修正!G57:G68)</f>
        <v>0.15</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0" customFormat="1" ht="15" thickBot="1">
      <c r="A61" s="613" t="s">
        <v>1902</v>
      </c>
      <c r="B61" s="614" t="s">
        <v>22</v>
      </c>
      <c r="C61" s="614" t="s">
        <v>23</v>
      </c>
      <c r="D61" s="614" t="s">
        <v>392</v>
      </c>
      <c r="E61" s="614">
        <f>IF(B41="楼面地价",SUM(E51:E60),'数据-汇总表'!D3)</f>
        <v>37485.769999999997</v>
      </c>
      <c r="F61" s="615"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5"/>
      <c r="C64" s="657"/>
      <c r="D64" s="657"/>
      <c r="E64" s="657"/>
      <c r="F64" s="658"/>
      <c r="G64" s="658"/>
      <c r="H64" s="657"/>
      <c r="I64" s="657"/>
      <c r="J64" s="657"/>
      <c r="K64" s="659"/>
      <c r="L64" s="660"/>
      <c r="M64" s="657"/>
      <c r="N64" s="657"/>
      <c r="O64" s="884"/>
      <c r="P64" s="2534"/>
      <c r="Q64" s="2505"/>
      <c r="R64" s="2484"/>
      <c r="S64" s="2484"/>
      <c r="T64" s="2484"/>
      <c r="U64" s="2484"/>
      <c r="V64" s="2484"/>
      <c r="W64" s="2484"/>
      <c r="X64" s="2484"/>
      <c r="Y64" s="2484"/>
      <c r="Z64" s="2484"/>
      <c r="AA64" s="2484"/>
      <c r="AB64" s="2484"/>
      <c r="AC64" s="2484"/>
      <c r="AD64" s="2484"/>
      <c r="AE64" s="2484"/>
    </row>
    <row r="65" spans="1:31" s="440" customFormat="1" ht="15">
      <c r="A65" s="1628" t="s">
        <v>1903</v>
      </c>
      <c r="B65" s="1044"/>
      <c r="C65" s="1099" t="str">
        <f>YEAR(C63)&amp;"-"&amp;ROUNDUP(MONTH(C63)/3,0)</f>
        <v>2025-2</v>
      </c>
      <c r="D65" s="1099" t="str">
        <f t="shared" ref="D65:O65" si="19">YEAR(D63)&amp;"-"&amp;ROUNDUP(MONTH(D63)/3,0)</f>
        <v>2025-1</v>
      </c>
      <c r="E65" s="1099" t="str">
        <f t="shared" si="19"/>
        <v>2024-4</v>
      </c>
      <c r="F65" s="1099" t="str">
        <f t="shared" si="19"/>
        <v>2024-3</v>
      </c>
      <c r="G65" s="1099" t="str">
        <f t="shared" si="19"/>
        <v>2024-2</v>
      </c>
      <c r="H65" s="1099" t="str">
        <f t="shared" si="19"/>
        <v>2024-1</v>
      </c>
      <c r="I65" s="1099" t="str">
        <f t="shared" si="19"/>
        <v>2023-4</v>
      </c>
      <c r="J65" s="1099" t="str">
        <f t="shared" si="19"/>
        <v>2023-3</v>
      </c>
      <c r="K65" s="1099" t="str">
        <f t="shared" si="19"/>
        <v>2023-2</v>
      </c>
      <c r="L65" s="1099" t="str">
        <f t="shared" si="19"/>
        <v>2023-1</v>
      </c>
      <c r="M65" s="1099" t="str">
        <f t="shared" si="19"/>
        <v>2022-4</v>
      </c>
      <c r="N65" s="1099" t="str">
        <f t="shared" si="19"/>
        <v>2022-3</v>
      </c>
      <c r="O65" s="1099" t="str">
        <f t="shared" si="19"/>
        <v>2022-2</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1923</v>
      </c>
      <c r="B66" s="280" t="str">
        <f>"北京市平均增长率"&amp;TEXT(基准地价修正!P28,"0.00%")</f>
        <v>北京市平均增长率0.00%</v>
      </c>
      <c r="C66" s="528">
        <v>100</v>
      </c>
      <c r="D66" s="6"/>
      <c r="E66" s="6"/>
      <c r="F66" s="6"/>
      <c r="G66" s="6"/>
      <c r="H66" s="6"/>
      <c r="I66" s="6"/>
      <c r="J66" s="6"/>
      <c r="K66" s="6"/>
      <c r="L66" s="6"/>
      <c r="M66" s="1064"/>
      <c r="N66" s="1064"/>
      <c r="O66" s="1097"/>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7" t="s">
        <v>1716</v>
      </c>
      <c r="B67" s="448"/>
      <c r="C67" s="449"/>
      <c r="D67" s="450"/>
      <c r="E67" s="450"/>
      <c r="F67" s="450"/>
      <c r="G67" s="450"/>
      <c r="H67" s="450"/>
      <c r="I67" s="450"/>
      <c r="J67" s="450"/>
      <c r="K67" s="450"/>
      <c r="L67" s="450"/>
      <c r="M67" s="451"/>
      <c r="N67" s="451"/>
      <c r="O67" s="452"/>
      <c r="P67" s="2505"/>
      <c r="Q67" s="2505"/>
      <c r="R67" s="2436"/>
      <c r="S67" s="2436"/>
      <c r="T67" s="2436"/>
      <c r="U67" s="2436"/>
      <c r="V67" s="2436"/>
      <c r="W67" s="2436"/>
      <c r="X67" s="2436"/>
      <c r="Y67" s="2436"/>
      <c r="Z67" s="2436"/>
      <c r="AA67" s="2436"/>
      <c r="AB67" s="2436"/>
      <c r="AC67" s="2436"/>
      <c r="AD67" s="2436"/>
      <c r="AE67" s="2436"/>
    </row>
    <row r="68" spans="1:31" s="102" customFormat="1" ht="15">
      <c r="A68" s="453" t="s">
        <v>1681</v>
      </c>
      <c r="B68" s="442"/>
      <c r="C68" s="454" t="s">
        <v>1776</v>
      </c>
      <c r="D68" s="31"/>
      <c r="E68" s="31"/>
      <c r="F68" s="31"/>
      <c r="G68" s="31"/>
      <c r="H68" s="31"/>
      <c r="I68" s="31"/>
      <c r="J68" s="31"/>
      <c r="K68" s="31"/>
      <c r="L68" s="455"/>
      <c r="M68" s="456"/>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3"/>
      <c r="B69" s="442"/>
      <c r="C69" s="561">
        <v>100</v>
      </c>
      <c r="D69" s="444"/>
      <c r="E69" s="444"/>
      <c r="F69" s="444"/>
      <c r="G69" s="444"/>
      <c r="H69" s="444"/>
      <c r="I69" s="444"/>
      <c r="J69" s="444"/>
      <c r="K69" s="444"/>
      <c r="L69" s="444"/>
      <c r="M69" s="446"/>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58" t="s">
        <v>1685</v>
      </c>
      <c r="C70" s="460"/>
      <c r="D70" s="460"/>
      <c r="E70" s="460"/>
      <c r="F70" s="460"/>
      <c r="G70" s="460"/>
      <c r="H70" s="460"/>
      <c r="I70" s="460"/>
      <c r="J70" s="460"/>
      <c r="K70" s="461"/>
      <c r="L70" s="462"/>
      <c r="M70" s="463"/>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4"/>
      <c r="C71" s="465"/>
      <c r="D71" s="465"/>
      <c r="E71" s="465"/>
      <c r="F71" s="465"/>
      <c r="G71" s="465"/>
      <c r="H71" s="465"/>
      <c r="I71" s="465"/>
      <c r="J71" s="465"/>
      <c r="K71" s="465"/>
      <c r="L71" s="465"/>
      <c r="M71" s="466"/>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7" t="s">
        <v>1688</v>
      </c>
      <c r="C72" s="468"/>
      <c r="D72" s="468"/>
      <c r="E72" s="468"/>
      <c r="F72" s="468"/>
      <c r="G72" s="468"/>
      <c r="H72" s="468"/>
      <c r="I72" s="468"/>
      <c r="J72" s="468"/>
      <c r="K72" s="469"/>
      <c r="L72" s="470"/>
      <c r="M72" s="471"/>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2"/>
      <c r="C73" s="473"/>
      <c r="D73" s="473"/>
      <c r="E73" s="473"/>
      <c r="F73" s="473"/>
      <c r="G73" s="473"/>
      <c r="H73" s="473"/>
      <c r="I73" s="473"/>
      <c r="J73" s="473"/>
      <c r="K73" s="473"/>
      <c r="L73" s="473"/>
      <c r="M73" s="474"/>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7"/>
      <c r="C75" s="478"/>
      <c r="D75" s="478"/>
      <c r="E75" s="478"/>
      <c r="F75" s="478"/>
      <c r="G75" s="478"/>
      <c r="H75" s="478"/>
      <c r="I75" s="478"/>
      <c r="J75" s="478"/>
      <c r="K75" s="479"/>
      <c r="L75" s="480"/>
      <c r="M75" s="481"/>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2"/>
      <c r="B77" s="467">
        <f>B12</f>
        <v>111</v>
      </c>
      <c r="C77" s="483"/>
      <c r="D77" s="483"/>
      <c r="E77" s="483"/>
      <c r="F77" s="483"/>
      <c r="G77" s="483"/>
      <c r="H77" s="484"/>
      <c r="I77" s="484"/>
      <c r="J77" s="484"/>
      <c r="K77" s="484"/>
      <c r="L77" s="485"/>
      <c r="M77" s="486"/>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2"/>
      <c r="B78" s="472"/>
      <c r="C78" s="489"/>
      <c r="D78" s="465"/>
      <c r="E78" s="465"/>
      <c r="F78" s="465"/>
      <c r="G78" s="465"/>
      <c r="H78" s="465"/>
      <c r="I78" s="465"/>
      <c r="J78" s="465"/>
      <c r="K78" s="465"/>
      <c r="L78" s="465"/>
      <c r="M78" s="466"/>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2"/>
      <c r="B79" s="467">
        <f>B13</f>
        <v>111</v>
      </c>
      <c r="C79" s="483"/>
      <c r="D79" s="483"/>
      <c r="E79" s="483"/>
      <c r="F79" s="483"/>
      <c r="G79" s="483"/>
      <c r="H79" s="484"/>
      <c r="I79" s="484"/>
      <c r="J79" s="484"/>
      <c r="K79" s="484"/>
      <c r="L79" s="485"/>
      <c r="M79" s="486"/>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2"/>
      <c r="B80" s="472"/>
      <c r="C80" s="489"/>
      <c r="D80" s="489"/>
      <c r="E80" s="489"/>
      <c r="F80" s="489"/>
      <c r="G80" s="489"/>
      <c r="H80" s="491"/>
      <c r="I80" s="491"/>
      <c r="J80" s="491"/>
      <c r="K80" s="491"/>
      <c r="L80" s="491"/>
      <c r="M80" s="492"/>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2"/>
      <c r="B81" s="475">
        <f>B14</f>
        <v>111</v>
      </c>
      <c r="C81" s="31"/>
      <c r="D81" s="31"/>
      <c r="E81" s="31"/>
      <c r="F81" s="31"/>
      <c r="G81" s="31"/>
      <c r="H81" s="493"/>
      <c r="I81" s="493"/>
      <c r="J81" s="493"/>
      <c r="K81" s="493"/>
      <c r="L81" s="494"/>
      <c r="M81" s="495"/>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7"/>
      <c r="B82" s="498"/>
      <c r="C82" s="499"/>
      <c r="D82" s="499"/>
      <c r="E82" s="499"/>
      <c r="F82" s="499"/>
      <c r="G82" s="499"/>
      <c r="H82" s="500"/>
      <c r="I82" s="500"/>
      <c r="J82" s="500"/>
      <c r="K82" s="500"/>
      <c r="L82" s="500"/>
      <c r="M82" s="501"/>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58" t="s">
        <v>1829</v>
      </c>
      <c r="C83" s="502" t="s">
        <v>1721</v>
      </c>
      <c r="D83" s="502" t="s">
        <v>1722</v>
      </c>
      <c r="E83" s="502" t="s">
        <v>1723</v>
      </c>
      <c r="F83" s="502" t="s">
        <v>1724</v>
      </c>
      <c r="G83" s="502" t="s">
        <v>1725</v>
      </c>
      <c r="H83" s="459"/>
      <c r="I83" s="459"/>
      <c r="J83" s="459"/>
      <c r="K83" s="503"/>
      <c r="L83" s="504"/>
      <c r="M83" s="505"/>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7" t="s">
        <v>1726</v>
      </c>
      <c r="C85" s="507" t="s">
        <v>1721</v>
      </c>
      <c r="D85" s="507" t="s">
        <v>1722</v>
      </c>
      <c r="E85" s="507" t="s">
        <v>1723</v>
      </c>
      <c r="F85" s="507" t="s">
        <v>1724</v>
      </c>
      <c r="G85" s="507" t="s">
        <v>1725</v>
      </c>
      <c r="H85" s="468"/>
      <c r="I85" s="468"/>
      <c r="J85" s="468"/>
      <c r="K85" s="469"/>
      <c r="L85" s="470"/>
      <c r="M85" s="471"/>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3"/>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7" t="s">
        <v>1815</v>
      </c>
      <c r="C97" s="483"/>
      <c r="D97" s="483"/>
      <c r="E97" s="483"/>
      <c r="F97" s="483"/>
      <c r="G97" s="483"/>
      <c r="H97" s="511"/>
      <c r="I97" s="511"/>
      <c r="J97" s="511"/>
      <c r="K97" s="512"/>
      <c r="L97" s="513"/>
      <c r="M97" s="514"/>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7" t="s">
        <v>1872</v>
      </c>
      <c r="C99" s="511"/>
      <c r="D99" s="511"/>
      <c r="E99" s="511"/>
      <c r="F99" s="511"/>
      <c r="G99" s="511"/>
      <c r="H99" s="511"/>
      <c r="I99" s="511"/>
      <c r="J99" s="511"/>
      <c r="K99" s="512"/>
      <c r="L99" s="513"/>
      <c r="M99" s="514"/>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5">
        <f>B31</f>
        <v>111</v>
      </c>
      <c r="C101" s="483"/>
      <c r="D101" s="483"/>
      <c r="E101" s="483"/>
      <c r="F101" s="483"/>
      <c r="G101" s="515"/>
      <c r="H101" s="515"/>
      <c r="I101" s="515"/>
      <c r="J101" s="515"/>
      <c r="K101" s="516"/>
      <c r="L101" s="517"/>
      <c r="M101" s="518"/>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498"/>
      <c r="C102" s="489"/>
      <c r="D102" s="465"/>
      <c r="E102" s="465"/>
      <c r="F102" s="465"/>
      <c r="G102" s="519"/>
      <c r="H102" s="519"/>
      <c r="I102" s="519"/>
      <c r="J102" s="519"/>
      <c r="K102" s="519"/>
      <c r="L102" s="519"/>
      <c r="M102" s="520"/>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3"/>
      <c r="B103" s="467">
        <f>B32</f>
        <v>111</v>
      </c>
      <c r="C103" s="483"/>
      <c r="D103" s="483"/>
      <c r="E103" s="483"/>
      <c r="F103" s="483"/>
      <c r="G103" s="511"/>
      <c r="H103" s="511"/>
      <c r="I103" s="511"/>
      <c r="J103" s="511"/>
      <c r="K103" s="512"/>
      <c r="L103" s="513"/>
      <c r="M103" s="514"/>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2"/>
      <c r="C104" s="489"/>
      <c r="D104" s="489"/>
      <c r="E104" s="489"/>
      <c r="F104" s="489"/>
      <c r="G104" s="465"/>
      <c r="H104" s="465"/>
      <c r="I104" s="465"/>
      <c r="J104" s="465"/>
      <c r="K104" s="465"/>
      <c r="L104" s="465"/>
      <c r="M104" s="466"/>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1">
        <f>B33</f>
        <v>111</v>
      </c>
      <c r="C105" s="31"/>
      <c r="D105" s="31"/>
      <c r="E105" s="31"/>
      <c r="F105" s="31"/>
      <c r="G105" s="6"/>
      <c r="H105" s="6"/>
      <c r="I105" s="6"/>
      <c r="J105" s="522"/>
      <c r="K105" s="522"/>
      <c r="L105" s="523"/>
      <c r="M105" s="524"/>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2"/>
      <c r="B106" s="475"/>
      <c r="C106" s="499"/>
      <c r="D106" s="499"/>
      <c r="E106" s="499"/>
      <c r="F106" s="499"/>
      <c r="G106" s="595"/>
      <c r="H106" s="595"/>
      <c r="I106" s="595"/>
      <c r="J106" s="595"/>
      <c r="K106" s="595"/>
      <c r="L106" s="595"/>
      <c r="M106" s="617"/>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4" t="str">
        <f t="shared" si="25"/>
        <v>(含)-</v>
      </c>
      <c r="L107" s="1244" t="str">
        <f t="shared" si="25"/>
        <v>(含)-</v>
      </c>
      <c r="M107" s="1245"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5"/>
      <c r="C108" s="6"/>
      <c r="D108" s="6"/>
      <c r="E108" s="6"/>
      <c r="F108" s="6"/>
      <c r="G108" s="6"/>
      <c r="H108" s="6"/>
      <c r="I108" s="6"/>
      <c r="J108" s="522"/>
      <c r="K108" s="522"/>
      <c r="L108" s="523"/>
      <c r="M108" s="524"/>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2"/>
      <c r="C109" s="499"/>
      <c r="D109" s="519"/>
      <c r="E109" s="519"/>
      <c r="F109" s="519"/>
      <c r="G109" s="519"/>
      <c r="H109" s="519"/>
      <c r="I109" s="519"/>
      <c r="J109" s="519"/>
      <c r="K109" s="519"/>
      <c r="L109" s="519"/>
      <c r="M109" s="520"/>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7" t="s">
        <v>1913</v>
      </c>
      <c r="C110" s="511"/>
      <c r="D110" s="511"/>
      <c r="E110" s="511"/>
      <c r="F110" s="511"/>
      <c r="G110" s="511"/>
      <c r="H110" s="511"/>
      <c r="I110" s="511"/>
      <c r="J110" s="511"/>
      <c r="K110" s="512"/>
      <c r="L110" s="513"/>
      <c r="M110" s="514"/>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7" t="s">
        <v>1915</v>
      </c>
      <c r="C112" s="483"/>
      <c r="D112" s="483"/>
      <c r="E112" s="483"/>
      <c r="F112" s="483"/>
      <c r="G112" s="483"/>
      <c r="H112" s="511"/>
      <c r="I112" s="511"/>
      <c r="J112" s="511"/>
      <c r="K112" s="512"/>
      <c r="L112" s="513"/>
      <c r="M112" s="514"/>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7" t="s">
        <v>1916</v>
      </c>
      <c r="C114" s="483"/>
      <c r="D114" s="483"/>
      <c r="E114" s="511"/>
      <c r="F114" s="511"/>
      <c r="G114" s="511"/>
      <c r="H114" s="511"/>
      <c r="I114" s="511"/>
      <c r="J114" s="511"/>
      <c r="K114" s="512"/>
      <c r="L114" s="513"/>
      <c r="M114" s="514"/>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7">
        <f>B38</f>
        <v>111</v>
      </c>
      <c r="C116" s="483"/>
      <c r="D116" s="483"/>
      <c r="E116" s="483"/>
      <c r="F116" s="483"/>
      <c r="G116" s="483"/>
      <c r="H116" s="511"/>
      <c r="I116" s="511"/>
      <c r="J116" s="511"/>
      <c r="K116" s="512"/>
      <c r="L116" s="513"/>
      <c r="M116" s="514"/>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2"/>
      <c r="C117" s="489"/>
      <c r="D117" s="465"/>
      <c r="E117" s="465"/>
      <c r="F117" s="465"/>
      <c r="G117" s="465"/>
      <c r="H117" s="465"/>
      <c r="I117" s="465"/>
      <c r="J117" s="465"/>
      <c r="K117" s="465"/>
      <c r="L117" s="465"/>
      <c r="M117" s="466"/>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7">
        <f>B39</f>
        <v>111</v>
      </c>
      <c r="C118" s="483"/>
      <c r="D118" s="483"/>
      <c r="E118" s="483"/>
      <c r="F118" s="483"/>
      <c r="G118" s="511"/>
      <c r="H118" s="511"/>
      <c r="I118" s="511"/>
      <c r="J118" s="511"/>
      <c r="K118" s="512"/>
      <c r="L118" s="513"/>
      <c r="M118" s="514"/>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2"/>
      <c r="C119" s="489"/>
      <c r="D119" s="489"/>
      <c r="E119" s="489"/>
      <c r="F119" s="489"/>
      <c r="G119" s="465"/>
      <c r="H119" s="465"/>
      <c r="I119" s="465"/>
      <c r="J119" s="465"/>
      <c r="K119" s="465"/>
      <c r="L119" s="465"/>
      <c r="M119" s="466"/>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7">
        <f>B40</f>
        <v>111</v>
      </c>
      <c r="C120" s="31"/>
      <c r="D120" s="31"/>
      <c r="E120" s="31"/>
      <c r="F120" s="31"/>
      <c r="G120" s="484"/>
      <c r="H120" s="484"/>
      <c r="I120" s="484"/>
      <c r="J120" s="484"/>
      <c r="K120" s="484"/>
      <c r="L120" s="485"/>
      <c r="M120" s="486"/>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7"/>
      <c r="B121" s="618"/>
      <c r="C121" s="499"/>
      <c r="D121" s="499"/>
      <c r="E121" s="499"/>
      <c r="F121" s="499"/>
      <c r="G121" s="519"/>
      <c r="H121" s="519"/>
      <c r="I121" s="519"/>
      <c r="J121" s="519"/>
      <c r="K121" s="519"/>
      <c r="L121" s="519"/>
      <c r="M121" s="520"/>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2082</v>
      </c>
      <c r="C1" s="3477" t="s">
        <v>2083</v>
      </c>
      <c r="D1" s="3478"/>
      <c r="E1" s="3478"/>
      <c r="F1" s="3478"/>
      <c r="G1" s="3478"/>
      <c r="H1" s="3478"/>
      <c r="I1" s="3478"/>
      <c r="J1" s="3478"/>
      <c r="K1" s="3478"/>
      <c r="L1" s="3478"/>
      <c r="M1" s="3478"/>
      <c r="N1" s="3478"/>
      <c r="O1" s="3478"/>
      <c r="P1" s="3478"/>
      <c r="Q1" s="3478"/>
      <c r="R1" s="3478"/>
      <c r="S1" s="3479"/>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7" t="s">
        <v>2086</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2087</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2088</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2" t="s">
        <v>2092</v>
      </c>
      <c r="B17" s="1983"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4" t="s">
        <v>2094</v>
      </c>
      <c r="E19" s="1251"/>
      <c r="F19" s="1251"/>
      <c r="G19" s="1251"/>
      <c r="H19" s="994"/>
      <c r="I19" s="151"/>
      <c r="J19" s="151"/>
      <c r="K19" s="151"/>
      <c r="L19" s="151"/>
      <c r="M19" s="151"/>
      <c r="N19" s="151"/>
      <c r="O19" s="151"/>
      <c r="P19" s="151"/>
      <c r="Q19" s="151"/>
      <c r="R19" s="151"/>
      <c r="S19" s="121"/>
    </row>
    <row r="20" spans="1:45" ht="16.5" thickBot="1">
      <c r="A20" s="630" t="s">
        <v>2095</v>
      </c>
      <c r="B20" s="286" t="e">
        <f ca="1">IF(D20="——",S22,S22-F20)</f>
        <v>#REF!</v>
      </c>
      <c r="C20" s="151"/>
      <c r="D20" s="1985"/>
      <c r="E20" s="1252"/>
      <c r="F20" s="927" t="e">
        <f ca="1">SUMIF(INDIRECT("'"&amp;H20&amp;"'"&amp;"!A:A"),"承租人权益价值",INDIRECT("'"&amp;H20&amp;"'"&amp;"!c:c"))</f>
        <v>#REF!</v>
      </c>
      <c r="G20" s="927" t="s">
        <v>2096</v>
      </c>
      <c r="H20" s="1986"/>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74" t="s">
        <v>27</v>
      </c>
      <c r="D22" s="3475"/>
      <c r="E22" s="3475"/>
      <c r="F22" s="3475"/>
      <c r="G22" s="3475"/>
      <c r="H22" s="3475"/>
      <c r="I22" s="3475"/>
      <c r="J22" s="3475"/>
      <c r="K22" s="3475"/>
      <c r="L22" s="3475"/>
      <c r="M22" s="3475"/>
      <c r="N22" s="3475"/>
      <c r="O22" s="3475"/>
      <c r="P22" s="3475"/>
      <c r="Q22" s="3476"/>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7">
        <v>1</v>
      </c>
      <c r="D24" s="2568"/>
      <c r="E24" s="2567">
        <v>1</v>
      </c>
      <c r="F24" s="2568"/>
      <c r="G24" s="2567">
        <v>1</v>
      </c>
      <c r="H24" s="2568"/>
      <c r="I24" s="2567">
        <v>1</v>
      </c>
      <c r="J24" s="2568"/>
      <c r="K24" s="2567">
        <v>1</v>
      </c>
      <c r="L24" s="2568"/>
      <c r="M24" s="2567">
        <v>1</v>
      </c>
      <c r="N24" s="2568"/>
      <c r="O24" s="2567">
        <v>1</v>
      </c>
      <c r="P24" s="2568"/>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3" t="s">
        <v>2080</v>
      </c>
      <c r="B1" s="4"/>
      <c r="C1" s="4"/>
      <c r="D1" s="4"/>
      <c r="E1" s="4"/>
      <c r="F1" s="2541"/>
      <c r="G1" s="2541"/>
      <c r="H1" s="2541"/>
      <c r="I1" s="2541"/>
      <c r="J1" s="2541"/>
      <c r="K1" s="2541"/>
      <c r="L1" s="2541"/>
      <c r="M1" s="2541"/>
      <c r="N1" s="2541"/>
      <c r="O1" s="2541"/>
      <c r="P1" s="2541"/>
    </row>
    <row r="2" spans="1:16" ht="15.75">
      <c r="A2" s="1980" t="s">
        <v>2072</v>
      </c>
      <c r="B2" s="2384" t="e">
        <f ca="1">SUMIF(B6:B13,"&lt;&gt;#ref!",B6:B13)</f>
        <v>#DIV/0!</v>
      </c>
      <c r="C2" s="1980" t="s">
        <v>2073</v>
      </c>
      <c r="D2" s="1980" t="s">
        <v>2074</v>
      </c>
      <c r="E2" s="2394">
        <f ca="1">SUMIF(E6:E13,"&lt;&gt;#ref!",E6:E13)</f>
        <v>0</v>
      </c>
      <c r="F2" s="2541"/>
      <c r="G2" s="2541"/>
      <c r="H2" s="2541"/>
      <c r="I2" s="2541"/>
      <c r="J2" s="2541"/>
      <c r="K2" s="2541"/>
      <c r="L2" s="2541"/>
      <c r="M2" s="2541"/>
      <c r="N2" s="2541"/>
      <c r="O2" s="2541"/>
      <c r="P2" s="2541"/>
    </row>
    <row r="3" spans="1:16" ht="15.75">
      <c r="A3" s="1980" t="s">
        <v>2075</v>
      </c>
      <c r="B3" s="2384" t="e">
        <f ca="1">ROUND(B2*10000/E2,0)</f>
        <v>#DIV/0!</v>
      </c>
      <c r="C3" s="1980" t="s">
        <v>2081</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2076</v>
      </c>
      <c r="B5" s="2392" t="s">
        <v>2077</v>
      </c>
      <c r="C5" s="1981"/>
      <c r="D5" s="2541"/>
      <c r="E5" s="2393" t="s">
        <v>2078</v>
      </c>
      <c r="F5" s="2541"/>
      <c r="G5" s="2541"/>
      <c r="H5" s="2541"/>
      <c r="I5" s="2541"/>
      <c r="J5" s="2541"/>
      <c r="K5" s="2541"/>
      <c r="L5" s="2541"/>
      <c r="M5" s="2541"/>
      <c r="N5" s="2541"/>
      <c r="O5" s="2541"/>
      <c r="P5" s="2541"/>
    </row>
    <row r="6" spans="1:16" ht="15.75">
      <c r="A6" s="2391" t="s">
        <v>2079</v>
      </c>
      <c r="B6" s="2384" t="e">
        <f ca="1">SUMIF(INDIRECT("'"&amp;A6&amp;"'"&amp;"!A:A"),"总价",INDIRECT("'"&amp;A6&amp;"'"&amp;"!B:B"))</f>
        <v>#DIV/0!</v>
      </c>
      <c r="C6" s="1980" t="s">
        <v>2073</v>
      </c>
      <c r="D6" s="2541"/>
      <c r="E6" s="2394">
        <f ca="1">SUMIF(INDIRECT("'"&amp;A6&amp;"'"&amp;"!C:C"),"建筑面积",INDIRECT("'"&amp;A6&amp;"'"&amp;"!D:D"))</f>
        <v>0</v>
      </c>
      <c r="F6" s="2541"/>
      <c r="G6" s="2541"/>
      <c r="H6" s="2541"/>
      <c r="I6" s="2541"/>
      <c r="J6" s="2541"/>
      <c r="K6" s="2541"/>
      <c r="L6" s="2541"/>
      <c r="M6" s="2541"/>
      <c r="N6" s="2541"/>
      <c r="O6" s="2541"/>
      <c r="P6" s="2541"/>
    </row>
    <row r="7" spans="1:16" ht="15.75">
      <c r="A7" s="2391"/>
      <c r="B7" s="2384" t="e">
        <f ca="1">SUMIF(INDIRECT("'"&amp;A7&amp;"'"&amp;"!A:A"),"总价",INDIRECT("'"&amp;A7&amp;"'"&amp;"!B:B"))</f>
        <v>#REF!</v>
      </c>
      <c r="C7" s="1980" t="s">
        <v>2073</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2073</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2073</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2073</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2073</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2073</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2073</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6" customWidth="1"/>
    <col min="33" max="36" width="9.375" style="1891" customWidth="1"/>
    <col min="37" max="38" width="9.375" style="1841" customWidth="1"/>
    <col min="39" max="16384" width="12" style="1841"/>
  </cols>
  <sheetData>
    <row r="1" spans="1:36" ht="28.5">
      <c r="A1" s="188" t="s">
        <v>1925</v>
      </c>
      <c r="B1" s="189"/>
      <c r="C1" s="193" t="s">
        <v>1926</v>
      </c>
      <c r="D1" s="333">
        <f>SUM(D33:D34,D37:D42)</f>
        <v>0</v>
      </c>
      <c r="E1" s="1838"/>
      <c r="F1" s="1838"/>
      <c r="G1" s="1838"/>
      <c r="H1" s="1838"/>
      <c r="I1" s="1838"/>
      <c r="J1" s="1838"/>
      <c r="K1" s="1054"/>
      <c r="L1" s="1839" t="s">
        <v>1927</v>
      </c>
      <c r="M1" s="808">
        <f>SUMPRODUCT((区片价!B5:B9=I2)*(区片价!C3:G3=E2)*(区片价!C5:G9))</f>
        <v>0</v>
      </c>
      <c r="N1" s="811">
        <f>SUMPRODUCT((因素修正幅度!B5:B9=I2)*(因素修正幅度!C3:G3=E2)*(因素修正幅度!C5:G9))</f>
        <v>0</v>
      </c>
      <c r="O1" s="1840"/>
      <c r="P1" s="1840"/>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75">
      <c r="A2" s="193" t="s">
        <v>1933</v>
      </c>
      <c r="B2" s="196" t="e">
        <f>C30</f>
        <v>#DIV/0!</v>
      </c>
      <c r="C2" s="1842" t="s">
        <v>1934</v>
      </c>
      <c r="D2" s="162" t="s">
        <v>1935</v>
      </c>
      <c r="E2" s="3117"/>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8"/>
      <c r="K2" s="1054"/>
      <c r="L2" s="1843" t="s">
        <v>1938</v>
      </c>
      <c r="M2" s="809">
        <f>SUMPRODUCT((区片价!B10:B29=I2)*(区片价!C3:G3=E2)*(区片价!C10:G29))</f>
        <v>0</v>
      </c>
      <c r="N2" s="811">
        <f>SUMPRODUCT((因素修正幅度!B10:B29=I2)*(因素修正幅度!C3:G3=E2)*(因素修正幅度!C10:G29))</f>
        <v>0</v>
      </c>
      <c r="O2" s="1054"/>
      <c r="P2" s="1054"/>
      <c r="Q2" s="1054"/>
      <c r="R2" s="1127">
        <v>1</v>
      </c>
      <c r="S2" s="3060">
        <f>ROUND(SUMPRODUCT((B106:B110=R2)*(C105:N105=G2)*(C106:N110)),4)</f>
        <v>1.5019</v>
      </c>
      <c r="T2" s="3060" t="e">
        <f t="shared" ref="T2:T16" si="0">ROUND($C$5*$C$22*$C$23*$C$24*S2*$C$28,0)</f>
        <v>#DIV/0!</v>
      </c>
      <c r="U2" s="1128"/>
      <c r="V2" s="3060" t="e">
        <f>ROUND(T2*U2/10000,0)</f>
        <v>#DIV/0!</v>
      </c>
      <c r="W2" s="1131"/>
      <c r="X2" s="1131"/>
      <c r="Y2" s="1131"/>
      <c r="Z2" s="1131"/>
      <c r="AA2" s="1131"/>
      <c r="AB2" s="1131"/>
      <c r="AC2" s="1132"/>
      <c r="AD2" s="1133"/>
      <c r="AE2" s="1133"/>
      <c r="AF2" s="1133"/>
      <c r="AG2" s="1133"/>
      <c r="AH2" s="1133"/>
      <c r="AI2" s="1133"/>
      <c r="AJ2" s="1134"/>
    </row>
    <row r="3" spans="1:36" ht="15.75">
      <c r="A3" s="195" t="s">
        <v>1939</v>
      </c>
      <c r="B3" s="196" t="e">
        <f>ROUND(B2*10000/D1,0)</f>
        <v>#DIV/0!</v>
      </c>
      <c r="C3" s="1842" t="s">
        <v>1940</v>
      </c>
      <c r="D3" s="162" t="s">
        <v>1941</v>
      </c>
      <c r="E3" s="3115"/>
      <c r="F3" s="1844"/>
      <c r="G3" s="706">
        <f>IF(F3="宗地容积率",'数据-汇总表'!I4,IF(F3="估价对象容积率",'数据-汇总表'!I6,'数据-汇总表'!I7))</f>
        <v>1.05</v>
      </c>
      <c r="H3" s="162" t="s">
        <v>1942</v>
      </c>
      <c r="I3" s="727"/>
      <c r="J3" s="1838" t="s">
        <v>1943</v>
      </c>
      <c r="K3" s="1054"/>
      <c r="L3" s="1843" t="s">
        <v>1944</v>
      </c>
      <c r="M3" s="809">
        <f>SUMPRODUCT((区片价!B30:B54=I2)*(区片价!C3:G3=E2)*(区片价!C30:G54))</f>
        <v>0</v>
      </c>
      <c r="N3" s="811">
        <f>SUMPRODUCT((因素修正幅度!B30:B54=I2)*(因素修正幅度!C3:G3=E2)*(因素修正幅度!C30:G54))</f>
        <v>0</v>
      </c>
      <c r="O3" s="1054"/>
      <c r="P3" s="1054"/>
      <c r="Q3" s="1054"/>
      <c r="R3" s="1127">
        <v>2</v>
      </c>
      <c r="S3" s="3060">
        <f>ROUND(SUMPRODUCT((B106:B110=R3)*(C105:N105=G2)*(C106:N110)),4)</f>
        <v>1.1838</v>
      </c>
      <c r="T3" s="3060" t="e">
        <f t="shared" si="0"/>
        <v>#DIV/0!</v>
      </c>
      <c r="U3" s="1128"/>
      <c r="V3" s="3060" t="e">
        <f t="shared" ref="V3:V16" si="1">ROUND(T3*U3/10000,0)</f>
        <v>#DIV/0!</v>
      </c>
      <c r="W3" s="1131"/>
      <c r="X3" s="1131"/>
      <c r="Y3" s="1131"/>
      <c r="Z3" s="1131"/>
      <c r="AA3" s="1131"/>
      <c r="AB3" s="1131"/>
      <c r="AC3" s="1132"/>
      <c r="AD3" s="1133"/>
      <c r="AE3" s="1133"/>
      <c r="AF3" s="1133"/>
      <c r="AG3" s="1133"/>
      <c r="AH3" s="1133"/>
      <c r="AI3" s="1133"/>
      <c r="AJ3" s="1134"/>
    </row>
    <row r="4" spans="1:36" ht="15.75">
      <c r="A4" s="3487"/>
      <c r="B4" s="3488"/>
      <c r="C4" s="3488"/>
      <c r="D4" s="3489"/>
      <c r="E4" s="3489"/>
      <c r="F4" s="3489"/>
      <c r="G4" s="3489"/>
      <c r="H4" s="3489"/>
      <c r="I4" s="3489"/>
      <c r="J4" s="3490"/>
      <c r="K4" s="1054"/>
      <c r="L4" s="1843" t="s">
        <v>1945</v>
      </c>
      <c r="M4" s="809">
        <f>SUMPRODUCT((区片价!B55:B86=I2)*(区片价!C3:G3=E2)*(区片价!C55:G86))</f>
        <v>0</v>
      </c>
      <c r="N4" s="811">
        <f>SUMPRODUCT((因素修正幅度!B55:B86=I2)*(因素修正幅度!C3:G3=E2)*(因素修正幅度!C55:G86))</f>
        <v>0</v>
      </c>
      <c r="O4" s="1054"/>
      <c r="P4" s="1054"/>
      <c r="Q4" s="1054"/>
      <c r="R4" s="1127">
        <v>3</v>
      </c>
      <c r="S4" s="3060">
        <f>ROUND(SUMPRODUCT((B106:B110=R4)*(C105:N105=G2)*(C106:N110)),4)</f>
        <v>1.0004999999999999</v>
      </c>
      <c r="T4" s="3060" t="e">
        <f t="shared" si="0"/>
        <v>#DIV/0!</v>
      </c>
      <c r="U4" s="1128"/>
      <c r="V4" s="3060" t="e">
        <f t="shared" si="1"/>
        <v>#DIV/0!</v>
      </c>
      <c r="W4" s="1131"/>
      <c r="X4" s="1131"/>
      <c r="Y4" s="1131"/>
      <c r="Z4" s="1131"/>
      <c r="AA4" s="1131"/>
      <c r="AB4" s="1131"/>
      <c r="AC4" s="1132"/>
      <c r="AD4" s="1133"/>
      <c r="AE4" s="1133"/>
      <c r="AF4" s="1133"/>
      <c r="AG4" s="1133"/>
      <c r="AH4" s="1133"/>
      <c r="AI4" s="1133"/>
      <c r="AJ4" s="1134"/>
    </row>
    <row r="5" spans="1:36" s="1854" customFormat="1" ht="15.75" thickBot="1">
      <c r="A5" s="1845" t="s">
        <v>362</v>
      </c>
      <c r="B5" s="1846" t="s">
        <v>1946</v>
      </c>
      <c r="C5" s="707" t="e">
        <f>ROUND(IF(E2="商业",C6*C7*C17+C20,(IF(E2="住宅",C6*C13*C17+C20,IF(E2="办公",C6*C12*C17+C20,C6+C20)))),0)</f>
        <v>#DIV/0!</v>
      </c>
      <c r="D5" s="1250" t="e">
        <f>ROUND(C6*C17+C20,0)</f>
        <v>#DIV/0!</v>
      </c>
      <c r="E5" s="1250"/>
      <c r="F5" s="1847"/>
      <c r="G5" s="1848"/>
      <c r="H5" s="1848"/>
      <c r="I5" s="1848"/>
      <c r="J5" s="1849"/>
      <c r="K5" s="1850"/>
      <c r="L5" s="1843" t="s">
        <v>1947</v>
      </c>
      <c r="M5" s="809">
        <f>SUMPRODUCT((区片价!B87:B126=I2)*(区片价!C3:G3=E2)*(区片价!C87:G126))</f>
        <v>0</v>
      </c>
      <c r="N5" s="811">
        <f>SUMPRODUCT((因素修正幅度!B87:B126=I2)*(因素修正幅度!C3:G3=E2)*(因素修正幅度!C87:G126))</f>
        <v>0</v>
      </c>
      <c r="O5" s="1054"/>
      <c r="P5" s="1054"/>
      <c r="Q5" s="1054"/>
      <c r="R5" s="1127">
        <v>4</v>
      </c>
      <c r="S5" s="3060">
        <f>ROUND(SUMPRODUCT((B106:B110=R5)*(C105:N105=G2)*(C106:N110)),4)</f>
        <v>0.88239999999999996</v>
      </c>
      <c r="T5" s="3060" t="e">
        <f t="shared" si="0"/>
        <v>#DIV/0!</v>
      </c>
      <c r="U5" s="1128"/>
      <c r="V5" s="3060" t="e">
        <f t="shared" si="1"/>
        <v>#DIV/0!</v>
      </c>
      <c r="W5" s="1131"/>
      <c r="X5" s="1131"/>
      <c r="Y5" s="1131"/>
      <c r="Z5" s="1131"/>
      <c r="AA5" s="1131"/>
      <c r="AB5" s="1131"/>
      <c r="AC5" s="1851"/>
      <c r="AD5" s="1852"/>
      <c r="AE5" s="1852"/>
      <c r="AF5" s="1852"/>
      <c r="AG5" s="1852"/>
      <c r="AH5" s="1852"/>
      <c r="AI5" s="1852"/>
      <c r="AJ5" s="1853"/>
    </row>
    <row r="6" spans="1:36" ht="15.75" thickBot="1">
      <c r="A6" s="1855" t="s">
        <v>1948</v>
      </c>
      <c r="B6" s="1856" t="s">
        <v>1949</v>
      </c>
      <c r="C6" s="708">
        <f>SUMIF(L1:L12,G2,M1:M12)</f>
        <v>0</v>
      </c>
      <c r="D6" s="1857"/>
      <c r="E6" s="1858"/>
      <c r="F6" s="1858"/>
      <c r="G6" s="1859"/>
      <c r="H6" s="1859"/>
      <c r="I6" s="1859"/>
      <c r="J6" s="1860"/>
      <c r="K6" s="1290"/>
      <c r="L6" s="1843" t="s">
        <v>1950</v>
      </c>
      <c r="M6" s="809">
        <f>SUMPRODUCT((区片价!B127:B189=I2)*(区片价!C3:G3=E2)*(区片价!C127:G189))</f>
        <v>0</v>
      </c>
      <c r="N6" s="811">
        <f>SUMPRODUCT((因素修正幅度!B127:B189=I2)*(因素修正幅度!C3:G3=E2)*(因素修正幅度!C127:G189))</f>
        <v>0</v>
      </c>
      <c r="O6" s="1054"/>
      <c r="P6" s="1054"/>
      <c r="Q6" s="1054"/>
      <c r="R6" s="1127">
        <v>5</v>
      </c>
      <c r="S6" s="3060">
        <f>ROUND(SUMPRODUCT((B106:B110=R6)*(C105:N105=G2)*(C106:N110)),4)</f>
        <v>0.84799999999999998</v>
      </c>
      <c r="T6" s="3060" t="e">
        <f t="shared" si="0"/>
        <v>#DIV/0!</v>
      </c>
      <c r="U6" s="1128"/>
      <c r="V6" s="3060" t="e">
        <f t="shared" si="1"/>
        <v>#DIV/0!</v>
      </c>
      <c r="W6" s="1131"/>
      <c r="X6" s="1131"/>
      <c r="Y6" s="1131"/>
      <c r="Z6" s="1131"/>
      <c r="AA6" s="1131"/>
      <c r="AB6" s="1131"/>
      <c r="AC6" s="1851"/>
      <c r="AD6" s="1852"/>
      <c r="AE6" s="1852"/>
      <c r="AF6" s="1852"/>
      <c r="AG6" s="1852"/>
      <c r="AH6" s="1852"/>
      <c r="AI6" s="1852"/>
      <c r="AJ6" s="1853"/>
    </row>
    <row r="7" spans="1:36" ht="24.75" thickBot="1">
      <c r="A7" s="3009" t="s">
        <v>3227</v>
      </c>
      <c r="B7" s="1861" t="s">
        <v>1951</v>
      </c>
      <c r="C7" s="709" t="e">
        <f>IF(C8="不临65条商业街",1,ROUND(1+(1.6*E8+1.2*E9+0.8*E10+0.4*E11)*C9,4))</f>
        <v>#DIV/0!</v>
      </c>
      <c r="D7" s="1862" t="s">
        <v>1952</v>
      </c>
      <c r="E7" s="728"/>
      <c r="F7" s="1863"/>
      <c r="G7" s="1864"/>
      <c r="H7" s="1864"/>
      <c r="I7" s="1864"/>
      <c r="J7" s="1865"/>
      <c r="K7" s="1290"/>
      <c r="L7" s="1843" t="s">
        <v>1953</v>
      </c>
      <c r="M7" s="809">
        <f>SUMPRODUCT((区片价!B190:B233=I2)*(区片价!C3:G3=E2)*(区片价!C190:G233))</f>
        <v>0</v>
      </c>
      <c r="N7" s="811">
        <f>SUMPRODUCT((因素修正幅度!B190:B233=I2)*(因素修正幅度!C3:G3=E2)*(因素修正幅度!C190:G233))</f>
        <v>0</v>
      </c>
      <c r="O7" s="1054"/>
      <c r="P7" s="1054"/>
      <c r="Q7" s="1054"/>
      <c r="R7" s="1127">
        <v>6</v>
      </c>
      <c r="S7" s="3114"/>
      <c r="T7" s="3060" t="e">
        <f t="shared" si="0"/>
        <v>#DIV/0!</v>
      </c>
      <c r="U7" s="1128"/>
      <c r="V7" s="3060" t="e">
        <f t="shared" si="1"/>
        <v>#DIV/0!</v>
      </c>
      <c r="W7" s="1265" t="s">
        <v>1954</v>
      </c>
      <c r="X7" s="1129" t="str">
        <f>G2</f>
        <v>六级</v>
      </c>
      <c r="Y7" s="1129" t="s">
        <v>1955</v>
      </c>
      <c r="Z7" s="1130">
        <f>G3</f>
        <v>1.05</v>
      </c>
      <c r="AA7" s="1131"/>
      <c r="AB7" s="1131"/>
      <c r="AC7" s="1132"/>
      <c r="AD7" s="1133"/>
      <c r="AE7" s="1133"/>
      <c r="AF7" s="1133"/>
      <c r="AG7" s="1133"/>
      <c r="AH7" s="1133"/>
      <c r="AI7" s="1133"/>
      <c r="AJ7" s="1134"/>
    </row>
    <row r="8" spans="1:36" ht="15">
      <c r="A8" s="3006"/>
      <c r="B8" s="162" t="s">
        <v>1956</v>
      </c>
      <c r="C8" s="1866"/>
      <c r="D8" s="710" t="s">
        <v>112</v>
      </c>
      <c r="E8" s="711" t="e">
        <f>ROUND(C11/E7,4)</f>
        <v>#DIV/0!</v>
      </c>
      <c r="F8" s="1867" t="s">
        <v>1957</v>
      </c>
      <c r="G8" s="1868"/>
      <c r="H8" s="1868"/>
      <c r="I8" s="1868"/>
      <c r="J8" s="1869"/>
      <c r="K8" s="1054"/>
      <c r="L8" s="1843" t="s">
        <v>1958</v>
      </c>
      <c r="M8" s="809">
        <f>SUMPRODUCT((区片价!B234:B276=I2)*(区片价!C3:G3=E2)*(区片价!C234:G276))</f>
        <v>0</v>
      </c>
      <c r="N8" s="811">
        <f>SUMPRODUCT((因素修正幅度!B234:B276=I2)*(因素修正幅度!C3:G3=E2)*(因素修正幅度!C234:G276))</f>
        <v>0</v>
      </c>
      <c r="O8" s="1054"/>
      <c r="P8" s="1054"/>
      <c r="Q8" s="1054"/>
      <c r="R8" s="1127">
        <v>7</v>
      </c>
      <c r="S8" s="1128"/>
      <c r="T8" s="3060" t="e">
        <f t="shared" si="0"/>
        <v>#DIV/0!</v>
      </c>
      <c r="U8" s="1128"/>
      <c r="V8" s="3060" t="e">
        <f t="shared" si="1"/>
        <v>#DIV/0!</v>
      </c>
      <c r="W8" s="3484" t="s">
        <v>1959</v>
      </c>
      <c r="X8" s="3485"/>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6"/>
      <c r="B9" s="162" t="s">
        <v>1972</v>
      </c>
      <c r="C9" s="712">
        <f>SUMIF(修正!C71:C138,C8,修正!E71:E138)</f>
        <v>0</v>
      </c>
      <c r="D9" s="163" t="s">
        <v>113</v>
      </c>
      <c r="E9" s="163" t="e">
        <f>ROUND(C11/E7,4)</f>
        <v>#DIV/0!</v>
      </c>
      <c r="F9" s="1867" t="s">
        <v>1973</v>
      </c>
      <c r="G9" s="1868"/>
      <c r="H9" s="1868"/>
      <c r="I9" s="1868"/>
      <c r="J9" s="1869"/>
      <c r="K9" s="1054"/>
      <c r="L9" s="1843" t="s">
        <v>1974</v>
      </c>
      <c r="M9" s="809">
        <f>SUMPRODUCT((区片价!B277:B326=I2)*(区片价!C3:G3=E2)*(区片价!C277:G326))</f>
        <v>0</v>
      </c>
      <c r="N9" s="811">
        <f>SUMPRODUCT((因素修正幅度!B277:B326=I2)*(因素修正幅度!C3:G3=E2)*(因素修正幅度!C277:G326))</f>
        <v>0</v>
      </c>
      <c r="O9" s="1054"/>
      <c r="P9" s="1054"/>
      <c r="Q9" s="1054"/>
      <c r="R9" s="1127">
        <v>8</v>
      </c>
      <c r="S9" s="1128"/>
      <c r="T9" s="3060" t="e">
        <f t="shared" si="0"/>
        <v>#DIV/0!</v>
      </c>
      <c r="U9" s="1128"/>
      <c r="V9" s="3060" t="e">
        <f t="shared" si="1"/>
        <v>#DIV/0!</v>
      </c>
      <c r="W9" s="3486"/>
      <c r="X9" s="3061" t="s">
        <v>3258</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1975</v>
      </c>
      <c r="C10" s="163">
        <f>SUMIF(修正!C71:C138,C8,修正!F71:F138)</f>
        <v>0</v>
      </c>
      <c r="D10" s="163" t="s">
        <v>114</v>
      </c>
      <c r="E10" s="163" t="e">
        <f>ROUND(C11/E7,4)</f>
        <v>#DIV/0!</v>
      </c>
      <c r="F10" s="1867" t="s">
        <v>1976</v>
      </c>
      <c r="G10" s="1868"/>
      <c r="H10" s="1868"/>
      <c r="I10" s="1868"/>
      <c r="J10" s="1869"/>
      <c r="K10" s="1054"/>
      <c r="L10" s="1843" t="s">
        <v>1977</v>
      </c>
      <c r="M10" s="809">
        <f>SUMPRODUCT((区片价!B327:B357=I2)*(区片价!C3:G3=E2)*(区片价!C327:G357))</f>
        <v>0</v>
      </c>
      <c r="N10" s="811">
        <f>SUMPRODUCT((因素修正幅度!B327:B357=I2)*(因素修正幅度!C3:G3=E2)*(因素修正幅度!C327:G357))</f>
        <v>0</v>
      </c>
      <c r="O10" s="1054"/>
      <c r="P10" s="1054"/>
      <c r="Q10" s="1054"/>
      <c r="R10" s="1127">
        <v>9</v>
      </c>
      <c r="S10" s="1128"/>
      <c r="T10" s="3060" t="e">
        <f t="shared" si="0"/>
        <v>#DIV/0!</v>
      </c>
      <c r="U10" s="1128"/>
      <c r="V10" s="3060" t="e">
        <f t="shared" si="1"/>
        <v>#DIV/0!</v>
      </c>
      <c r="W10" s="3486"/>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1978</v>
      </c>
      <c r="C11" s="713">
        <f>C10/4</f>
        <v>0</v>
      </c>
      <c r="D11" s="713" t="s">
        <v>115</v>
      </c>
      <c r="E11" s="713" t="e">
        <f>ROUND(C11/E7,4)</f>
        <v>#DIV/0!</v>
      </c>
      <c r="F11" s="1871" t="s">
        <v>1979</v>
      </c>
      <c r="G11" s="1872"/>
      <c r="H11" s="1872"/>
      <c r="I11" s="1872"/>
      <c r="J11" s="1873"/>
      <c r="K11" s="1054"/>
      <c r="L11" s="1843" t="s">
        <v>1980</v>
      </c>
      <c r="M11" s="809">
        <f>SUMPRODUCT((区片价!B358:B377=I2)*(区片价!C3:G3=E2)*(区片价!C358:G377))</f>
        <v>0</v>
      </c>
      <c r="N11" s="811">
        <f>SUMPRODUCT((因素修正幅度!B358:B377=I2)*(因素修正幅度!C3:G3=E2)*(因素修正幅度!C358:G377))</f>
        <v>0</v>
      </c>
      <c r="O11" s="1054"/>
      <c r="P11" s="1054"/>
      <c r="Q11" s="1054"/>
      <c r="R11" s="1127">
        <v>10</v>
      </c>
      <c r="S11" s="1128"/>
      <c r="T11" s="3060" t="e">
        <f t="shared" si="0"/>
        <v>#DIV/0!</v>
      </c>
      <c r="U11" s="1128"/>
      <c r="V11" s="3060" t="e">
        <f t="shared" si="1"/>
        <v>#DIV/0!</v>
      </c>
      <c r="W11" s="1131"/>
      <c r="X11" s="1131"/>
      <c r="Y11" s="1131"/>
      <c r="Z11" s="1131"/>
      <c r="AA11" s="1131"/>
      <c r="AB11" s="1131"/>
      <c r="AC11" s="1132"/>
      <c r="AD11" s="2550"/>
      <c r="AE11" s="2550"/>
      <c r="AF11" s="2550"/>
      <c r="AG11" s="2550"/>
      <c r="AH11" s="2550"/>
      <c r="AI11" s="2550"/>
      <c r="AJ11" s="2551"/>
    </row>
    <row r="12" spans="1:36" ht="25.5" thickBot="1">
      <c r="A12" s="3009" t="s">
        <v>3228</v>
      </c>
      <c r="B12" s="3010" t="s">
        <v>3229</v>
      </c>
      <c r="C12" s="3011"/>
      <c r="D12" s="3012" t="s">
        <v>3230</v>
      </c>
      <c r="E12" s="3013" t="s">
        <v>3231</v>
      </c>
      <c r="F12" s="3014"/>
      <c r="G12" s="3015"/>
      <c r="H12" s="3015"/>
      <c r="I12" s="3015"/>
      <c r="J12" s="3016"/>
      <c r="K12" s="1054"/>
      <c r="L12" s="1792" t="s">
        <v>1983</v>
      </c>
      <c r="M12" s="810">
        <f>SUMPRODUCT((区片价!B378:B384=I2)*(区片价!C3:G3=E2)*(区片价!C378:G384))</f>
        <v>0</v>
      </c>
      <c r="N12" s="811">
        <f>SUMPRODUCT((因素修正幅度!B378:B384=I2)*(因素修正幅度!C3:G3=E2)*(因素修正幅度!C378:G384))</f>
        <v>0</v>
      </c>
      <c r="O12" s="1054"/>
      <c r="P12" s="1054"/>
      <c r="Q12" s="1054"/>
      <c r="R12" s="1127">
        <v>11</v>
      </c>
      <c r="S12" s="1128"/>
      <c r="T12" s="3060" t="e">
        <f t="shared" si="0"/>
        <v>#DIV/0!</v>
      </c>
      <c r="U12" s="1128"/>
      <c r="V12" s="3060" t="e">
        <f t="shared" si="1"/>
        <v>#DIV/0!</v>
      </c>
      <c r="W12" s="1131"/>
      <c r="X12" s="1131"/>
      <c r="Y12" s="1131"/>
      <c r="Z12" s="1131"/>
      <c r="AA12" s="1131"/>
      <c r="AB12" s="1131"/>
      <c r="AC12" s="1132"/>
      <c r="AD12" s="2550"/>
      <c r="AE12" s="2550"/>
      <c r="AF12" s="2550"/>
      <c r="AG12" s="2550"/>
      <c r="AH12" s="2550"/>
      <c r="AI12" s="2550"/>
      <c r="AJ12" s="2551"/>
    </row>
    <row r="13" spans="1:36" ht="15.75" thickBot="1">
      <c r="A13" s="3009" t="s">
        <v>3232</v>
      </c>
      <c r="B13" s="1874" t="s">
        <v>1981</v>
      </c>
      <c r="C13" s="709">
        <f>ROUND(C16*D16*E16*F16*G16*H16*I16*J16,4)</f>
        <v>0</v>
      </c>
      <c r="D13" s="1875" t="s">
        <v>1982</v>
      </c>
      <c r="E13" s="1876"/>
      <c r="F13" s="1876"/>
      <c r="G13" s="1877"/>
      <c r="H13" s="1877"/>
      <c r="I13" s="1877"/>
      <c r="J13" s="1878"/>
      <c r="K13" s="1054"/>
      <c r="L13" s="3"/>
      <c r="M13" s="4"/>
      <c r="N13" s="3007"/>
      <c r="O13" s="1054"/>
      <c r="P13" s="1054"/>
      <c r="Q13" s="1054"/>
      <c r="R13" s="1127">
        <v>12</v>
      </c>
      <c r="S13" s="1128"/>
      <c r="T13" s="3060" t="e">
        <f t="shared" si="0"/>
        <v>#DIV/0!</v>
      </c>
      <c r="U13" s="1128"/>
      <c r="V13" s="3060" t="e">
        <f t="shared" si="1"/>
        <v>#DIV/0!</v>
      </c>
      <c r="W13" s="1131"/>
      <c r="X13" s="1131"/>
      <c r="Y13" s="1131"/>
      <c r="Z13" s="1131"/>
      <c r="AA13" s="1131"/>
      <c r="AB13" s="1131"/>
      <c r="AC13" s="1132"/>
      <c r="AD13" s="2550"/>
      <c r="AE13" s="2550"/>
      <c r="AF13" s="2550"/>
      <c r="AG13" s="2550"/>
      <c r="AH13" s="2550"/>
      <c r="AI13" s="2550"/>
      <c r="AJ13" s="2551"/>
    </row>
    <row r="14" spans="1:36" ht="15">
      <c r="A14" s="3005"/>
      <c r="B14" s="1879" t="s">
        <v>1984</v>
      </c>
      <c r="C14" s="1880" t="s">
        <v>1985</v>
      </c>
      <c r="D14" s="1259" t="s">
        <v>1986</v>
      </c>
      <c r="E14" s="27" t="s">
        <v>1987</v>
      </c>
      <c r="F14" s="3017" t="s">
        <v>3233</v>
      </c>
      <c r="G14" s="3017" t="s">
        <v>3233</v>
      </c>
      <c r="H14" s="3017" t="s">
        <v>3233</v>
      </c>
      <c r="I14" s="3017" t="s">
        <v>3233</v>
      </c>
      <c r="J14" s="3017" t="s">
        <v>3233</v>
      </c>
      <c r="K14" s="1054"/>
      <c r="L14" s="1054"/>
      <c r="M14" s="1054"/>
      <c r="N14" s="1054"/>
      <c r="O14" s="1054"/>
      <c r="P14" s="1054"/>
      <c r="Q14" s="1054"/>
      <c r="R14" s="1127">
        <v>13</v>
      </c>
      <c r="S14" s="1128"/>
      <c r="T14" s="3060" t="e">
        <f t="shared" si="0"/>
        <v>#DIV/0!</v>
      </c>
      <c r="U14" s="1128"/>
      <c r="V14" s="3060" t="e">
        <f t="shared" si="1"/>
        <v>#DIV/0!</v>
      </c>
      <c r="W14" s="1131"/>
      <c r="X14" s="1131"/>
      <c r="Y14" s="1131"/>
      <c r="Z14" s="1131"/>
      <c r="AA14" s="1131"/>
      <c r="AB14" s="1131"/>
      <c r="AC14" s="1132"/>
      <c r="AD14" s="2550"/>
      <c r="AE14" s="2550"/>
      <c r="AF14" s="2550"/>
      <c r="AG14" s="2550"/>
      <c r="AH14" s="2550"/>
      <c r="AI14" s="2550"/>
      <c r="AJ14" s="2551"/>
    </row>
    <row r="15" spans="1:36" ht="15">
      <c r="A15" s="3005"/>
      <c r="B15" s="1881"/>
      <c r="C15" s="1882"/>
      <c r="D15" s="1883"/>
      <c r="E15" s="1884"/>
      <c r="F15" s="1468" t="s">
        <v>3234</v>
      </c>
      <c r="G15" s="1924"/>
      <c r="H15" s="3018"/>
      <c r="I15" s="3019"/>
      <c r="J15" s="3020"/>
      <c r="K15" s="1054"/>
      <c r="L15" s="1054"/>
      <c r="M15" s="1054"/>
      <c r="N15" s="1054"/>
      <c r="O15" s="1054"/>
      <c r="P15" s="1054"/>
      <c r="Q15" s="1054"/>
      <c r="R15" s="1127">
        <v>14</v>
      </c>
      <c r="S15" s="1128"/>
      <c r="T15" s="3060" t="e">
        <f t="shared" si="0"/>
        <v>#DIV/0!</v>
      </c>
      <c r="U15" s="1128"/>
      <c r="V15" s="3060" t="e">
        <f t="shared" si="1"/>
        <v>#DIV/0!</v>
      </c>
      <c r="W15" s="1131"/>
      <c r="X15" s="1131"/>
      <c r="Y15" s="1131"/>
      <c r="Z15" s="1131"/>
      <c r="AA15" s="1131"/>
      <c r="AB15" s="1131"/>
      <c r="AC15" s="1132"/>
      <c r="AD15" s="2550"/>
      <c r="AE15" s="2550"/>
      <c r="AF15" s="2550"/>
      <c r="AG15" s="2550"/>
      <c r="AH15" s="2550"/>
      <c r="AI15" s="2550"/>
      <c r="AJ15" s="2551"/>
    </row>
    <row r="16" spans="1:36" ht="15.75" thickBot="1">
      <c r="A16" s="3005"/>
      <c r="B16" s="3023" t="s">
        <v>1988</v>
      </c>
      <c r="C16" s="3021"/>
      <c r="D16" s="3021"/>
      <c r="E16" s="3021"/>
      <c r="F16" s="3021">
        <v>1</v>
      </c>
      <c r="G16" s="3021">
        <v>1</v>
      </c>
      <c r="H16" s="3021">
        <v>1</v>
      </c>
      <c r="I16" s="3021">
        <v>1</v>
      </c>
      <c r="J16" s="3022">
        <v>1</v>
      </c>
      <c r="K16" s="1054"/>
      <c r="L16" s="1840"/>
      <c r="M16" s="1840"/>
      <c r="N16" s="1840"/>
      <c r="O16" s="1840"/>
      <c r="P16" s="1840"/>
      <c r="Q16" s="1054"/>
      <c r="R16" s="1127">
        <v>15</v>
      </c>
      <c r="S16" s="1128"/>
      <c r="T16" s="3060" t="e">
        <f t="shared" si="0"/>
        <v>#DIV/0!</v>
      </c>
      <c r="U16" s="1128"/>
      <c r="V16" s="3060" t="e">
        <f t="shared" si="1"/>
        <v>#DIV/0!</v>
      </c>
      <c r="W16" s="1131"/>
      <c r="X16" s="1131"/>
      <c r="Y16" s="1131"/>
      <c r="Z16" s="1131"/>
      <c r="AA16" s="1131"/>
      <c r="AB16" s="1131"/>
      <c r="AC16" s="1132"/>
      <c r="AD16" s="2550"/>
      <c r="AE16" s="2550"/>
      <c r="AF16" s="2550"/>
      <c r="AG16" s="2550"/>
      <c r="AH16" s="2550"/>
      <c r="AI16" s="2550"/>
      <c r="AJ16" s="2551"/>
    </row>
    <row r="17" spans="1:37">
      <c r="A17" s="3032" t="s">
        <v>3235</v>
      </c>
      <c r="B17" s="3024" t="s">
        <v>3236</v>
      </c>
      <c r="C17" s="3033">
        <f>ROUND(IF(OR(E2="工业",E2="公共服务"),1,IF(AND(E18=0,E19=0),1,IF(AND(E18=J24,E19=G19),0.8,IF(E19=0,1+E17*(-0.2),1+E17*G17*(-0.2))))),4)</f>
        <v>1</v>
      </c>
      <c r="D17" s="3025" t="s">
        <v>3237</v>
      </c>
      <c r="E17" s="3033" t="e">
        <f>ROUND(G18/I18,2)</f>
        <v>#DIV/0!</v>
      </c>
      <c r="F17" s="3025" t="s">
        <v>3240</v>
      </c>
      <c r="G17" s="3033" t="e">
        <f>ROUND(E19/G19,2)</f>
        <v>#DIV/0!</v>
      </c>
      <c r="H17" s="3033"/>
      <c r="I17" s="3033"/>
      <c r="J17" s="3034"/>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4.25">
      <c r="A18" s="3035"/>
      <c r="B18" s="2306"/>
      <c r="C18" s="3031"/>
      <c r="D18" s="3026" t="s">
        <v>3238</v>
      </c>
      <c r="E18" s="2353"/>
      <c r="F18" s="3027" t="s">
        <v>3241</v>
      </c>
      <c r="G18" s="3031">
        <f>ROUND(1-(1/(POWER(1+G24,E18))),4)</f>
        <v>0</v>
      </c>
      <c r="H18" s="3027" t="s">
        <v>3243</v>
      </c>
      <c r="I18" s="3031">
        <f>ROUND(1-(1/(POWER(1+G24,J24))),4)</f>
        <v>0</v>
      </c>
      <c r="J18" s="3036"/>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9"/>
    </row>
    <row r="19" spans="1:37" s="1854" customFormat="1" ht="15" thickBot="1">
      <c r="A19" s="3037"/>
      <c r="B19" s="3038"/>
      <c r="C19" s="3039"/>
      <c r="D19" s="3039" t="s">
        <v>3239</v>
      </c>
      <c r="E19" s="3040"/>
      <c r="F19" s="3041" t="s">
        <v>3242</v>
      </c>
      <c r="G19" s="3040"/>
      <c r="H19" s="3039"/>
      <c r="I19" s="3039"/>
      <c r="J19" s="3042"/>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52"/>
      <c r="AH19" s="1976"/>
      <c r="AI19" s="559"/>
      <c r="AJ19" s="559"/>
      <c r="AK19" s="1895"/>
    </row>
    <row r="20" spans="1:37" s="1854" customFormat="1" ht="14.25">
      <c r="A20" s="3491" t="s">
        <v>3244</v>
      </c>
      <c r="B20" s="159" t="s">
        <v>1993</v>
      </c>
      <c r="C20" s="3028" t="e">
        <f>ROUND(IF(F21="与级别开发程度一致",0,(G21-E21)/C21),0)</f>
        <v>#DIV/0!</v>
      </c>
      <c r="D20" s="3043" t="s">
        <v>1997</v>
      </c>
      <c r="E20" s="3044"/>
      <c r="F20" s="3497" t="s">
        <v>1994</v>
      </c>
      <c r="G20" s="3498"/>
      <c r="H20" s="3029"/>
      <c r="I20" s="3029"/>
      <c r="J20" s="3030"/>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9"/>
      <c r="AH20" s="2549"/>
      <c r="AI20" s="2549"/>
      <c r="AJ20" s="2549"/>
    </row>
    <row r="21" spans="1:37" s="1854" customFormat="1" ht="15" thickBot="1">
      <c r="A21" s="3492"/>
      <c r="B21" s="1998" t="s">
        <v>1996</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315</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8"/>
      <c r="S21" s="1058"/>
      <c r="T21" s="1055"/>
      <c r="U21" s="1055"/>
      <c r="V21" s="1055"/>
      <c r="W21" s="1054"/>
      <c r="X21" s="1054"/>
      <c r="Y21" s="1054"/>
      <c r="Z21" s="1059"/>
      <c r="AA21" s="1059"/>
      <c r="AB21" s="1059"/>
      <c r="AC21" s="1059"/>
      <c r="AD21" s="1059"/>
      <c r="AE21" s="1059"/>
      <c r="AF21" s="1059"/>
      <c r="AG21" s="2549"/>
      <c r="AH21" s="2549"/>
      <c r="AI21" s="2549"/>
      <c r="AJ21" s="2549"/>
    </row>
    <row r="22" spans="1:37" s="1854" customFormat="1" ht="15.75" thickBot="1">
      <c r="A22" s="1992" t="s">
        <v>363</v>
      </c>
      <c r="B22" s="1993" t="s">
        <v>1999</v>
      </c>
      <c r="C22" s="1994">
        <f>SUMIF(修正!C20:C51,E3,修正!E20:E51)</f>
        <v>0</v>
      </c>
      <c r="D22" s="1995"/>
      <c r="E22" s="1996"/>
      <c r="F22" s="1996"/>
      <c r="G22" s="1996"/>
      <c r="H22" s="1996"/>
      <c r="I22" s="1996"/>
      <c r="J22" s="1997"/>
      <c r="K22" s="1059"/>
      <c r="L22" s="2549"/>
      <c r="M22" s="2549"/>
      <c r="N22" s="2549"/>
      <c r="O22" s="1057"/>
      <c r="P22" s="1057"/>
      <c r="Q22" s="2549"/>
      <c r="R22" s="1058"/>
      <c r="S22" s="1058"/>
      <c r="T22" s="1055"/>
      <c r="U22" s="1055"/>
      <c r="V22" s="1055"/>
      <c r="W22" s="1054"/>
      <c r="X22" s="1054"/>
      <c r="Y22" s="1054"/>
      <c r="Z22" s="1059"/>
      <c r="AA22" s="1059"/>
      <c r="AB22" s="1059"/>
      <c r="AC22" s="1059"/>
      <c r="AD22" s="1059"/>
      <c r="AE22" s="1059"/>
      <c r="AF22" s="1059"/>
      <c r="AG22" s="2549"/>
      <c r="AH22" s="2549"/>
      <c r="AI22" s="2549"/>
      <c r="AJ22" s="2549"/>
    </row>
    <row r="23" spans="1:37" ht="26.25" thickBot="1">
      <c r="A23" s="1888" t="s">
        <v>364</v>
      </c>
      <c r="B23" s="1889" t="s">
        <v>2000</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2" t="s">
        <v>2001</v>
      </c>
      <c r="E23" s="715">
        <v>44197</v>
      </c>
      <c r="F23" s="1892" t="s">
        <v>2002</v>
      </c>
      <c r="G23" s="716">
        <f>'数据-取费表'!B2</f>
        <v>45803</v>
      </c>
      <c r="H23" s="3045" t="s">
        <v>3246</v>
      </c>
      <c r="I23" s="3046" t="str">
        <f>IF(H23="季度增幅（自定义）",SUMIF(N25:N28,E2,O25:O28),"")</f>
        <v/>
      </c>
      <c r="J23" s="3138" t="s">
        <v>3245</v>
      </c>
      <c r="K23" s="1059"/>
      <c r="L23" s="1893" t="s">
        <v>2003</v>
      </c>
      <c r="M23" s="1239">
        <f>ROUND(SUMIF(地价!B2:G2,E2,地价!B16:G16),0)</f>
        <v>0</v>
      </c>
      <c r="N23" s="1894" t="s">
        <v>2004</v>
      </c>
      <c r="O23" s="717">
        <f>ROUNDDOWN(DATEDIF(E23,G23,"M")/3,0)</f>
        <v>17</v>
      </c>
      <c r="P23" s="1055"/>
      <c r="Q23" s="2549"/>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75" thickBot="1">
      <c r="A24" s="1896" t="s">
        <v>365</v>
      </c>
      <c r="B24" s="1897" t="s">
        <v>2005</v>
      </c>
      <c r="C24" s="718" t="e">
        <f>ROUND(POWER(1+G24,J24-I24)*(POWER(1+G24,I24)-1)/(POWER(1+G24,J24)-1),4)</f>
        <v>#DIV/0!</v>
      </c>
      <c r="D24" s="1898" t="s">
        <v>2006</v>
      </c>
      <c r="E24" s="1246">
        <f>存贷款利率!E28/100</f>
        <v>4.3499999999999997E-2</v>
      </c>
      <c r="F24" s="1898" t="s">
        <v>1998</v>
      </c>
      <c r="G24" s="722">
        <f>SUMIF(M30:Q30,E2,M33:Q33)</f>
        <v>0</v>
      </c>
      <c r="H24" s="1898" t="s">
        <v>2007</v>
      </c>
      <c r="I24" s="723" t="e">
        <f>SUMIF('数据-取费表'!C6:C15,E2,'数据-取费表'!F6:F15)/COUNTIF('数据-取费表'!C6:C15,E2)</f>
        <v>#DIV/0!</v>
      </c>
      <c r="J24" s="724">
        <f>IF(E2="住宅",70,IF(E2="商业",40,50))</f>
        <v>50</v>
      </c>
      <c r="K24" s="1059"/>
      <c r="L24" s="1899" t="s">
        <v>2008</v>
      </c>
      <c r="M24" s="1240">
        <f>ROUND(SUMPRODUCT((地价!A4:A16=YEAR(G23)&amp;"-"&amp;ROUNDUP(MONTH(G23)/3,0))*(地价!B2:G2=E2)*(地价!B4:G16)),0)</f>
        <v>0</v>
      </c>
      <c r="N24" s="1900" t="s">
        <v>2009</v>
      </c>
      <c r="O24" s="1901" t="s">
        <v>2010</v>
      </c>
      <c r="P24" s="1902" t="s">
        <v>2011</v>
      </c>
      <c r="Q24" s="1840"/>
      <c r="R24" s="1058"/>
      <c r="S24" s="1058"/>
      <c r="T24" s="1055"/>
      <c r="U24" s="1055"/>
      <c r="V24" s="1055"/>
      <c r="W24" s="1054"/>
      <c r="X24" s="1054"/>
      <c r="Y24" s="1054"/>
      <c r="Z24" s="1059"/>
      <c r="AA24" s="1059"/>
      <c r="AB24" s="1059"/>
      <c r="AC24" s="1059"/>
      <c r="AD24" s="1059"/>
      <c r="AE24" s="1059"/>
      <c r="AF24" s="1059"/>
      <c r="AG24" s="2549"/>
      <c r="AH24" s="2549"/>
      <c r="AI24" s="2549"/>
      <c r="AJ24" s="2549"/>
    </row>
    <row r="25" spans="1:37" ht="15">
      <c r="A25" s="1903" t="s">
        <v>366</v>
      </c>
      <c r="B25" s="1904" t="s">
        <v>3325</v>
      </c>
      <c r="C25" s="459">
        <f>IF(B25="容积率修正",IF(G3&lt;10,D26,J26),C27)</f>
        <v>1.0434000000000001</v>
      </c>
      <c r="D25" s="1905"/>
      <c r="E25" s="1905"/>
      <c r="F25" s="1905"/>
      <c r="G25" s="1905"/>
      <c r="H25" s="1905"/>
      <c r="I25" s="1905"/>
      <c r="J25" s="1906"/>
      <c r="K25" s="1059"/>
      <c r="L25" s="2549"/>
      <c r="M25" s="2549"/>
      <c r="N25" s="1907" t="s">
        <v>2012</v>
      </c>
      <c r="O25" s="1091"/>
      <c r="P25" s="1092">
        <f>SUMPRODUCT((地价!A3:A40=YEAR(G23)&amp;"-"&amp;ROUNDUP(MONTH(G23)/3,0))*(地价!AD2:AH2=N25)*(地价!AD3:AH40))</f>
        <v>0</v>
      </c>
      <c r="Q25" s="2549"/>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25">
      <c r="A26" s="1802" t="s">
        <v>2013</v>
      </c>
      <c r="B26" s="1908" t="s">
        <v>2014</v>
      </c>
      <c r="C26" s="1908" t="s">
        <v>3247</v>
      </c>
      <c r="D26" s="1261">
        <f>IF(E26=G26,F26,IF(G3&lt;10,ROUND(F26+(H26-F26)*(G3-E26)/(G26-E26),4),"——"))</f>
        <v>1.0434000000000001</v>
      </c>
      <c r="E26" s="706">
        <f>ROUNDDOWN(G3,1)</f>
        <v>1</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6">
        <f>ROUNDUP(G3,1)</f>
        <v>1.1000000000000001</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1.0284</v>
      </c>
      <c r="I26" s="1908" t="s">
        <v>3248</v>
      </c>
      <c r="J26" s="374" t="str">
        <f>IF(G3&gt;=10,D115,"——")</f>
        <v>——</v>
      </c>
      <c r="K26" s="1059"/>
      <c r="L26" s="2549"/>
      <c r="M26" s="2549"/>
      <c r="N26" s="1907" t="s">
        <v>2015</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75" thickBot="1">
      <c r="A27" s="1802" t="s">
        <v>2016</v>
      </c>
      <c r="B27" s="1909" t="s">
        <v>2017</v>
      </c>
      <c r="C27" s="789">
        <f>ROUND(IF(I3&lt;6,SUMPRODUCT((B106:B110=I3)*(C105:N105=G2)*(C106:N110)),SUMIF(C105:N105,G2,C112:N112)),4)</f>
        <v>0</v>
      </c>
      <c r="D27" s="1838"/>
      <c r="E27" s="1838"/>
      <c r="F27" s="1910"/>
      <c r="G27" s="1911"/>
      <c r="H27" s="1912"/>
      <c r="I27" s="1913"/>
      <c r="J27" s="1914"/>
      <c r="K27" s="1054"/>
      <c r="L27" s="1840"/>
      <c r="M27" s="1840"/>
      <c r="N27" s="1907" t="s">
        <v>2018</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75" thickBot="1">
      <c r="A28" s="1896" t="s">
        <v>367</v>
      </c>
      <c r="B28" s="1889" t="s">
        <v>2019</v>
      </c>
      <c r="C28" s="714">
        <f>SUMIF(A47:A101,E2,B47:B101)</f>
        <v>0</v>
      </c>
      <c r="D28" s="1890"/>
      <c r="E28" s="1915"/>
      <c r="F28" s="1915"/>
      <c r="G28" s="1915"/>
      <c r="H28" s="1915"/>
      <c r="I28" s="1915"/>
      <c r="J28" s="1916"/>
      <c r="K28" s="1059"/>
      <c r="L28" s="2549"/>
      <c r="M28" s="2549"/>
      <c r="N28" s="1917"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75" thickBot="1">
      <c r="A29" s="1896" t="s">
        <v>368</v>
      </c>
      <c r="B29" s="1918" t="s">
        <v>2021</v>
      </c>
      <c r="C29" s="719"/>
      <c r="D29" s="1864"/>
      <c r="E29" s="1864"/>
      <c r="F29" s="1919"/>
      <c r="G29" s="1864"/>
      <c r="H29" s="1864"/>
      <c r="I29" s="1864"/>
      <c r="J29" s="1865"/>
      <c r="K29" s="1054"/>
      <c r="L29" s="1840"/>
      <c r="M29" s="1840"/>
      <c r="N29" s="2546" t="s">
        <v>2022</v>
      </c>
      <c r="O29" s="2547"/>
      <c r="P29" s="2548">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5">
      <c r="A30" s="1920"/>
      <c r="B30" s="1908" t="s">
        <v>2023</v>
      </c>
      <c r="C30" s="2141" t="e">
        <f>IF(B25="容积率修正",E33+SUM(E37:E42),SUM(V2:V16)+SUM(E37:E42))</f>
        <v>#DIV/0!</v>
      </c>
      <c r="D30" s="1921"/>
      <c r="E30" s="1838"/>
      <c r="F30" s="1922"/>
      <c r="G30" s="1838"/>
      <c r="H30" s="1838"/>
      <c r="I30" s="1838"/>
      <c r="J30" s="1923"/>
      <c r="K30" s="1054"/>
      <c r="L30" s="3052" t="s">
        <v>1935</v>
      </c>
      <c r="M30" s="3053" t="s">
        <v>1989</v>
      </c>
      <c r="N30" s="3053" t="s">
        <v>1990</v>
      </c>
      <c r="O30" s="3053" t="s">
        <v>1991</v>
      </c>
      <c r="P30" s="3053" t="s">
        <v>1992</v>
      </c>
      <c r="Q30" s="3056" t="s">
        <v>3252</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75" thickBot="1">
      <c r="A31" s="1920"/>
      <c r="B31" s="1924" t="s">
        <v>2024</v>
      </c>
      <c r="C31" s="720" t="e">
        <f>E34+SUM(I37:I42)</f>
        <v>#DIV/0!</v>
      </c>
      <c r="D31" s="1925"/>
      <c r="E31" s="1926"/>
      <c r="F31" s="1927"/>
      <c r="G31" s="1926"/>
      <c r="H31" s="1926"/>
      <c r="I31" s="1926"/>
      <c r="J31" s="1928"/>
      <c r="K31" s="1054"/>
      <c r="L31" s="3054" t="s">
        <v>1995</v>
      </c>
      <c r="M31" s="162">
        <v>0.25</v>
      </c>
      <c r="N31" s="162">
        <v>0.2</v>
      </c>
      <c r="O31" s="162">
        <v>0.15</v>
      </c>
      <c r="P31" s="162">
        <v>0.1</v>
      </c>
      <c r="Q31" s="3049">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4"/>
      <c r="L32" s="3055" t="s">
        <v>1998</v>
      </c>
      <c r="M32" s="2352">
        <f>ROUND($E$24*(1+M31),3)</f>
        <v>5.3999999999999999E-2</v>
      </c>
      <c r="N32" s="2352">
        <f>ROUND($E$24*(1+N31),3)</f>
        <v>5.1999999999999998E-2</v>
      </c>
      <c r="O32" s="2352">
        <f>ROUND($E$24*(1+O31),3)</f>
        <v>0.05</v>
      </c>
      <c r="P32" s="2352">
        <f>ROUND($E$24*(1+P31),3)</f>
        <v>4.8000000000000001E-2</v>
      </c>
      <c r="Q32" s="3057">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4.25">
      <c r="A33" s="1934"/>
      <c r="B33" s="1935" t="s">
        <v>2029</v>
      </c>
      <c r="C33" s="167" t="e">
        <f>ROUND(C5*C22*C23*C24*C25*C28,0)</f>
        <v>#DIV/0!</v>
      </c>
      <c r="D33" s="1936"/>
      <c r="E33" s="725" t="e">
        <f>ROUND(C33*D33/10000,0)</f>
        <v>#DIV/0!</v>
      </c>
      <c r="F33" s="3047" t="s">
        <v>3250</v>
      </c>
      <c r="G33" s="1937"/>
      <c r="H33" s="1937"/>
      <c r="I33" s="1937"/>
      <c r="J33" s="1938"/>
      <c r="K33" s="1054"/>
      <c r="L33" s="3050" t="s">
        <v>3253</v>
      </c>
      <c r="M33" s="3051">
        <v>5.5E-2</v>
      </c>
      <c r="N33" s="3051">
        <v>5.5E-2</v>
      </c>
      <c r="O33" s="3051">
        <v>0.05</v>
      </c>
      <c r="P33" s="3051">
        <v>0.05</v>
      </c>
      <c r="Q33" s="3051">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5" thickBot="1">
      <c r="A34" s="1939"/>
      <c r="B34" s="1940" t="s">
        <v>2030</v>
      </c>
      <c r="C34" s="179" t="e">
        <f>ROUND(IF(E2="工业",C33*M42,IF(B25="楼层修正",SUM(V2:V16)*M41*10000/D34,C33*M41)),0)</f>
        <v>#DIV/0!</v>
      </c>
      <c r="D34" s="1941"/>
      <c r="E34" s="725" t="e">
        <f>ROUND(IF(B25="楼层修正",SUM(V2:V16)*M40,C34*D34/10000),0)</f>
        <v>#DIV/0!</v>
      </c>
      <c r="F34" s="1942" t="s">
        <v>2031</v>
      </c>
      <c r="G34" s="1943"/>
      <c r="H34" s="1943"/>
      <c r="I34" s="1943"/>
      <c r="J34" s="1944"/>
      <c r="K34" s="1054"/>
      <c r="L34" s="3050" t="s">
        <v>3254</v>
      </c>
      <c r="M34" s="3051">
        <v>6.5000000000000002E-2</v>
      </c>
      <c r="N34" s="3051">
        <v>6.5000000000000002E-2</v>
      </c>
      <c r="O34" s="3051">
        <v>0.06</v>
      </c>
      <c r="P34" s="3051">
        <v>0.06</v>
      </c>
      <c r="Q34" s="3051">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2032</v>
      </c>
      <c r="C35" s="3048" t="s">
        <v>3251</v>
      </c>
      <c r="D35" s="1877"/>
      <c r="E35" s="1947"/>
      <c r="F35" s="1947"/>
      <c r="G35" s="1875" t="s">
        <v>2033</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24.75" thickBot="1">
      <c r="A36" s="1934"/>
      <c r="B36" s="1949"/>
      <c r="C36" s="434" t="s">
        <v>2026</v>
      </c>
      <c r="D36" s="431" t="s">
        <v>2027</v>
      </c>
      <c r="E36" s="431" t="s">
        <v>2028</v>
      </c>
      <c r="F36" s="333" t="s">
        <v>2034</v>
      </c>
      <c r="G36" s="1950" t="s">
        <v>2026</v>
      </c>
      <c r="H36" s="1950" t="s">
        <v>2027</v>
      </c>
      <c r="I36" s="1950" t="s">
        <v>2028</v>
      </c>
      <c r="J36" s="235"/>
      <c r="K36" s="1960" t="s">
        <v>3255</v>
      </c>
      <c r="L36" s="3139">
        <f ca="1">'数据-取费表'!B40</f>
        <v>0.03</v>
      </c>
      <c r="M36" s="2362">
        <f ca="1">ROUND($L$36*(1+M31),3)</f>
        <v>3.7999999999999999E-2</v>
      </c>
      <c r="N36" s="2362">
        <f ca="1">ROUND($L$36*(1+N31),3)</f>
        <v>3.5999999999999997E-2</v>
      </c>
      <c r="O36" s="2362">
        <f ca="1">ROUND($L$36*(1+O31),3)</f>
        <v>3.5000000000000003E-2</v>
      </c>
      <c r="P36" s="2362">
        <f ca="1">ROUND($L$36*(1+P31),3)</f>
        <v>3.3000000000000002E-2</v>
      </c>
      <c r="Q36" s="2362">
        <f ca="1">ROUND($L$36*(1+Q31),3)</f>
        <v>3.5000000000000003E-2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75" thickBot="1">
      <c r="A37" s="3495"/>
      <c r="B37" s="1951" t="s">
        <v>2035</v>
      </c>
      <c r="C37" s="167" t="e">
        <f>ROUND(D5*C22*C23*C24*C28*F37,0)</f>
        <v>#DIV/0!</v>
      </c>
      <c r="D37" s="1936"/>
      <c r="E37" s="163" t="e">
        <f>ROUND(C37*D37/10000,0)</f>
        <v>#DIV/0!</v>
      </c>
      <c r="F37" s="163">
        <f>SUMIF(修正!A57:A68,G2,修正!B57:B68)</f>
        <v>0.6</v>
      </c>
      <c r="G37" s="163" t="e">
        <f>ROUND(IF(E2="工业",C37*$M$42,C37*$M$41),0)</f>
        <v>#DIV/0!</v>
      </c>
      <c r="H37" s="163">
        <f>D37</f>
        <v>0</v>
      </c>
      <c r="I37" s="163" t="e">
        <f>ROUND(G37*H37/10000,0)</f>
        <v>#DIV/0!</v>
      </c>
      <c r="J37" s="2751"/>
      <c r="K37" s="3058" t="s">
        <v>3256</v>
      </c>
      <c r="L37" s="1960">
        <f ca="1">L36+K38</f>
        <v>3.4999999999999996E-2</v>
      </c>
      <c r="M37" s="2362">
        <f ca="1">ROUND($L$37*(1+M31),3)</f>
        <v>4.3999999999999997E-2</v>
      </c>
      <c r="N37" s="2362">
        <f t="shared" ref="N37:Q37" ca="1" si="3">ROUND($L$37*(1+N31),3)</f>
        <v>4.2000000000000003E-2</v>
      </c>
      <c r="O37" s="2362">
        <f t="shared" ca="1" si="3"/>
        <v>0.04</v>
      </c>
      <c r="P37" s="2362">
        <f t="shared" ca="1" si="3"/>
        <v>3.9E-2</v>
      </c>
      <c r="Q37" s="2362">
        <f t="shared" ca="1" si="3"/>
        <v>0.04</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496"/>
      <c r="B38" s="1880" t="s">
        <v>2036</v>
      </c>
      <c r="C38" s="167" t="e">
        <f>ROUND(D5*C22*C23*C24*C28*F38,0)</f>
        <v>#DIV/0!</v>
      </c>
      <c r="D38" s="1936"/>
      <c r="E38" s="163" t="e">
        <f t="shared" ref="E38:E42" si="4">ROUND(C38*D38/10000,0)</f>
        <v>#DIV/0!</v>
      </c>
      <c r="F38" s="163">
        <f>SUMIF(修正!A57:A68,G2,修正!C57:C68)</f>
        <v>0.3</v>
      </c>
      <c r="G38" s="163" t="e">
        <f>ROUND(IF(E2="工业",C38*$M$42,C38*$M$41),0)</f>
        <v>#DIV/0!</v>
      </c>
      <c r="H38" s="163">
        <f t="shared" ref="H38:H42" si="5">D38</f>
        <v>0</v>
      </c>
      <c r="I38" s="163" t="e">
        <f t="shared" ref="I38:I42" si="6">ROUND(G38*H38/10000,0)</f>
        <v>#DIV/0!</v>
      </c>
      <c r="J38" s="2750"/>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5" thickBot="1">
      <c r="A39" s="3496"/>
      <c r="B39" s="1880" t="s">
        <v>3249</v>
      </c>
      <c r="C39" s="167" t="e">
        <f>ROUND(D5*C22*C23*C24*C28*F39,0)</f>
        <v>#DIV/0!</v>
      </c>
      <c r="D39" s="1936"/>
      <c r="E39" s="163" t="e">
        <f t="shared" si="4"/>
        <v>#DIV/0!</v>
      </c>
      <c r="F39" s="163">
        <f>SUMIF(修正!A57:A68,G2,修正!D57:D68)</f>
        <v>0.25</v>
      </c>
      <c r="G39" s="163" t="e">
        <f>ROUND(IF(E2="工业",C39*$M$42,C39*$M$41),0)</f>
        <v>#DIV/0!</v>
      </c>
      <c r="H39" s="163">
        <f t="shared" si="5"/>
        <v>0</v>
      </c>
      <c r="I39" s="163" t="e">
        <f t="shared" si="6"/>
        <v>#DIV/0!</v>
      </c>
      <c r="J39" s="2750"/>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2037</v>
      </c>
      <c r="C40" s="163" t="e">
        <f>ROUND(D5*C22*C23*C24*C28*F40,0)</f>
        <v>#DIV/0!</v>
      </c>
      <c r="D40" s="1936"/>
      <c r="E40" s="163" t="e">
        <f t="shared" si="4"/>
        <v>#DIV/0!</v>
      </c>
      <c r="F40" s="167">
        <f>SUMIF(修正!A57:A68,G2,修正!E57:E68)</f>
        <v>0.25</v>
      </c>
      <c r="G40" s="163" t="e">
        <f>ROUND(IF(E2="工业",C40*$M$42,C40*$M$41),0)</f>
        <v>#DIV/0!</v>
      </c>
      <c r="H40" s="163">
        <f t="shared" si="5"/>
        <v>0</v>
      </c>
      <c r="I40" s="163" t="e">
        <f t="shared" si="6"/>
        <v>#DIV/0!</v>
      </c>
      <c r="J40" s="937"/>
      <c r="L40" s="1953" t="s">
        <v>2038</v>
      </c>
      <c r="M40" s="1954"/>
      <c r="Z40" s="1055"/>
      <c r="AA40" s="1055"/>
      <c r="AB40" s="1055"/>
      <c r="AC40" s="1055"/>
      <c r="AD40" s="1055"/>
      <c r="AE40" s="1055"/>
      <c r="AF40" s="1055"/>
      <c r="AG40" s="1055"/>
      <c r="AH40" s="1055"/>
      <c r="AI40" s="1055"/>
      <c r="AJ40" s="1055"/>
    </row>
    <row r="41" spans="1:37" s="1054" customFormat="1">
      <c r="A41" s="1952"/>
      <c r="B41" s="1880" t="s">
        <v>2039</v>
      </c>
      <c r="C41" s="163" t="e">
        <f>ROUND(D5*C22*C23*C44*C28*F41,0)</f>
        <v>#DIV/0!</v>
      </c>
      <c r="D41" s="1936"/>
      <c r="E41" s="163" t="e">
        <f t="shared" si="4"/>
        <v>#DIV/0!</v>
      </c>
      <c r="F41" s="167">
        <f>SUMIF(修正!A57:A68,G2,修正!F57:F68)</f>
        <v>0.25</v>
      </c>
      <c r="G41" s="163" t="e">
        <f>ROUND(IF(E2="工业",C41*$M$42,C41*$M$41),0)</f>
        <v>#DIV/0!</v>
      </c>
      <c r="H41" s="163">
        <f t="shared" si="5"/>
        <v>0</v>
      </c>
      <c r="I41" s="163" t="e">
        <f t="shared" si="6"/>
        <v>#DIV/0!</v>
      </c>
      <c r="J41" s="937"/>
      <c r="L41" s="3059" t="s">
        <v>3257</v>
      </c>
      <c r="M41" s="1955">
        <v>0.25</v>
      </c>
      <c r="Z41" s="1055"/>
      <c r="AA41" s="1055"/>
      <c r="AB41" s="1055"/>
      <c r="AC41" s="1055"/>
      <c r="AD41" s="1055"/>
      <c r="AE41" s="1055"/>
      <c r="AF41" s="1055"/>
      <c r="AG41" s="1055"/>
      <c r="AH41" s="1055"/>
      <c r="AI41" s="1055"/>
      <c r="AJ41" s="1055"/>
    </row>
    <row r="42" spans="1:37" s="1054" customFormat="1" ht="13.5" thickBot="1">
      <c r="A42" s="1939"/>
      <c r="B42" s="1956" t="s">
        <v>2040</v>
      </c>
      <c r="C42" s="179" t="e">
        <f>ROUND(D5*C22*C23*C44*C28*F42,0)</f>
        <v>#DIV/0!</v>
      </c>
      <c r="D42" s="1941"/>
      <c r="E42" s="179" t="e">
        <f t="shared" si="4"/>
        <v>#DIV/0!</v>
      </c>
      <c r="F42" s="721">
        <f>SUMIF(修正!A57:A68,G2,修正!G57:G68)</f>
        <v>0.15</v>
      </c>
      <c r="G42" s="179" t="e">
        <f>ROUND(IF(E2="工业",C42*$M$42,C42*$M$41),0)</f>
        <v>#DIV/0!</v>
      </c>
      <c r="H42" s="179">
        <f t="shared" si="5"/>
        <v>0</v>
      </c>
      <c r="I42" s="179" t="e">
        <f t="shared" si="6"/>
        <v>#DIV/0!</v>
      </c>
      <c r="J42" s="1957"/>
      <c r="L42" s="1958" t="s">
        <v>1992</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8" t="s">
        <v>2121</v>
      </c>
      <c r="C44" s="333" t="e">
        <f>ROUND(POWER(1+E44,H44-G44)*(POWER(1+E44,G44)-1)/(POWER(1+E44,H44)-1),4)</f>
        <v>#DIV/0!</v>
      </c>
      <c r="D44" s="163" t="s">
        <v>1998</v>
      </c>
      <c r="E44" s="1987">
        <f>G24</f>
        <v>0</v>
      </c>
      <c r="F44" s="163" t="s">
        <v>2007</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75" thickBot="1">
      <c r="A47" s="1961" t="s">
        <v>2041</v>
      </c>
      <c r="B47" s="1962"/>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3" t="s">
        <v>2042</v>
      </c>
      <c r="B48" s="1964">
        <f>1+E50</f>
        <v>1</v>
      </c>
      <c r="C48" s="1724"/>
      <c r="D48" s="697"/>
      <c r="E48" s="698"/>
      <c r="F48" s="1965"/>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6" t="s">
        <v>2043</v>
      </c>
      <c r="B49" s="1260" t="s">
        <v>2044</v>
      </c>
      <c r="C49" s="1260" t="s">
        <v>2045</v>
      </c>
      <c r="D49" s="1260" t="s">
        <v>2046</v>
      </c>
      <c r="E49" s="699" t="s">
        <v>2047</v>
      </c>
      <c r="F49" s="1967" t="s">
        <v>2048</v>
      </c>
      <c r="G49" s="1260" t="s">
        <v>310</v>
      </c>
      <c r="H49" s="1968" t="s">
        <v>2049</v>
      </c>
      <c r="I49" s="1260" t="s">
        <v>2050</v>
      </c>
      <c r="J49" s="528" t="s">
        <v>1721</v>
      </c>
      <c r="K49" s="528" t="s">
        <v>1722</v>
      </c>
      <c r="L49" s="528" t="s">
        <v>1723</v>
      </c>
      <c r="M49" s="528" t="s">
        <v>1724</v>
      </c>
      <c r="N49" s="528" t="s">
        <v>1725</v>
      </c>
      <c r="AA49" s="1055"/>
      <c r="AB49" s="1055"/>
      <c r="AC49" s="1055"/>
      <c r="AD49" s="1055"/>
      <c r="AE49" s="1055"/>
      <c r="AF49" s="1055"/>
      <c r="AG49" s="1055"/>
      <c r="AH49" s="1055"/>
      <c r="AI49" s="1055"/>
      <c r="AJ49" s="1055"/>
      <c r="AK49" s="1055"/>
    </row>
    <row r="50" spans="1:37" s="1054" customFormat="1" ht="24.75">
      <c r="A50" s="1966" t="s">
        <v>2051</v>
      </c>
      <c r="B50" s="1969">
        <f>估价对象房地状况!C4</f>
        <v>0</v>
      </c>
      <c r="C50" s="1883"/>
      <c r="D50" s="1000">
        <f t="shared" ref="D50:D58" si="7">SUMIF($J$49:$N$49,C50,J50:N50)</f>
        <v>0</v>
      </c>
      <c r="E50" s="700">
        <f>ROUND(SUM(D50:D58),4)</f>
        <v>0</v>
      </c>
      <c r="F50" s="1673" t="str">
        <f>IF(E2="商业",SUMIF(L1:L12,G2,N1:N12),"——")</f>
        <v>——</v>
      </c>
      <c r="G50" s="998"/>
      <c r="H50" s="1001" t="str">
        <f t="shared" ref="H50:H58" si="8">IFERROR(ROUNDDOWN($F$50*I50/2,4),"——")</f>
        <v>——</v>
      </c>
      <c r="I50" s="3065">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6" t="s">
        <v>2052</v>
      </c>
      <c r="B51" s="1260">
        <f>估价对象房地状况!C18</f>
        <v>0</v>
      </c>
      <c r="C51" s="1883"/>
      <c r="D51" s="1000">
        <f t="shared" si="7"/>
        <v>0</v>
      </c>
      <c r="E51" s="701"/>
      <c r="F51" s="1673"/>
      <c r="G51" s="998"/>
      <c r="H51" s="1001" t="str">
        <f t="shared" si="8"/>
        <v>——</v>
      </c>
      <c r="I51" s="3065">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7" t="s">
        <v>3259</v>
      </c>
      <c r="B52" s="1260">
        <f>估价对象房地状况!C19</f>
        <v>0</v>
      </c>
      <c r="C52" s="1883"/>
      <c r="D52" s="1000">
        <f t="shared" si="7"/>
        <v>0</v>
      </c>
      <c r="E52" s="701"/>
      <c r="F52" s="1673"/>
      <c r="G52" s="998"/>
      <c r="H52" s="1001" t="str">
        <f t="shared" si="8"/>
        <v>——</v>
      </c>
      <c r="I52" s="3065">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6" t="s">
        <v>2053</v>
      </c>
      <c r="B53" s="1970" t="s">
        <v>2054</v>
      </c>
      <c r="C53" s="1883"/>
      <c r="D53" s="1000">
        <f t="shared" si="7"/>
        <v>0</v>
      </c>
      <c r="E53" s="701"/>
      <c r="F53" s="1673"/>
      <c r="G53" s="998"/>
      <c r="H53" s="1001" t="str">
        <f t="shared" si="8"/>
        <v>——</v>
      </c>
      <c r="I53" s="3065">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2055</v>
      </c>
      <c r="B54" s="1260">
        <f>估价对象房地状况!C24</f>
        <v>0</v>
      </c>
      <c r="C54" s="1883"/>
      <c r="D54" s="1000">
        <f t="shared" si="7"/>
        <v>0</v>
      </c>
      <c r="E54" s="701"/>
      <c r="F54" s="1673"/>
      <c r="G54" s="998"/>
      <c r="H54" s="1001" t="str">
        <f t="shared" si="8"/>
        <v>——</v>
      </c>
      <c r="I54" s="3065">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6" t="s">
        <v>2056</v>
      </c>
      <c r="B55" s="1971" t="s">
        <v>2057</v>
      </c>
      <c r="C55" s="1883"/>
      <c r="D55" s="1000">
        <f t="shared" si="7"/>
        <v>0</v>
      </c>
      <c r="E55" s="701"/>
      <c r="F55" s="1673"/>
      <c r="G55" s="998"/>
      <c r="H55" s="1001" t="str">
        <f t="shared" si="8"/>
        <v>——</v>
      </c>
      <c r="I55" s="3065">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2" t="s">
        <v>2058</v>
      </c>
      <c r="B56" s="1238">
        <f>估价对象房地状况!C21</f>
        <v>0</v>
      </c>
      <c r="C56" s="1883"/>
      <c r="D56" s="1000">
        <f t="shared" si="7"/>
        <v>0</v>
      </c>
      <c r="E56" s="701"/>
      <c r="F56" s="1673"/>
      <c r="G56" s="998"/>
      <c r="H56" s="1001" t="str">
        <f t="shared" si="8"/>
        <v>——</v>
      </c>
      <c r="I56" s="3065">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2059</v>
      </c>
      <c r="B57" s="1260">
        <f>估价对象房地状况!C22</f>
        <v>0</v>
      </c>
      <c r="C57" s="1883"/>
      <c r="D57" s="1000">
        <f t="shared" si="7"/>
        <v>0</v>
      </c>
      <c r="E57" s="701"/>
      <c r="F57" s="1673"/>
      <c r="G57" s="998"/>
      <c r="H57" s="1001" t="str">
        <f t="shared" si="8"/>
        <v>——</v>
      </c>
      <c r="I57" s="3065">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3" t="s">
        <v>2060</v>
      </c>
      <c r="B58" s="1974">
        <f>估价对象房地状况!C20</f>
        <v>0</v>
      </c>
      <c r="C58" s="1883"/>
      <c r="D58" s="1000">
        <f t="shared" si="7"/>
        <v>0</v>
      </c>
      <c r="E58" s="702"/>
      <c r="F58" s="1673"/>
      <c r="G58" s="998"/>
      <c r="H58" s="1001" t="str">
        <f t="shared" si="8"/>
        <v>——</v>
      </c>
      <c r="I58" s="3066">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3" t="s">
        <v>2061</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6" t="s">
        <v>2043</v>
      </c>
      <c r="B60" s="1260"/>
      <c r="C60" s="1260" t="s">
        <v>2045</v>
      </c>
      <c r="D60" s="1260" t="s">
        <v>2046</v>
      </c>
      <c r="E60" s="699" t="s">
        <v>2047</v>
      </c>
      <c r="F60" s="1967" t="s">
        <v>2062</v>
      </c>
      <c r="G60" s="1260" t="s">
        <v>310</v>
      </c>
      <c r="H60" s="1968" t="s">
        <v>2049</v>
      </c>
      <c r="I60" s="1260" t="s">
        <v>2050</v>
      </c>
      <c r="J60" s="528" t="s">
        <v>1721</v>
      </c>
      <c r="K60" s="528" t="s">
        <v>1722</v>
      </c>
      <c r="L60" s="528" t="s">
        <v>1723</v>
      </c>
      <c r="M60" s="528" t="s">
        <v>1724</v>
      </c>
      <c r="N60" s="528" t="s">
        <v>1725</v>
      </c>
      <c r="AA60" s="1055"/>
      <c r="AB60" s="1055"/>
      <c r="AC60" s="1055"/>
      <c r="AD60" s="1055"/>
      <c r="AE60" s="1055"/>
      <c r="AF60" s="1055"/>
      <c r="AG60" s="1055"/>
      <c r="AH60" s="1055"/>
      <c r="AI60" s="1055"/>
      <c r="AJ60" s="1055"/>
      <c r="AK60" s="1055"/>
    </row>
    <row r="61" spans="1:37" s="1054" customFormat="1" ht="24">
      <c r="A61" s="1966" t="s">
        <v>2063</v>
      </c>
      <c r="B61" s="1969">
        <f>估价对象房地状况!C17</f>
        <v>0</v>
      </c>
      <c r="C61" s="1883"/>
      <c r="D61" s="1000">
        <f t="shared" ref="D61:D69" si="12">SUMIF($J$60:$N$60,C61,J61:N61)</f>
        <v>0</v>
      </c>
      <c r="E61" s="700">
        <f>ROUND(SUM(D61:D69),4)</f>
        <v>0</v>
      </c>
      <c r="F61" s="1673" t="str">
        <f>IF(E2="办公",SUMIF(L1:L12,G2,N1:N12),"——")</f>
        <v>——</v>
      </c>
      <c r="G61" s="998"/>
      <c r="H61" s="1001" t="str">
        <f t="shared" ref="H61:H69" si="13">IFERROR(ROUNDDOWN($F$61*I61/2,4),"——")</f>
        <v>——</v>
      </c>
      <c r="I61" s="3065">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6" t="s">
        <v>2052</v>
      </c>
      <c r="B62" s="1260">
        <f>估价对象房地状况!C18</f>
        <v>0</v>
      </c>
      <c r="C62" s="1883"/>
      <c r="D62" s="1000">
        <f t="shared" si="12"/>
        <v>0</v>
      </c>
      <c r="E62" s="701"/>
      <c r="F62" s="1673"/>
      <c r="G62" s="998"/>
      <c r="H62" s="1001" t="str">
        <f t="shared" si="13"/>
        <v>——</v>
      </c>
      <c r="I62" s="3065">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7" t="s">
        <v>3259</v>
      </c>
      <c r="B63" s="1260">
        <f>估价对象房地状况!C19</f>
        <v>0</v>
      </c>
      <c r="C63" s="1883"/>
      <c r="D63" s="1000">
        <f t="shared" si="12"/>
        <v>0</v>
      </c>
      <c r="E63" s="701"/>
      <c r="F63" s="1673"/>
      <c r="G63" s="998"/>
      <c r="H63" s="1001" t="str">
        <f t="shared" si="13"/>
        <v>——</v>
      </c>
      <c r="I63" s="3065">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6" t="s">
        <v>2053</v>
      </c>
      <c r="B64" s="1970" t="s">
        <v>2054</v>
      </c>
      <c r="C64" s="1883"/>
      <c r="D64" s="1000">
        <f t="shared" si="12"/>
        <v>0</v>
      </c>
      <c r="E64" s="701"/>
      <c r="F64" s="1673"/>
      <c r="G64" s="998"/>
      <c r="H64" s="1001" t="str">
        <f t="shared" si="13"/>
        <v>——</v>
      </c>
      <c r="I64" s="3065">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2055</v>
      </c>
      <c r="B65" s="1260">
        <f>估价对象房地状况!C24</f>
        <v>0</v>
      </c>
      <c r="C65" s="1883"/>
      <c r="D65" s="1000">
        <f t="shared" si="12"/>
        <v>0</v>
      </c>
      <c r="E65" s="701"/>
      <c r="F65" s="1673"/>
      <c r="G65" s="998"/>
      <c r="H65" s="1001" t="str">
        <f t="shared" si="13"/>
        <v>——</v>
      </c>
      <c r="I65" s="3065">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6" t="s">
        <v>2056</v>
      </c>
      <c r="B66" s="1971" t="s">
        <v>2057</v>
      </c>
      <c r="C66" s="1883"/>
      <c r="D66" s="1000">
        <f t="shared" si="12"/>
        <v>0</v>
      </c>
      <c r="E66" s="701"/>
      <c r="F66" s="1673"/>
      <c r="G66" s="998"/>
      <c r="H66" s="1001" t="str">
        <f t="shared" si="13"/>
        <v>——</v>
      </c>
      <c r="I66" s="3065">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6" t="s">
        <v>2058</v>
      </c>
      <c r="B67" s="1238">
        <f>估价对象房地状况!C21</f>
        <v>0</v>
      </c>
      <c r="C67" s="1883"/>
      <c r="D67" s="1000">
        <f t="shared" si="12"/>
        <v>0</v>
      </c>
      <c r="E67" s="701"/>
      <c r="F67" s="1673"/>
      <c r="G67" s="998"/>
      <c r="H67" s="1001" t="str">
        <f t="shared" si="13"/>
        <v>——</v>
      </c>
      <c r="I67" s="3065">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2059</v>
      </c>
      <c r="B68" s="1238">
        <f>估价对象房地状况!C22</f>
        <v>0</v>
      </c>
      <c r="C68" s="1883"/>
      <c r="D68" s="1000">
        <f t="shared" si="12"/>
        <v>0</v>
      </c>
      <c r="E68" s="701"/>
      <c r="F68" s="1673"/>
      <c r="G68" s="998"/>
      <c r="H68" s="1001" t="str">
        <f t="shared" si="13"/>
        <v>——</v>
      </c>
      <c r="I68" s="3065">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3" t="s">
        <v>2060</v>
      </c>
      <c r="B69" s="1975">
        <f>估价对象房地状况!C20</f>
        <v>0</v>
      </c>
      <c r="C69" s="1883"/>
      <c r="D69" s="1000">
        <f t="shared" si="12"/>
        <v>0</v>
      </c>
      <c r="E69" s="702"/>
      <c r="F69" s="1673"/>
      <c r="G69" s="998"/>
      <c r="H69" s="1001" t="str">
        <f t="shared" si="13"/>
        <v>——</v>
      </c>
      <c r="I69" s="3066">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3" t="s">
        <v>2064</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6" t="s">
        <v>2043</v>
      </c>
      <c r="B71" s="1260"/>
      <c r="C71" s="1260" t="s">
        <v>2045</v>
      </c>
      <c r="D71" s="1260" t="s">
        <v>2046</v>
      </c>
      <c r="E71" s="699" t="s">
        <v>2047</v>
      </c>
      <c r="F71" s="1967" t="s">
        <v>2062</v>
      </c>
      <c r="G71" s="1260" t="s">
        <v>310</v>
      </c>
      <c r="H71" s="1968" t="s">
        <v>2049</v>
      </c>
      <c r="I71" s="1260" t="s">
        <v>2050</v>
      </c>
      <c r="J71" s="528" t="s">
        <v>1721</v>
      </c>
      <c r="K71" s="528" t="s">
        <v>1722</v>
      </c>
      <c r="L71" s="528" t="s">
        <v>1723</v>
      </c>
      <c r="M71" s="528" t="s">
        <v>1724</v>
      </c>
      <c r="N71" s="528" t="s">
        <v>1725</v>
      </c>
      <c r="AA71" s="1055"/>
      <c r="AB71" s="1055"/>
      <c r="AC71" s="1055"/>
      <c r="AD71" s="1055"/>
      <c r="AE71" s="1055"/>
      <c r="AF71" s="1055"/>
      <c r="AG71" s="1055"/>
      <c r="AH71" s="1055"/>
      <c r="AI71" s="1055"/>
      <c r="AJ71" s="1055"/>
      <c r="AK71" s="1055"/>
    </row>
    <row r="72" spans="1:37" s="1054" customFormat="1" ht="24">
      <c r="A72" s="1966" t="s">
        <v>2065</v>
      </c>
      <c r="B72" s="1969">
        <f>估价对象房地状况!C15</f>
        <v>0</v>
      </c>
      <c r="C72" s="1883"/>
      <c r="D72" s="1000">
        <f t="shared" ref="D72:D80" si="17">SUMIF($J$71:$N$71,C72,J72:N72)</f>
        <v>0</v>
      </c>
      <c r="E72" s="700">
        <f>ROUND(SUM(D72:D80),4)</f>
        <v>0</v>
      </c>
      <c r="F72" s="1673" t="str">
        <f>IF(E2="住宅",SUMIF(L1:L12,G2,N1:N12),"——")</f>
        <v>——</v>
      </c>
      <c r="G72" s="998"/>
      <c r="H72" s="1001" t="str">
        <f t="shared" ref="H72:H80" si="18">IFERROR(ROUNDDOWN($F$72*I72/2,4),"——")</f>
        <v>——</v>
      </c>
      <c r="I72" s="3065">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6" t="s">
        <v>2052</v>
      </c>
      <c r="B73" s="1260">
        <f>估价对象房地状况!C18</f>
        <v>0</v>
      </c>
      <c r="C73" s="1883"/>
      <c r="D73" s="1000">
        <f t="shared" si="17"/>
        <v>0</v>
      </c>
      <c r="E73" s="703"/>
      <c r="F73" s="1673"/>
      <c r="G73" s="998"/>
      <c r="H73" s="1001" t="str">
        <f t="shared" si="18"/>
        <v>——</v>
      </c>
      <c r="I73" s="3065">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36">
      <c r="A74" s="3067" t="s">
        <v>3259</v>
      </c>
      <c r="B74" s="1260">
        <f>估价对象房地状况!C19</f>
        <v>0</v>
      </c>
      <c r="C74" s="1883"/>
      <c r="D74" s="1000">
        <f t="shared" si="17"/>
        <v>0</v>
      </c>
      <c r="E74" s="703"/>
      <c r="F74" s="1673"/>
      <c r="G74" s="998"/>
      <c r="H74" s="1001" t="str">
        <f t="shared" si="18"/>
        <v>——</v>
      </c>
      <c r="I74" s="3065">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4.25">
      <c r="A75" s="1966" t="s">
        <v>2066</v>
      </c>
      <c r="B75" s="1260">
        <f>估价对象房地状况!C24</f>
        <v>0</v>
      </c>
      <c r="C75" s="1883"/>
      <c r="D75" s="1000">
        <f t="shared" si="17"/>
        <v>0</v>
      </c>
      <c r="E75" s="703"/>
      <c r="F75" s="1673"/>
      <c r="G75" s="998"/>
      <c r="H75" s="1001" t="str">
        <f t="shared" si="18"/>
        <v>——</v>
      </c>
      <c r="I75" s="3065">
        <v>0.05</v>
      </c>
      <c r="J75" s="999">
        <f t="shared" si="19"/>
        <v>0</v>
      </c>
      <c r="K75" s="999">
        <f t="shared" si="20"/>
        <v>0</v>
      </c>
      <c r="L75" s="999">
        <v>0</v>
      </c>
      <c r="M75" s="999">
        <f t="shared" si="21"/>
        <v>0</v>
      </c>
      <c r="N75" s="999">
        <f t="shared" si="21"/>
        <v>0</v>
      </c>
      <c r="O75" s="1054"/>
      <c r="P75" s="1054"/>
      <c r="Q75" s="1840"/>
      <c r="Z75" s="1841"/>
      <c r="AA75" s="1891"/>
      <c r="AG75" s="1056"/>
      <c r="AK75" s="1891"/>
    </row>
    <row r="76" spans="1:37" ht="24">
      <c r="A76" s="1966" t="s">
        <v>2058</v>
      </c>
      <c r="B76" s="1238">
        <f>估价对象房地状况!C21</f>
        <v>0</v>
      </c>
      <c r="C76" s="1883"/>
      <c r="D76" s="1000">
        <f t="shared" si="17"/>
        <v>0</v>
      </c>
      <c r="E76" s="703"/>
      <c r="F76" s="1673"/>
      <c r="G76" s="998"/>
      <c r="H76" s="1001" t="str">
        <f t="shared" si="18"/>
        <v>——</v>
      </c>
      <c r="I76" s="3065">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2059</v>
      </c>
      <c r="B77" s="1238">
        <f>估价对象房地状况!C22</f>
        <v>0</v>
      </c>
      <c r="C77" s="1883"/>
      <c r="D77" s="1000">
        <f t="shared" si="17"/>
        <v>0</v>
      </c>
      <c r="E77" s="703"/>
      <c r="F77" s="1673"/>
      <c r="G77" s="998"/>
      <c r="H77" s="1001" t="str">
        <f t="shared" si="18"/>
        <v>——</v>
      </c>
      <c r="I77" s="3065">
        <v>0.09</v>
      </c>
      <c r="J77" s="999">
        <f t="shared" si="19"/>
        <v>0</v>
      </c>
      <c r="K77" s="999">
        <f t="shared" si="20"/>
        <v>0</v>
      </c>
      <c r="L77" s="999">
        <v>0</v>
      </c>
      <c r="M77" s="999">
        <f t="shared" si="21"/>
        <v>0</v>
      </c>
      <c r="N77" s="999">
        <f t="shared" si="21"/>
        <v>0</v>
      </c>
      <c r="O77" s="1054"/>
      <c r="P77" s="1054"/>
      <c r="Z77" s="1841"/>
      <c r="AA77" s="1891"/>
      <c r="AG77" s="1056"/>
      <c r="AK77" s="1891"/>
    </row>
    <row r="78" spans="1:37" ht="24">
      <c r="A78" s="1966" t="s">
        <v>2056</v>
      </c>
      <c r="B78" s="1971" t="s">
        <v>2057</v>
      </c>
      <c r="C78" s="1883"/>
      <c r="D78" s="1000">
        <f t="shared" si="17"/>
        <v>0</v>
      </c>
      <c r="E78" s="703"/>
      <c r="F78" s="1673"/>
      <c r="G78" s="998"/>
      <c r="H78" s="1001" t="str">
        <f t="shared" si="18"/>
        <v>——</v>
      </c>
      <c r="I78" s="3065">
        <v>0.05</v>
      </c>
      <c r="J78" s="999">
        <f t="shared" si="19"/>
        <v>0</v>
      </c>
      <c r="K78" s="999">
        <f t="shared" si="20"/>
        <v>0</v>
      </c>
      <c r="L78" s="999">
        <v>0</v>
      </c>
      <c r="M78" s="999">
        <f t="shared" si="21"/>
        <v>0</v>
      </c>
      <c r="N78" s="999">
        <f t="shared" si="21"/>
        <v>0</v>
      </c>
      <c r="O78" s="1840"/>
      <c r="P78" s="1840"/>
      <c r="Z78" s="1841"/>
      <c r="AA78" s="1891"/>
      <c r="AG78" s="1056"/>
      <c r="AK78" s="1891"/>
    </row>
    <row r="79" spans="1:37" ht="24">
      <c r="A79" s="1966" t="s">
        <v>2060</v>
      </c>
      <c r="B79" s="1969">
        <f>估价对象房地状况!C20</f>
        <v>0</v>
      </c>
      <c r="C79" s="1883"/>
      <c r="D79" s="1000">
        <f t="shared" si="17"/>
        <v>0</v>
      </c>
      <c r="E79" s="703"/>
      <c r="F79" s="1673"/>
      <c r="G79" s="998"/>
      <c r="H79" s="1001" t="str">
        <f t="shared" si="18"/>
        <v>——</v>
      </c>
      <c r="I79" s="3065">
        <v>0.12</v>
      </c>
      <c r="J79" s="999">
        <f t="shared" si="19"/>
        <v>0</v>
      </c>
      <c r="K79" s="999">
        <f t="shared" si="20"/>
        <v>0</v>
      </c>
      <c r="L79" s="999">
        <v>0</v>
      </c>
      <c r="M79" s="999">
        <f t="shared" si="21"/>
        <v>0</v>
      </c>
      <c r="N79" s="999">
        <f t="shared" si="21"/>
        <v>0</v>
      </c>
      <c r="Z79" s="1841"/>
      <c r="AA79" s="1891"/>
      <c r="AG79" s="1056"/>
      <c r="AK79" s="1891"/>
    </row>
    <row r="80" spans="1:37" ht="24.75" thickBot="1">
      <c r="A80" s="1973" t="s">
        <v>2067</v>
      </c>
      <c r="B80" s="1977"/>
      <c r="C80" s="1883"/>
      <c r="D80" s="1000">
        <f t="shared" si="17"/>
        <v>0</v>
      </c>
      <c r="E80" s="704"/>
      <c r="F80" s="1673"/>
      <c r="G80" s="998"/>
      <c r="H80" s="1001" t="str">
        <f t="shared" si="18"/>
        <v>——</v>
      </c>
      <c r="I80" s="3066">
        <v>0.05</v>
      </c>
      <c r="J80" s="999">
        <f t="shared" si="19"/>
        <v>0</v>
      </c>
      <c r="K80" s="999">
        <f t="shared" si="20"/>
        <v>0</v>
      </c>
      <c r="L80" s="999">
        <v>0</v>
      </c>
      <c r="M80" s="999">
        <f t="shared" si="21"/>
        <v>0</v>
      </c>
      <c r="N80" s="999">
        <f t="shared" si="21"/>
        <v>0</v>
      </c>
      <c r="Z80" s="1841"/>
      <c r="AA80" s="1891"/>
      <c r="AG80" s="1056"/>
      <c r="AK80" s="1891"/>
    </row>
    <row r="81" spans="1:37" ht="15">
      <c r="A81" s="1963" t="s">
        <v>2068</v>
      </c>
      <c r="B81" s="1964">
        <f>1+E83</f>
        <v>1</v>
      </c>
      <c r="C81" s="697"/>
      <c r="D81" s="697"/>
      <c r="E81" s="698"/>
      <c r="F81" s="1965"/>
      <c r="G81" s="3"/>
      <c r="H81" s="3"/>
      <c r="I81" s="3"/>
      <c r="J81" s="4"/>
      <c r="K81" s="4"/>
      <c r="L81" s="4"/>
      <c r="M81" s="4"/>
      <c r="N81" s="4"/>
      <c r="Z81" s="1841"/>
      <c r="AA81" s="1891"/>
      <c r="AG81" s="1056"/>
      <c r="AK81" s="1891"/>
    </row>
    <row r="82" spans="1:37" ht="24.75">
      <c r="A82" s="1966" t="s">
        <v>2043</v>
      </c>
      <c r="B82" s="1260"/>
      <c r="C82" s="1260" t="s">
        <v>2045</v>
      </c>
      <c r="D82" s="1260" t="s">
        <v>2046</v>
      </c>
      <c r="E82" s="699" t="s">
        <v>2047</v>
      </c>
      <c r="F82" s="1967" t="s">
        <v>2062</v>
      </c>
      <c r="G82" s="1260" t="s">
        <v>310</v>
      </c>
      <c r="H82" s="1968" t="s">
        <v>2049</v>
      </c>
      <c r="I82" s="1260" t="s">
        <v>2050</v>
      </c>
      <c r="J82" s="528" t="s">
        <v>1721</v>
      </c>
      <c r="K82" s="528" t="s">
        <v>1722</v>
      </c>
      <c r="L82" s="528" t="s">
        <v>1723</v>
      </c>
      <c r="M82" s="528" t="s">
        <v>1724</v>
      </c>
      <c r="N82" s="528" t="s">
        <v>1725</v>
      </c>
      <c r="Z82" s="1841"/>
      <c r="AA82" s="1891"/>
      <c r="AG82" s="1056"/>
      <c r="AK82" s="1891"/>
    </row>
    <row r="83" spans="1:37" ht="24">
      <c r="A83" s="1966" t="s">
        <v>2069</v>
      </c>
      <c r="B83" s="1260">
        <f>估价对象房地状况!G15</f>
        <v>0</v>
      </c>
      <c r="C83" s="1883"/>
      <c r="D83" s="1000">
        <f t="shared" ref="D83:D90" si="22">SUMIF($J$82:$N$82,C83,J83:N83)</f>
        <v>0</v>
      </c>
      <c r="E83" s="700">
        <f>ROUND(SUM(D83:D90),4)</f>
        <v>0</v>
      </c>
      <c r="F83" s="1673" t="str">
        <f>IF(E2="工业",SUMIF(L1:L12,G2,N1:N12),"——")</f>
        <v>——</v>
      </c>
      <c r="G83" s="998"/>
      <c r="H83" s="1001" t="str">
        <f t="shared" ref="H83:H90" si="23">IFERROR(ROUNDDOWN($F$83*I83/2,4),"——")</f>
        <v>——</v>
      </c>
      <c r="I83" s="3065">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14.25">
      <c r="A84" s="1966" t="s">
        <v>2052</v>
      </c>
      <c r="B84" s="1260">
        <f>估价对象房地状况!G16</f>
        <v>0</v>
      </c>
      <c r="C84" s="1883"/>
      <c r="D84" s="1000">
        <f t="shared" si="22"/>
        <v>0</v>
      </c>
      <c r="E84" s="703"/>
      <c r="F84" s="1673"/>
      <c r="G84" s="998"/>
      <c r="H84" s="1001" t="str">
        <f t="shared" si="23"/>
        <v>——</v>
      </c>
      <c r="I84" s="3065">
        <v>0.3</v>
      </c>
      <c r="J84" s="999">
        <f t="shared" si="24"/>
        <v>0</v>
      </c>
      <c r="K84" s="999">
        <f t="shared" si="25"/>
        <v>0</v>
      </c>
      <c r="L84" s="999">
        <v>0</v>
      </c>
      <c r="M84" s="999">
        <f t="shared" si="26"/>
        <v>0</v>
      </c>
      <c r="N84" s="999">
        <f t="shared" si="26"/>
        <v>0</v>
      </c>
      <c r="Z84" s="1841"/>
      <c r="AA84" s="1891"/>
      <c r="AG84" s="1056"/>
      <c r="AK84" s="1891"/>
    </row>
    <row r="85" spans="1:37" ht="36">
      <c r="A85" s="3067" t="s">
        <v>3260</v>
      </c>
      <c r="B85" s="1260">
        <f>估价对象房地状况!G17</f>
        <v>0</v>
      </c>
      <c r="C85" s="1883"/>
      <c r="D85" s="1000">
        <f t="shared" si="22"/>
        <v>0</v>
      </c>
      <c r="E85" s="703"/>
      <c r="F85" s="1673"/>
      <c r="G85" s="998"/>
      <c r="H85" s="1001" t="str">
        <f t="shared" si="23"/>
        <v>——</v>
      </c>
      <c r="I85" s="3065">
        <v>0.1</v>
      </c>
      <c r="J85" s="999">
        <f t="shared" si="24"/>
        <v>0</v>
      </c>
      <c r="K85" s="999">
        <f t="shared" si="25"/>
        <v>0</v>
      </c>
      <c r="L85" s="999">
        <v>0</v>
      </c>
      <c r="M85" s="999">
        <f t="shared" si="26"/>
        <v>0</v>
      </c>
      <c r="N85" s="999">
        <f t="shared" si="26"/>
        <v>0</v>
      </c>
      <c r="Z85" s="1841"/>
      <c r="AA85" s="1891"/>
      <c r="AG85" s="1056"/>
      <c r="AK85" s="1891"/>
    </row>
    <row r="86" spans="1:37" ht="14.25">
      <c r="A86" s="1966" t="s">
        <v>2066</v>
      </c>
      <c r="B86" s="1260">
        <f>估价对象房地状况!G22</f>
        <v>0</v>
      </c>
      <c r="C86" s="1883"/>
      <c r="D86" s="1000">
        <f t="shared" si="22"/>
        <v>0</v>
      </c>
      <c r="E86" s="703"/>
      <c r="F86" s="1673"/>
      <c r="G86" s="998"/>
      <c r="H86" s="1001" t="str">
        <f t="shared" si="23"/>
        <v>——</v>
      </c>
      <c r="I86" s="3065">
        <v>0.05</v>
      </c>
      <c r="J86" s="999">
        <f t="shared" si="24"/>
        <v>0</v>
      </c>
      <c r="K86" s="999">
        <f t="shared" si="25"/>
        <v>0</v>
      </c>
      <c r="L86" s="999">
        <v>0</v>
      </c>
      <c r="M86" s="999">
        <f t="shared" si="26"/>
        <v>0</v>
      </c>
      <c r="N86" s="999">
        <f t="shared" si="26"/>
        <v>0</v>
      </c>
      <c r="Z86" s="1841"/>
      <c r="AA86" s="1891"/>
      <c r="AG86" s="1056"/>
      <c r="AK86" s="1891"/>
    </row>
    <row r="87" spans="1:37" ht="24">
      <c r="A87" s="1966" t="s">
        <v>2058</v>
      </c>
      <c r="B87" s="1238">
        <f>估价对象房地状况!G19</f>
        <v>0</v>
      </c>
      <c r="C87" s="1883"/>
      <c r="D87" s="1000">
        <f t="shared" si="22"/>
        <v>0</v>
      </c>
      <c r="E87" s="703"/>
      <c r="F87" s="1673"/>
      <c r="G87" s="998"/>
      <c r="H87" s="1001" t="str">
        <f t="shared" si="23"/>
        <v>——</v>
      </c>
      <c r="I87" s="3065">
        <v>0.06</v>
      </c>
      <c r="J87" s="999">
        <f t="shared" si="24"/>
        <v>0</v>
      </c>
      <c r="K87" s="999">
        <f t="shared" si="25"/>
        <v>0</v>
      </c>
      <c r="L87" s="999">
        <v>0</v>
      </c>
      <c r="M87" s="999">
        <f t="shared" si="26"/>
        <v>0</v>
      </c>
      <c r="N87" s="999">
        <f t="shared" si="26"/>
        <v>0</v>
      </c>
    </row>
    <row r="88" spans="1:37" ht="24">
      <c r="A88" s="1966" t="s">
        <v>2059</v>
      </c>
      <c r="B88" s="1238">
        <f>估价对象房地状况!G20</f>
        <v>0</v>
      </c>
      <c r="C88" s="1883"/>
      <c r="D88" s="1000">
        <f t="shared" si="22"/>
        <v>0</v>
      </c>
      <c r="E88" s="703"/>
      <c r="F88" s="1673"/>
      <c r="G88" s="998"/>
      <c r="H88" s="1001" t="str">
        <f t="shared" si="23"/>
        <v>——</v>
      </c>
      <c r="I88" s="3065">
        <v>0.12</v>
      </c>
      <c r="J88" s="999">
        <f t="shared" si="24"/>
        <v>0</v>
      </c>
      <c r="K88" s="999">
        <f t="shared" si="25"/>
        <v>0</v>
      </c>
      <c r="L88" s="999">
        <v>0</v>
      </c>
      <c r="M88" s="999">
        <f t="shared" si="26"/>
        <v>0</v>
      </c>
      <c r="N88" s="999">
        <f t="shared" si="26"/>
        <v>0</v>
      </c>
    </row>
    <row r="89" spans="1:37" ht="24">
      <c r="A89" s="1966" t="s">
        <v>2056</v>
      </c>
      <c r="B89" s="1971" t="s">
        <v>2070</v>
      </c>
      <c r="C89" s="1883"/>
      <c r="D89" s="1000">
        <f t="shared" si="22"/>
        <v>0</v>
      </c>
      <c r="E89" s="703"/>
      <c r="F89" s="1673"/>
      <c r="G89" s="998"/>
      <c r="H89" s="1001" t="str">
        <f t="shared" si="23"/>
        <v>——</v>
      </c>
      <c r="I89" s="3065">
        <v>0.06</v>
      </c>
      <c r="J89" s="999">
        <f t="shared" si="24"/>
        <v>0</v>
      </c>
      <c r="K89" s="999">
        <f t="shared" si="25"/>
        <v>0</v>
      </c>
      <c r="L89" s="999">
        <v>0</v>
      </c>
      <c r="M89" s="999">
        <f t="shared" si="26"/>
        <v>0</v>
      </c>
      <c r="N89" s="999">
        <f t="shared" si="26"/>
        <v>0</v>
      </c>
    </row>
    <row r="90" spans="1:37" ht="15" thickBot="1">
      <c r="A90" s="1973" t="s">
        <v>2071</v>
      </c>
      <c r="B90" s="1978">
        <f>估价对象房地状况!G18</f>
        <v>0</v>
      </c>
      <c r="C90" s="1883"/>
      <c r="D90" s="1000">
        <f t="shared" si="22"/>
        <v>0</v>
      </c>
      <c r="E90" s="704"/>
      <c r="F90" s="1673"/>
      <c r="G90" s="998"/>
      <c r="H90" s="1001" t="str">
        <f t="shared" si="23"/>
        <v>——</v>
      </c>
      <c r="I90" s="3066">
        <v>0.05</v>
      </c>
      <c r="J90" s="999">
        <f t="shared" si="24"/>
        <v>0</v>
      </c>
      <c r="K90" s="999">
        <f t="shared" si="25"/>
        <v>0</v>
      </c>
      <c r="L90" s="999">
        <v>0</v>
      </c>
      <c r="M90" s="999">
        <f t="shared" si="26"/>
        <v>0</v>
      </c>
      <c r="N90" s="999">
        <f t="shared" si="26"/>
        <v>0</v>
      </c>
    </row>
    <row r="91" spans="1:37" ht="15">
      <c r="A91" s="3075" t="s">
        <v>2602</v>
      </c>
      <c r="B91" s="3076">
        <f>1+E93</f>
        <v>1</v>
      </c>
      <c r="C91" s="3069"/>
      <c r="D91" s="3070"/>
      <c r="E91" s="1673"/>
      <c r="F91" s="1673"/>
      <c r="G91" s="3071"/>
      <c r="H91" s="3072"/>
      <c r="I91" s="3073"/>
      <c r="J91" s="3074"/>
      <c r="K91" s="3074"/>
      <c r="L91" s="3074"/>
      <c r="M91" s="3074"/>
      <c r="N91" s="3074"/>
    </row>
    <row r="92" spans="1:37" ht="24.75">
      <c r="A92" s="3077" t="s">
        <v>3261</v>
      </c>
      <c r="B92" s="2306"/>
      <c r="C92" s="2306" t="s">
        <v>3270</v>
      </c>
      <c r="D92" s="2306" t="s">
        <v>3271</v>
      </c>
      <c r="E92" s="3049" t="s">
        <v>3272</v>
      </c>
      <c r="F92" s="3079" t="s">
        <v>3273</v>
      </c>
      <c r="G92" s="2306" t="s">
        <v>3274</v>
      </c>
      <c r="H92" s="3086" t="s">
        <v>3277</v>
      </c>
      <c r="I92" s="2306" t="s">
        <v>3278</v>
      </c>
      <c r="J92" s="2146" t="s">
        <v>3279</v>
      </c>
      <c r="K92" s="2146" t="s">
        <v>3280</v>
      </c>
      <c r="L92" s="2146" t="s">
        <v>3281</v>
      </c>
      <c r="M92" s="2146" t="s">
        <v>3282</v>
      </c>
      <c r="N92" s="2146" t="s">
        <v>3283</v>
      </c>
    </row>
    <row r="93" spans="1:37" ht="24">
      <c r="A93" s="3067" t="s">
        <v>3262</v>
      </c>
      <c r="B93" s="1219"/>
      <c r="C93" s="1883"/>
      <c r="D93" s="2306">
        <f>SUMIF($J$92:$N$92,C93,J93:N93)</f>
        <v>0</v>
      </c>
      <c r="E93" s="3080">
        <f>ROUND(SUM(D93:D101),4)</f>
        <v>0</v>
      </c>
      <c r="F93" s="1673" t="str">
        <f>IF(E2="公共服务",SUMIF(L1:L12,G2,N1:N12),"——")</f>
        <v>——</v>
      </c>
      <c r="G93" s="3071"/>
      <c r="H93" s="3116" t="str">
        <f>IFERROR(ROUNDDOWN($F$93*I93/2,4),"——")</f>
        <v>——</v>
      </c>
      <c r="I93" s="3065">
        <v>0.25</v>
      </c>
      <c r="J93" s="1908">
        <f t="shared" ref="J93:J101" si="27">K93+$G93</f>
        <v>0</v>
      </c>
      <c r="K93" s="1908">
        <f t="shared" ref="K93:K101" si="28">$L93+$G93</f>
        <v>0</v>
      </c>
      <c r="L93" s="1908">
        <v>0</v>
      </c>
      <c r="M93" s="1908">
        <f t="shared" ref="M93:N101" si="29">L93-$G93</f>
        <v>0</v>
      </c>
      <c r="N93" s="1908">
        <f t="shared" si="29"/>
        <v>0</v>
      </c>
    </row>
    <row r="94" spans="1:37" ht="14.25">
      <c r="A94" s="3077" t="s">
        <v>3263</v>
      </c>
      <c r="B94" s="3068">
        <f>估价对象房地状况!C18</f>
        <v>0</v>
      </c>
      <c r="C94" s="1883"/>
      <c r="D94" s="2306">
        <f t="shared" ref="D94:D101" si="30">SUMIF($J$60:$N$60,C94,J94:N94)</f>
        <v>0</v>
      </c>
      <c r="E94" s="3081"/>
      <c r="F94" s="1673"/>
      <c r="G94" s="3071"/>
      <c r="H94" s="3116" t="str">
        <f>IFERROR(ROUNDDOWN($F$93*I94/2,4),"——")</f>
        <v>——</v>
      </c>
      <c r="I94" s="3065">
        <v>0.26</v>
      </c>
      <c r="J94" s="1908">
        <f t="shared" si="27"/>
        <v>0</v>
      </c>
      <c r="K94" s="1908">
        <f t="shared" si="28"/>
        <v>0</v>
      </c>
      <c r="L94" s="1908">
        <v>0</v>
      </c>
      <c r="M94" s="1908">
        <f t="shared" si="29"/>
        <v>0</v>
      </c>
      <c r="N94" s="1908">
        <f t="shared" si="29"/>
        <v>0</v>
      </c>
    </row>
    <row r="95" spans="1:37" ht="36">
      <c r="A95" s="3067" t="s">
        <v>3259</v>
      </c>
      <c r="B95" s="3068">
        <f>估价对象房地状况!C19</f>
        <v>0</v>
      </c>
      <c r="C95" s="1883"/>
      <c r="D95" s="2306">
        <f t="shared" si="30"/>
        <v>0</v>
      </c>
      <c r="E95" s="3081"/>
      <c r="F95" s="1673"/>
      <c r="G95" s="3071"/>
      <c r="H95" s="3116" t="str">
        <f t="shared" ref="H95:H101" si="31">IFERROR(ROUNDDOWN($F$93*I95/2,4),"——")</f>
        <v>——</v>
      </c>
      <c r="I95" s="3065">
        <v>0.11</v>
      </c>
      <c r="J95" s="1908">
        <f t="shared" si="27"/>
        <v>0</v>
      </c>
      <c r="K95" s="1908">
        <f t="shared" si="28"/>
        <v>0</v>
      </c>
      <c r="L95" s="1908">
        <v>0</v>
      </c>
      <c r="M95" s="1908">
        <f t="shared" si="29"/>
        <v>0</v>
      </c>
      <c r="N95" s="1908">
        <f t="shared" si="29"/>
        <v>0</v>
      </c>
    </row>
    <row r="96" spans="1:37" ht="36.75">
      <c r="A96" s="3077" t="s">
        <v>3264</v>
      </c>
      <c r="B96" s="3083" t="s">
        <v>3275</v>
      </c>
      <c r="C96" s="1883"/>
      <c r="D96" s="2306">
        <f t="shared" si="30"/>
        <v>0</v>
      </c>
      <c r="E96" s="3081"/>
      <c r="F96" s="1673"/>
      <c r="G96" s="3071"/>
      <c r="H96" s="3116" t="str">
        <f t="shared" si="31"/>
        <v>——</v>
      </c>
      <c r="I96" s="3065">
        <v>0.05</v>
      </c>
      <c r="J96" s="1908">
        <f t="shared" si="27"/>
        <v>0</v>
      </c>
      <c r="K96" s="1908">
        <f t="shared" si="28"/>
        <v>0</v>
      </c>
      <c r="L96" s="1908">
        <v>0</v>
      </c>
      <c r="M96" s="1908">
        <f t="shared" si="29"/>
        <v>0</v>
      </c>
      <c r="N96" s="1908">
        <f t="shared" si="29"/>
        <v>0</v>
      </c>
    </row>
    <row r="97" spans="1:14" ht="24">
      <c r="A97" s="3077" t="s">
        <v>3265</v>
      </c>
      <c r="B97" s="3068">
        <f>估价对象房地状况!C24</f>
        <v>0</v>
      </c>
      <c r="C97" s="1883"/>
      <c r="D97" s="2306">
        <f t="shared" si="30"/>
        <v>0</v>
      </c>
      <c r="E97" s="3081"/>
      <c r="F97" s="1673"/>
      <c r="G97" s="3071"/>
      <c r="H97" s="3116" t="str">
        <f t="shared" si="31"/>
        <v>——</v>
      </c>
      <c r="I97" s="3065">
        <v>0.05</v>
      </c>
      <c r="J97" s="1908">
        <f t="shared" si="27"/>
        <v>0</v>
      </c>
      <c r="K97" s="1908">
        <f t="shared" si="28"/>
        <v>0</v>
      </c>
      <c r="L97" s="1908">
        <v>0</v>
      </c>
      <c r="M97" s="1908">
        <f t="shared" si="29"/>
        <v>0</v>
      </c>
      <c r="N97" s="1908">
        <f t="shared" si="29"/>
        <v>0</v>
      </c>
    </row>
    <row r="98" spans="1:14" ht="24">
      <c r="A98" s="3077" t="s">
        <v>3266</v>
      </c>
      <c r="B98" s="3084" t="s">
        <v>3276</v>
      </c>
      <c r="C98" s="1883"/>
      <c r="D98" s="2306">
        <f t="shared" si="30"/>
        <v>0</v>
      </c>
      <c r="E98" s="3081"/>
      <c r="F98" s="1673"/>
      <c r="G98" s="3071"/>
      <c r="H98" s="3116" t="str">
        <f t="shared" si="31"/>
        <v>——</v>
      </c>
      <c r="I98" s="3065">
        <v>0.06</v>
      </c>
      <c r="J98" s="1908">
        <f t="shared" si="27"/>
        <v>0</v>
      </c>
      <c r="K98" s="1908">
        <f t="shared" si="28"/>
        <v>0</v>
      </c>
      <c r="L98" s="1908">
        <v>0</v>
      </c>
      <c r="M98" s="1908">
        <f t="shared" si="29"/>
        <v>0</v>
      </c>
      <c r="N98" s="1908">
        <f t="shared" si="29"/>
        <v>0</v>
      </c>
    </row>
    <row r="99" spans="1:14" ht="24">
      <c r="A99" s="3077" t="s">
        <v>3267</v>
      </c>
      <c r="B99" s="3068">
        <f>估价对象房地状况!C21</f>
        <v>0</v>
      </c>
      <c r="C99" s="1883"/>
      <c r="D99" s="2306">
        <f t="shared" si="30"/>
        <v>0</v>
      </c>
      <c r="E99" s="3081"/>
      <c r="F99" s="1673"/>
      <c r="G99" s="3071"/>
      <c r="H99" s="3116" t="str">
        <f t="shared" si="31"/>
        <v>——</v>
      </c>
      <c r="I99" s="3065">
        <v>0.06</v>
      </c>
      <c r="J99" s="1908">
        <f t="shared" si="27"/>
        <v>0</v>
      </c>
      <c r="K99" s="1908">
        <f t="shared" si="28"/>
        <v>0</v>
      </c>
      <c r="L99" s="1908">
        <v>0</v>
      </c>
      <c r="M99" s="1908">
        <f t="shared" si="29"/>
        <v>0</v>
      </c>
      <c r="N99" s="1908">
        <f t="shared" si="29"/>
        <v>0</v>
      </c>
    </row>
    <row r="100" spans="1:14" ht="24">
      <c r="A100" s="3077" t="s">
        <v>3268</v>
      </c>
      <c r="B100" s="3068">
        <f>估价对象房地状况!C22</f>
        <v>0</v>
      </c>
      <c r="C100" s="1883"/>
      <c r="D100" s="2306">
        <f t="shared" si="30"/>
        <v>0</v>
      </c>
      <c r="E100" s="3081"/>
      <c r="F100" s="1673"/>
      <c r="G100" s="3071"/>
      <c r="H100" s="3116" t="str">
        <f t="shared" si="31"/>
        <v>——</v>
      </c>
      <c r="I100" s="3065">
        <v>0.09</v>
      </c>
      <c r="J100" s="1908">
        <f t="shared" si="27"/>
        <v>0</v>
      </c>
      <c r="K100" s="1908">
        <f t="shared" si="28"/>
        <v>0</v>
      </c>
      <c r="L100" s="1908">
        <v>0</v>
      </c>
      <c r="M100" s="1908">
        <f t="shared" si="29"/>
        <v>0</v>
      </c>
      <c r="N100" s="1908">
        <f t="shared" si="29"/>
        <v>0</v>
      </c>
    </row>
    <row r="101" spans="1:14" ht="24.75" thickBot="1">
      <c r="A101" s="3078" t="s">
        <v>3269</v>
      </c>
      <c r="B101" s="3085">
        <f>估价对象房地状况!C20</f>
        <v>0</v>
      </c>
      <c r="C101" s="1883"/>
      <c r="D101" s="2306">
        <f t="shared" si="30"/>
        <v>0</v>
      </c>
      <c r="E101" s="3082"/>
      <c r="F101" s="1673"/>
      <c r="G101" s="3071"/>
      <c r="H101" s="3116" t="str">
        <f t="shared" si="31"/>
        <v>——</v>
      </c>
      <c r="I101" s="3066">
        <v>7.0000000000000007E-2</v>
      </c>
      <c r="J101" s="1908">
        <f t="shared" si="27"/>
        <v>0</v>
      </c>
      <c r="K101" s="1908">
        <f t="shared" si="28"/>
        <v>0</v>
      </c>
      <c r="L101" s="1908">
        <v>0</v>
      </c>
      <c r="M101" s="1908">
        <f t="shared" si="29"/>
        <v>0</v>
      </c>
      <c r="N101" s="1908">
        <f t="shared" si="29"/>
        <v>0</v>
      </c>
    </row>
    <row r="103" spans="1:14">
      <c r="A103" s="3493" t="s">
        <v>3284</v>
      </c>
      <c r="B103" s="3493"/>
      <c r="C103" s="3493"/>
      <c r="D103" s="3493"/>
      <c r="E103" s="3493"/>
      <c r="F103" s="3493"/>
      <c r="G103" s="3493"/>
      <c r="H103" s="3493"/>
      <c r="I103" s="3493"/>
      <c r="J103" s="3493"/>
      <c r="K103" s="1665"/>
      <c r="L103" s="1665"/>
      <c r="M103" s="1665"/>
      <c r="N103" s="1665"/>
    </row>
    <row r="104" spans="1:14">
      <c r="A104" s="3494" t="s">
        <v>3285</v>
      </c>
      <c r="B104" s="3494" t="s">
        <v>3286</v>
      </c>
      <c r="C104" s="3087" t="s">
        <v>3287</v>
      </c>
      <c r="D104" s="3088"/>
      <c r="E104" s="3088"/>
      <c r="F104" s="3088"/>
      <c r="G104" s="3088"/>
      <c r="H104" s="3088"/>
      <c r="I104" s="3088"/>
      <c r="J104" s="3089"/>
      <c r="K104" s="3090"/>
      <c r="L104" s="3090"/>
      <c r="M104" s="3090"/>
      <c r="N104" s="3090"/>
    </row>
    <row r="105" spans="1:14">
      <c r="A105" s="3494"/>
      <c r="B105" s="3494"/>
      <c r="C105" s="3091" t="s">
        <v>3288</v>
      </c>
      <c r="D105" s="3091" t="s">
        <v>3289</v>
      </c>
      <c r="E105" s="3091" t="s">
        <v>3290</v>
      </c>
      <c r="F105" s="3091" t="s">
        <v>3291</v>
      </c>
      <c r="G105" s="3091" t="s">
        <v>3292</v>
      </c>
      <c r="H105" s="3091" t="s">
        <v>3293</v>
      </c>
      <c r="I105" s="3091" t="s">
        <v>3294</v>
      </c>
      <c r="J105" s="3091" t="s">
        <v>3295</v>
      </c>
      <c r="K105" s="3091" t="s">
        <v>3296</v>
      </c>
      <c r="L105" s="3091" t="s">
        <v>3297</v>
      </c>
      <c r="M105" s="3091" t="s">
        <v>3298</v>
      </c>
      <c r="N105" s="3091" t="s">
        <v>3299</v>
      </c>
    </row>
    <row r="106" spans="1:14">
      <c r="A106" s="3480" t="s">
        <v>3300</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81"/>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81"/>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81"/>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81"/>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81"/>
      <c r="B111" s="3091" t="s">
        <v>3258</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82"/>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83" t="s">
        <v>3301</v>
      </c>
      <c r="B113" s="3483"/>
      <c r="C113" s="3483"/>
      <c r="D113" s="3483"/>
      <c r="E113" s="3483"/>
      <c r="F113" s="3483"/>
      <c r="G113" s="3483"/>
      <c r="H113" s="3483"/>
      <c r="I113" s="3483"/>
      <c r="J113" s="3483"/>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3302</v>
      </c>
      <c r="B116" s="3111">
        <f>G3</f>
        <v>1.05</v>
      </c>
      <c r="C116" s="3096" t="s">
        <v>3303</v>
      </c>
      <c r="D116" s="3097">
        <f>SUMPRODUCT((A118:A122=F116)*(B117:M117=H116)*B118:M122)</f>
        <v>0</v>
      </c>
      <c r="E116" s="162" t="s">
        <v>3304</v>
      </c>
      <c r="F116" s="3098">
        <f>E2</f>
        <v>0</v>
      </c>
      <c r="G116" s="162" t="s">
        <v>3305</v>
      </c>
      <c r="H116" s="3098" t="str">
        <f>G2</f>
        <v>六级</v>
      </c>
      <c r="I116" s="162"/>
      <c r="J116" s="3099"/>
      <c r="K116" s="3099"/>
      <c r="L116" s="3099"/>
      <c r="M116" s="3099"/>
      <c r="N116" s="3094"/>
    </row>
    <row r="117" spans="1:14">
      <c r="A117" s="3100"/>
      <c r="B117" s="3101" t="s">
        <v>3306</v>
      </c>
      <c r="C117" s="3101" t="s">
        <v>3307</v>
      </c>
      <c r="D117" s="3101" t="s">
        <v>3308</v>
      </c>
      <c r="E117" s="3102" t="s">
        <v>3309</v>
      </c>
      <c r="F117" s="3102" t="s">
        <v>3310</v>
      </c>
      <c r="G117" s="3102" t="s">
        <v>3311</v>
      </c>
      <c r="H117" s="3103" t="s">
        <v>3312</v>
      </c>
      <c r="I117" s="3103" t="s">
        <v>3313</v>
      </c>
      <c r="J117" s="3104" t="s">
        <v>3314</v>
      </c>
      <c r="K117" s="3104" t="s">
        <v>3315</v>
      </c>
      <c r="L117" s="3104" t="s">
        <v>3316</v>
      </c>
      <c r="M117" s="3105" t="s">
        <v>3317</v>
      </c>
      <c r="N117" s="3094"/>
    </row>
    <row r="118" spans="1:14">
      <c r="A118" s="3054" t="s">
        <v>3318</v>
      </c>
      <c r="B118" s="3086">
        <f>ROUND(0.9968-0.011*B116,4)</f>
        <v>0.98529999999999995</v>
      </c>
      <c r="C118" s="3086">
        <f>B118</f>
        <v>0.98529999999999995</v>
      </c>
      <c r="D118" s="3086">
        <f>ROUND(0.949-0.014*B116,4)</f>
        <v>0.93430000000000002</v>
      </c>
      <c r="E118" s="3086">
        <f>D118</f>
        <v>0.93430000000000002</v>
      </c>
      <c r="F118" s="3086">
        <f>E118</f>
        <v>0.93430000000000002</v>
      </c>
      <c r="G118" s="3086">
        <f>F118</f>
        <v>0.93430000000000002</v>
      </c>
      <c r="H118" s="3086">
        <f>G118</f>
        <v>0.93430000000000002</v>
      </c>
      <c r="I118" s="3086">
        <f>ROUND(0.8486-0.018*B116,4)</f>
        <v>0.82969999999999999</v>
      </c>
      <c r="J118" s="3086">
        <f t="shared" ref="J118:M122" si="35">I118</f>
        <v>0.82969999999999999</v>
      </c>
      <c r="K118" s="3086">
        <f t="shared" si="35"/>
        <v>0.82969999999999999</v>
      </c>
      <c r="L118" s="3086">
        <f t="shared" si="35"/>
        <v>0.82969999999999999</v>
      </c>
      <c r="M118" s="3106">
        <f t="shared" si="35"/>
        <v>0.82969999999999999</v>
      </c>
      <c r="N118" s="3094"/>
    </row>
    <row r="119" spans="1:14">
      <c r="A119" s="3054" t="s">
        <v>3319</v>
      </c>
      <c r="B119" s="3086">
        <f>ROUND(0.993-0.0112*B116,4)</f>
        <v>0.98119999999999996</v>
      </c>
      <c r="C119" s="3086">
        <f>B119</f>
        <v>0.98119999999999996</v>
      </c>
      <c r="D119" s="3086">
        <f>ROUND(0.9415-0.0142*B116,4)</f>
        <v>0.92659999999999998</v>
      </c>
      <c r="E119" s="3086">
        <f t="shared" ref="E119:H120" si="36">D119</f>
        <v>0.92659999999999998</v>
      </c>
      <c r="F119" s="3086">
        <f t="shared" si="36"/>
        <v>0.92659999999999998</v>
      </c>
      <c r="G119" s="3086">
        <f t="shared" si="36"/>
        <v>0.92659999999999998</v>
      </c>
      <c r="H119" s="3086">
        <f t="shared" si="36"/>
        <v>0.92659999999999998</v>
      </c>
      <c r="I119" s="3086">
        <f>ROUND(0.838-0.0182*B116,4)</f>
        <v>0.81889999999999996</v>
      </c>
      <c r="J119" s="3086">
        <f t="shared" si="35"/>
        <v>0.81889999999999996</v>
      </c>
      <c r="K119" s="3086">
        <f t="shared" si="35"/>
        <v>0.81889999999999996</v>
      </c>
      <c r="L119" s="3086">
        <f t="shared" si="35"/>
        <v>0.81889999999999996</v>
      </c>
      <c r="M119" s="3106">
        <f t="shared" si="35"/>
        <v>0.81889999999999996</v>
      </c>
      <c r="N119" s="3094"/>
    </row>
    <row r="120" spans="1:14">
      <c r="A120" s="3054" t="s">
        <v>3320</v>
      </c>
      <c r="B120" s="3086">
        <f>ROUND(0.9448-0.0115*B116,4)</f>
        <v>0.93269999999999997</v>
      </c>
      <c r="C120" s="3086">
        <f>B120</f>
        <v>0.93269999999999997</v>
      </c>
      <c r="D120" s="3086">
        <f>ROUND(0.937-0.0145*B116,4)</f>
        <v>0.92179999999999995</v>
      </c>
      <c r="E120" s="3086">
        <f t="shared" si="36"/>
        <v>0.92179999999999995</v>
      </c>
      <c r="F120" s="3086">
        <f t="shared" si="36"/>
        <v>0.92179999999999995</v>
      </c>
      <c r="G120" s="3086">
        <f t="shared" si="36"/>
        <v>0.92179999999999995</v>
      </c>
      <c r="H120" s="3086">
        <f t="shared" si="36"/>
        <v>0.92179999999999995</v>
      </c>
      <c r="I120" s="3086">
        <f>ROUND(0.7965-0.0185*B116,4)</f>
        <v>0.77710000000000001</v>
      </c>
      <c r="J120" s="3086">
        <f t="shared" si="35"/>
        <v>0.77710000000000001</v>
      </c>
      <c r="K120" s="3086">
        <f t="shared" si="35"/>
        <v>0.77710000000000001</v>
      </c>
      <c r="L120" s="3086">
        <f t="shared" si="35"/>
        <v>0.77710000000000001</v>
      </c>
      <c r="M120" s="3106">
        <f t="shared" si="35"/>
        <v>0.77710000000000001</v>
      </c>
      <c r="N120" s="3094"/>
    </row>
    <row r="121" spans="1:14" ht="13.5" thickBot="1">
      <c r="A121" s="3107" t="s">
        <v>3321</v>
      </c>
      <c r="B121" s="3108">
        <f>ROUND(0.7836-0.012*B116,4)</f>
        <v>0.77100000000000002</v>
      </c>
      <c r="C121" s="3108">
        <f>B121</f>
        <v>0.77100000000000002</v>
      </c>
      <c r="D121" s="3108">
        <f>ROUND(0.753-0.015*B116,4)</f>
        <v>0.73729999999999996</v>
      </c>
      <c r="E121" s="3108">
        <f>D121</f>
        <v>0.73729999999999996</v>
      </c>
      <c r="F121" s="3108">
        <f>E121</f>
        <v>0.73729999999999996</v>
      </c>
      <c r="G121" s="3108">
        <f>ROUND(0.6612-0.018*B116,4)</f>
        <v>0.64229999999999998</v>
      </c>
      <c r="H121" s="3108">
        <f>G121</f>
        <v>0.64229999999999998</v>
      </c>
      <c r="I121" s="3108">
        <f>ROUND(0.5905-0.019*B116,4)</f>
        <v>0.5706</v>
      </c>
      <c r="J121" s="3108">
        <f t="shared" si="35"/>
        <v>0.5706</v>
      </c>
      <c r="K121" s="3108">
        <f t="shared" si="35"/>
        <v>0.5706</v>
      </c>
      <c r="L121" s="3108">
        <f t="shared" si="35"/>
        <v>0.5706</v>
      </c>
      <c r="M121" s="3109">
        <f t="shared" si="35"/>
        <v>0.5706</v>
      </c>
      <c r="N121" s="3094"/>
    </row>
    <row r="122" spans="1:14">
      <c r="A122" s="3110" t="s">
        <v>2602</v>
      </c>
      <c r="B122" s="3086">
        <f>ROUND(0.9404-0.0106*B116,4)</f>
        <v>0.92930000000000001</v>
      </c>
      <c r="C122" s="3086">
        <f>B122</f>
        <v>0.92930000000000001</v>
      </c>
      <c r="D122" s="3086">
        <f>ROUND(0.8955-0.0135*B116,4)</f>
        <v>0.88129999999999997</v>
      </c>
      <c r="E122" s="3086">
        <f t="shared" ref="E122:H122" si="37">D122</f>
        <v>0.88129999999999997</v>
      </c>
      <c r="F122" s="3086">
        <f t="shared" si="37"/>
        <v>0.88129999999999997</v>
      </c>
      <c r="G122" s="3086">
        <f t="shared" si="37"/>
        <v>0.88129999999999997</v>
      </c>
      <c r="H122" s="3086">
        <f t="shared" si="37"/>
        <v>0.88129999999999997</v>
      </c>
      <c r="I122" s="3086">
        <f>ROUND(0.7632-0.0166*B116,4)</f>
        <v>0.74580000000000002</v>
      </c>
      <c r="J122" s="3086">
        <f t="shared" si="35"/>
        <v>0.74580000000000002</v>
      </c>
      <c r="K122" s="3086">
        <f t="shared" si="35"/>
        <v>0.74580000000000002</v>
      </c>
      <c r="L122" s="3086">
        <f t="shared" si="35"/>
        <v>0.74580000000000002</v>
      </c>
      <c r="M122" s="3106">
        <f t="shared" si="35"/>
        <v>0.74580000000000002</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2584</v>
      </c>
      <c r="B1" s="2808" t="s">
        <v>2585</v>
      </c>
      <c r="C1" s="2808" t="s">
        <v>2586</v>
      </c>
      <c r="D1" s="2808" t="s">
        <v>2587</v>
      </c>
      <c r="E1" s="2808" t="s">
        <v>2588</v>
      </c>
      <c r="F1" s="2808" t="s">
        <v>2589</v>
      </c>
      <c r="G1" s="2808" t="s">
        <v>2590</v>
      </c>
      <c r="H1" s="2808" t="s">
        <v>2591</v>
      </c>
      <c r="I1" s="2808" t="s">
        <v>2592</v>
      </c>
      <c r="J1" s="2808" t="s">
        <v>2593</v>
      </c>
      <c r="K1" s="2808" t="s">
        <v>2594</v>
      </c>
      <c r="L1" s="2808" t="s">
        <v>2595</v>
      </c>
      <c r="M1" s="2809" t="s">
        <v>2596</v>
      </c>
    </row>
    <row r="2" spans="1:13" ht="19.5" customHeight="1">
      <c r="A2" s="2811" t="s">
        <v>2597</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2598</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2599</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2600</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2601</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2602</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2603</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2604</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2605</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2606</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2607</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2608</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2609</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2610</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2611</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2612</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2613</v>
      </c>
      <c r="B18" s="2833"/>
      <c r="C18" s="2834"/>
      <c r="D18" s="2834"/>
      <c r="E18" s="2833"/>
      <c r="F18" s="2834"/>
      <c r="G18" s="2834"/>
    </row>
    <row r="19" spans="1:13" ht="19.5" customHeight="1" thickBot="1">
      <c r="A19" s="2831" t="s">
        <v>2614</v>
      </c>
      <c r="B19" s="2836" t="s">
        <v>2615</v>
      </c>
      <c r="C19" s="2836" t="s">
        <v>2616</v>
      </c>
      <c r="D19" s="2837"/>
      <c r="E19" s="2831" t="s">
        <v>2617</v>
      </c>
      <c r="F19" s="2838"/>
      <c r="G19" s="2838"/>
    </row>
    <row r="20" spans="1:13" ht="19.5" customHeight="1">
      <c r="A20" s="3508" t="s">
        <v>2597</v>
      </c>
      <c r="B20" s="3503" t="s">
        <v>2618</v>
      </c>
      <c r="C20" s="2839" t="s">
        <v>2429</v>
      </c>
      <c r="D20" s="2840"/>
      <c r="E20" s="2841">
        <v>1</v>
      </c>
      <c r="F20" s="2842" t="s">
        <v>2430</v>
      </c>
      <c r="G20" s="2842"/>
    </row>
    <row r="21" spans="1:13" ht="19.5" customHeight="1">
      <c r="A21" s="3509"/>
      <c r="B21" s="3502"/>
      <c r="C21" s="2843" t="s">
        <v>2431</v>
      </c>
      <c r="D21" s="2844"/>
      <c r="E21" s="2845">
        <v>1</v>
      </c>
      <c r="F21" s="2842" t="s">
        <v>2432</v>
      </c>
      <c r="G21" s="2842"/>
    </row>
    <row r="22" spans="1:13" ht="19.5" customHeight="1">
      <c r="A22" s="3509"/>
      <c r="B22" s="3502"/>
      <c r="C22" s="2843" t="s">
        <v>2433</v>
      </c>
      <c r="D22" s="2844"/>
      <c r="E22" s="2845">
        <v>0.9</v>
      </c>
      <c r="F22" s="2842" t="s">
        <v>2434</v>
      </c>
      <c r="G22" s="2842"/>
    </row>
    <row r="23" spans="1:13" ht="19.5" customHeight="1">
      <c r="A23" s="3509"/>
      <c r="B23" s="3502"/>
      <c r="C23" s="2843" t="s">
        <v>2435</v>
      </c>
      <c r="D23" s="2844"/>
      <c r="E23" s="2845">
        <v>0.9</v>
      </c>
      <c r="F23" s="2842" t="s">
        <v>2436</v>
      </c>
      <c r="G23" s="2842"/>
    </row>
    <row r="24" spans="1:13" ht="19.5" customHeight="1">
      <c r="A24" s="3509"/>
      <c r="B24" s="3502"/>
      <c r="C24" s="2843" t="s">
        <v>2437</v>
      </c>
      <c r="D24" s="2844"/>
      <c r="E24" s="2845">
        <v>0.8</v>
      </c>
      <c r="F24" s="2842" t="s">
        <v>2438</v>
      </c>
      <c r="G24" s="2842"/>
    </row>
    <row r="25" spans="1:13" ht="19.5" customHeight="1" thickBot="1">
      <c r="A25" s="3510"/>
      <c r="B25" s="3504"/>
      <c r="C25" s="2846" t="s">
        <v>2439</v>
      </c>
      <c r="D25" s="2847"/>
      <c r="E25" s="2848">
        <v>0.8</v>
      </c>
      <c r="F25" s="2842" t="s">
        <v>2440</v>
      </c>
      <c r="G25" s="2842"/>
    </row>
    <row r="26" spans="1:13" ht="19.5" customHeight="1" thickBot="1">
      <c r="A26" s="2849" t="s">
        <v>2619</v>
      </c>
      <c r="B26" s="2850" t="s">
        <v>2618</v>
      </c>
      <c r="C26" s="2851" t="s">
        <v>2620</v>
      </c>
      <c r="D26" s="2852"/>
      <c r="E26" s="2853">
        <v>1</v>
      </c>
      <c r="F26" s="2842" t="s">
        <v>2441</v>
      </c>
      <c r="G26" s="2842"/>
    </row>
    <row r="27" spans="1:13" ht="19.5" customHeight="1">
      <c r="A27" s="3505" t="s">
        <v>2621</v>
      </c>
      <c r="B27" s="3503" t="s">
        <v>2602</v>
      </c>
      <c r="C27" s="2839" t="s">
        <v>2442</v>
      </c>
      <c r="D27" s="2840"/>
      <c r="E27" s="2841">
        <v>1</v>
      </c>
      <c r="F27" s="2842" t="s">
        <v>2443</v>
      </c>
      <c r="G27" s="2842"/>
    </row>
    <row r="28" spans="1:13" ht="19.5" customHeight="1">
      <c r="A28" s="3506"/>
      <c r="B28" s="3502"/>
      <c r="C28" s="2843" t="s">
        <v>2444</v>
      </c>
      <c r="D28" s="2844"/>
      <c r="E28" s="2845">
        <v>1</v>
      </c>
      <c r="F28" s="2842" t="s">
        <v>2445</v>
      </c>
      <c r="G28" s="2842"/>
    </row>
    <row r="29" spans="1:13" ht="19.5" customHeight="1">
      <c r="A29" s="3506"/>
      <c r="B29" s="3502"/>
      <c r="C29" s="2843" t="s">
        <v>2446</v>
      </c>
      <c r="D29" s="2844"/>
      <c r="E29" s="2845">
        <v>0.8</v>
      </c>
      <c r="F29" s="2842" t="s">
        <v>2447</v>
      </c>
      <c r="G29" s="2842"/>
    </row>
    <row r="30" spans="1:13" ht="19.5" customHeight="1">
      <c r="A30" s="3506"/>
      <c r="B30" s="3502"/>
      <c r="C30" s="2843" t="s">
        <v>2448</v>
      </c>
      <c r="D30" s="2844"/>
      <c r="E30" s="2845">
        <v>0.8</v>
      </c>
      <c r="F30" s="2842" t="s">
        <v>2449</v>
      </c>
      <c r="G30" s="2842"/>
    </row>
    <row r="31" spans="1:13" ht="19.5" customHeight="1">
      <c r="A31" s="3506"/>
      <c r="B31" s="3502"/>
      <c r="C31" s="2843" t="s">
        <v>2450</v>
      </c>
      <c r="D31" s="2844"/>
      <c r="E31" s="2845">
        <v>0.8</v>
      </c>
      <c r="F31" s="2842" t="s">
        <v>2451</v>
      </c>
      <c r="G31" s="2842"/>
    </row>
    <row r="32" spans="1:13" ht="19.5" customHeight="1">
      <c r="A32" s="3506"/>
      <c r="B32" s="3502"/>
      <c r="C32" s="2843" t="s">
        <v>2452</v>
      </c>
      <c r="D32" s="2844"/>
      <c r="E32" s="2845">
        <v>0.7</v>
      </c>
      <c r="F32" s="2842" t="s">
        <v>2453</v>
      </c>
      <c r="G32" s="2842"/>
    </row>
    <row r="33" spans="1:7" ht="19.5" customHeight="1">
      <c r="A33" s="3506"/>
      <c r="B33" s="3502"/>
      <c r="C33" s="2843" t="s">
        <v>2454</v>
      </c>
      <c r="D33" s="2844"/>
      <c r="E33" s="2845">
        <v>0.8</v>
      </c>
      <c r="F33" s="2842" t="s">
        <v>2455</v>
      </c>
      <c r="G33" s="2842"/>
    </row>
    <row r="34" spans="1:7" ht="19.5" customHeight="1">
      <c r="A34" s="3506"/>
      <c r="B34" s="3502"/>
      <c r="C34" s="2843" t="s">
        <v>2456</v>
      </c>
      <c r="D34" s="2844"/>
      <c r="E34" s="2845">
        <v>0.6</v>
      </c>
      <c r="F34" s="2842" t="s">
        <v>2457</v>
      </c>
      <c r="G34" s="2842"/>
    </row>
    <row r="35" spans="1:7" ht="19.5" customHeight="1">
      <c r="A35" s="3506"/>
      <c r="B35" s="3502"/>
      <c r="C35" s="2843" t="s">
        <v>2458</v>
      </c>
      <c r="D35" s="2844"/>
      <c r="E35" s="2845">
        <v>0.2</v>
      </c>
      <c r="F35" s="2842" t="s">
        <v>2459</v>
      </c>
      <c r="G35" s="2842"/>
    </row>
    <row r="36" spans="1:7" ht="19.5" customHeight="1">
      <c r="A36" s="3506"/>
      <c r="B36" s="3502"/>
      <c r="C36" s="2843" t="s">
        <v>2460</v>
      </c>
      <c r="D36" s="2844"/>
      <c r="E36" s="2845">
        <v>0.2</v>
      </c>
      <c r="F36" s="2842" t="s">
        <v>2461</v>
      </c>
      <c r="G36" s="2842"/>
    </row>
    <row r="37" spans="1:7" ht="19.5" customHeight="1">
      <c r="A37" s="3506"/>
      <c r="B37" s="3500" t="s">
        <v>2622</v>
      </c>
      <c r="C37" s="2843" t="s">
        <v>2462</v>
      </c>
      <c r="D37" s="2844"/>
      <c r="E37" s="2845">
        <v>0.6</v>
      </c>
      <c r="F37" s="2842" t="s">
        <v>2463</v>
      </c>
      <c r="G37" s="2842"/>
    </row>
    <row r="38" spans="1:7" ht="19.5" customHeight="1">
      <c r="A38" s="3506"/>
      <c r="B38" s="3502"/>
      <c r="C38" s="2843" t="s">
        <v>2464</v>
      </c>
      <c r="D38" s="2844"/>
      <c r="E38" s="2845">
        <v>0.6</v>
      </c>
      <c r="F38" s="2842" t="s">
        <v>2465</v>
      </c>
      <c r="G38" s="2842"/>
    </row>
    <row r="39" spans="1:7" ht="19.5" customHeight="1" thickBot="1">
      <c r="A39" s="3507"/>
      <c r="B39" s="3504"/>
      <c r="C39" s="2846" t="s">
        <v>2466</v>
      </c>
      <c r="D39" s="2847"/>
      <c r="E39" s="2848">
        <v>0.6</v>
      </c>
      <c r="F39" s="2842" t="s">
        <v>2467</v>
      </c>
      <c r="G39" s="2842"/>
    </row>
    <row r="40" spans="1:7" ht="19.5" customHeight="1" thickBot="1">
      <c r="A40" s="2849" t="s">
        <v>2599</v>
      </c>
      <c r="B40" s="2850" t="s">
        <v>2599</v>
      </c>
      <c r="C40" s="2851" t="s">
        <v>2623</v>
      </c>
      <c r="D40" s="2852"/>
      <c r="E40" s="2853">
        <v>1</v>
      </c>
      <c r="F40" s="2842" t="s">
        <v>2468</v>
      </c>
      <c r="G40" s="2842"/>
    </row>
    <row r="41" spans="1:7" ht="19.5" customHeight="1">
      <c r="A41" s="3508" t="s">
        <v>2600</v>
      </c>
      <c r="B41" s="3503" t="s">
        <v>2624</v>
      </c>
      <c r="C41" s="2839" t="s">
        <v>2469</v>
      </c>
      <c r="D41" s="2840"/>
      <c r="E41" s="2841">
        <v>1</v>
      </c>
      <c r="F41" s="2842" t="s">
        <v>2470</v>
      </c>
      <c r="G41" s="2842"/>
    </row>
    <row r="42" spans="1:7" ht="19.5" customHeight="1">
      <c r="A42" s="3509"/>
      <c r="B42" s="3502"/>
      <c r="C42" s="2843" t="s">
        <v>2471</v>
      </c>
      <c r="D42" s="2844"/>
      <c r="E42" s="2845">
        <v>1</v>
      </c>
      <c r="F42" s="2842" t="s">
        <v>2472</v>
      </c>
      <c r="G42" s="2842"/>
    </row>
    <row r="43" spans="1:7" ht="19.5" customHeight="1">
      <c r="A43" s="3509"/>
      <c r="B43" s="3501"/>
      <c r="C43" s="2843" t="s">
        <v>2473</v>
      </c>
      <c r="D43" s="2844"/>
      <c r="E43" s="2845">
        <v>1.5</v>
      </c>
      <c r="F43" s="2842" t="s">
        <v>2474</v>
      </c>
      <c r="G43" s="2842"/>
    </row>
    <row r="44" spans="1:7" ht="19.5" customHeight="1">
      <c r="A44" s="3509"/>
      <c r="B44" s="2854" t="s">
        <v>2625</v>
      </c>
      <c r="C44" s="2843" t="s">
        <v>2626</v>
      </c>
      <c r="D44" s="2844"/>
      <c r="E44" s="2845">
        <v>2</v>
      </c>
      <c r="F44" s="2842" t="s">
        <v>2475</v>
      </c>
      <c r="G44" s="2842"/>
    </row>
    <row r="45" spans="1:7" ht="19.5" customHeight="1">
      <c r="A45" s="3509"/>
      <c r="B45" s="3500" t="s">
        <v>2627</v>
      </c>
      <c r="C45" s="2843" t="s">
        <v>2476</v>
      </c>
      <c r="D45" s="2844"/>
      <c r="E45" s="2845">
        <v>1</v>
      </c>
      <c r="F45" s="2842" t="s">
        <v>2477</v>
      </c>
      <c r="G45" s="2842"/>
    </row>
    <row r="46" spans="1:7" ht="19.5" customHeight="1">
      <c r="A46" s="3509"/>
      <c r="B46" s="3502"/>
      <c r="C46" s="2843" t="s">
        <v>2478</v>
      </c>
      <c r="D46" s="2844"/>
      <c r="E46" s="2845">
        <v>1</v>
      </c>
      <c r="F46" s="2842" t="s">
        <v>2479</v>
      </c>
      <c r="G46" s="2842"/>
    </row>
    <row r="47" spans="1:7" ht="19.5" customHeight="1">
      <c r="A47" s="3509"/>
      <c r="B47" s="3502"/>
      <c r="C47" s="2843" t="s">
        <v>2480</v>
      </c>
      <c r="D47" s="2844"/>
      <c r="E47" s="2845">
        <v>1</v>
      </c>
      <c r="F47" s="2842" t="s">
        <v>2481</v>
      </c>
      <c r="G47" s="2842"/>
    </row>
    <row r="48" spans="1:7" ht="19.5" customHeight="1">
      <c r="A48" s="3509"/>
      <c r="B48" s="3502"/>
      <c r="C48" s="2843" t="s">
        <v>2482</v>
      </c>
      <c r="D48" s="2844"/>
      <c r="E48" s="2845">
        <v>1</v>
      </c>
      <c r="F48" s="2842" t="s">
        <v>2483</v>
      </c>
      <c r="G48" s="2842"/>
    </row>
    <row r="49" spans="1:7" ht="19.5" customHeight="1">
      <c r="A49" s="3509"/>
      <c r="B49" s="3502"/>
      <c r="C49" s="2843" t="s">
        <v>2484</v>
      </c>
      <c r="D49" s="2844"/>
      <c r="E49" s="2845">
        <v>1</v>
      </c>
      <c r="F49" s="2842" t="s">
        <v>2485</v>
      </c>
      <c r="G49" s="2842"/>
    </row>
    <row r="50" spans="1:7" ht="19.5" customHeight="1">
      <c r="A50" s="3509"/>
      <c r="B50" s="3502"/>
      <c r="C50" s="2843" t="s">
        <v>2486</v>
      </c>
      <c r="D50" s="2844"/>
      <c r="E50" s="2845">
        <v>1</v>
      </c>
      <c r="F50" s="2842" t="s">
        <v>2487</v>
      </c>
      <c r="G50" s="2842"/>
    </row>
    <row r="51" spans="1:7" ht="19.5" customHeight="1" thickBot="1">
      <c r="A51" s="3510"/>
      <c r="B51" s="3504"/>
      <c r="C51" s="2846" t="s">
        <v>2488</v>
      </c>
      <c r="D51" s="2847"/>
      <c r="E51" s="2848">
        <v>1</v>
      </c>
      <c r="F51" s="2842" t="s">
        <v>2489</v>
      </c>
      <c r="G51" s="2842"/>
    </row>
    <row r="52" spans="1:7" ht="19.5" customHeight="1">
      <c r="A52" s="2855"/>
      <c r="B52" s="2855"/>
      <c r="C52" s="2855"/>
      <c r="D52" s="2855"/>
      <c r="E52" s="2855"/>
      <c r="F52" s="2855"/>
      <c r="G52" s="2855"/>
    </row>
    <row r="54" spans="1:7" ht="19.5" customHeight="1">
      <c r="A54" s="2856"/>
      <c r="B54" s="2828" t="s">
        <v>2628</v>
      </c>
      <c r="C54" s="2828" t="s">
        <v>2628</v>
      </c>
      <c r="D54" s="2828" t="s">
        <v>2628</v>
      </c>
      <c r="E54" s="2831" t="s">
        <v>2628</v>
      </c>
      <c r="F54" s="2831" t="s">
        <v>2629</v>
      </c>
      <c r="G54" s="2831" t="s">
        <v>2630</v>
      </c>
    </row>
    <row r="55" spans="1:7" ht="19.5" customHeight="1">
      <c r="A55" s="2857"/>
      <c r="B55" s="2831" t="s">
        <v>2597</v>
      </c>
      <c r="C55" s="2831" t="s">
        <v>2597</v>
      </c>
      <c r="D55" s="2831" t="s">
        <v>2597</v>
      </c>
      <c r="E55" s="2828" t="s">
        <v>2598</v>
      </c>
      <c r="F55" s="2828" t="s">
        <v>2600</v>
      </c>
      <c r="G55" s="2828" t="s">
        <v>2631</v>
      </c>
    </row>
    <row r="56" spans="1:7" ht="19.5" customHeight="1">
      <c r="A56" s="2858"/>
      <c r="B56" s="2828">
        <v>1</v>
      </c>
      <c r="C56" s="2828">
        <v>2</v>
      </c>
      <c r="D56" s="2828">
        <v>3</v>
      </c>
      <c r="E56" s="2859" t="s">
        <v>2632</v>
      </c>
      <c r="F56" s="2859" t="s">
        <v>2632</v>
      </c>
      <c r="G56" s="2859" t="s">
        <v>2632</v>
      </c>
    </row>
    <row r="57" spans="1:7" ht="19.5" customHeight="1">
      <c r="A57" s="2860" t="s">
        <v>2585</v>
      </c>
      <c r="B57" s="2828">
        <v>0.7</v>
      </c>
      <c r="C57" s="2828">
        <v>0.4</v>
      </c>
      <c r="D57" s="2828">
        <v>0.3</v>
      </c>
      <c r="E57" s="2859">
        <v>0.3</v>
      </c>
      <c r="F57" s="2828">
        <v>0.3</v>
      </c>
      <c r="G57" s="2828">
        <v>0.2</v>
      </c>
    </row>
    <row r="58" spans="1:7" ht="19.5" customHeight="1">
      <c r="A58" s="2860" t="s">
        <v>2586</v>
      </c>
      <c r="B58" s="2828">
        <v>0.7</v>
      </c>
      <c r="C58" s="2828">
        <v>0.4</v>
      </c>
      <c r="D58" s="2828">
        <v>0.3</v>
      </c>
      <c r="E58" s="2828">
        <v>0.3</v>
      </c>
      <c r="F58" s="2828">
        <v>0.3</v>
      </c>
      <c r="G58" s="2828">
        <v>0.2</v>
      </c>
    </row>
    <row r="59" spans="1:7" ht="19.5" customHeight="1">
      <c r="A59" s="2860" t="s">
        <v>2587</v>
      </c>
      <c r="B59" s="2828">
        <v>0.6</v>
      </c>
      <c r="C59" s="2828">
        <v>0.3</v>
      </c>
      <c r="D59" s="2828">
        <v>0.25</v>
      </c>
      <c r="E59" s="2828">
        <v>0.25</v>
      </c>
      <c r="F59" s="2828">
        <v>0.25</v>
      </c>
      <c r="G59" s="2828">
        <v>0.15</v>
      </c>
    </row>
    <row r="60" spans="1:7" ht="19.5" customHeight="1">
      <c r="A60" s="2860" t="s">
        <v>2588</v>
      </c>
      <c r="B60" s="2828">
        <v>0.6</v>
      </c>
      <c r="C60" s="2828">
        <v>0.3</v>
      </c>
      <c r="D60" s="2828">
        <v>0.25</v>
      </c>
      <c r="E60" s="2828">
        <v>0.25</v>
      </c>
      <c r="F60" s="2828">
        <v>0.25</v>
      </c>
      <c r="G60" s="2828">
        <v>0.15</v>
      </c>
    </row>
    <row r="61" spans="1:7" ht="19.5" customHeight="1">
      <c r="A61" s="2860" t="s">
        <v>2589</v>
      </c>
      <c r="B61" s="2828">
        <v>0.6</v>
      </c>
      <c r="C61" s="2828">
        <v>0.3</v>
      </c>
      <c r="D61" s="2828">
        <v>0.25</v>
      </c>
      <c r="E61" s="2828">
        <v>0.25</v>
      </c>
      <c r="F61" s="2828">
        <v>0.25</v>
      </c>
      <c r="G61" s="2828">
        <v>0.15</v>
      </c>
    </row>
    <row r="62" spans="1:7" ht="19.5" customHeight="1">
      <c r="A62" s="2860" t="s">
        <v>2590</v>
      </c>
      <c r="B62" s="2828">
        <v>0.6</v>
      </c>
      <c r="C62" s="2828">
        <v>0.3</v>
      </c>
      <c r="D62" s="2828">
        <v>0.25</v>
      </c>
      <c r="E62" s="2828">
        <v>0.25</v>
      </c>
      <c r="F62" s="2828">
        <v>0.25</v>
      </c>
      <c r="G62" s="2828">
        <v>0.15</v>
      </c>
    </row>
    <row r="63" spans="1:7" ht="19.5" customHeight="1">
      <c r="A63" s="2860" t="s">
        <v>2591</v>
      </c>
      <c r="B63" s="2828">
        <v>0.6</v>
      </c>
      <c r="C63" s="2828">
        <v>0.3</v>
      </c>
      <c r="D63" s="2828">
        <v>0.25</v>
      </c>
      <c r="E63" s="2828">
        <v>0.25</v>
      </c>
      <c r="F63" s="2828">
        <v>0.25</v>
      </c>
      <c r="G63" s="2828">
        <v>0.15</v>
      </c>
    </row>
    <row r="64" spans="1:7" ht="19.5" customHeight="1">
      <c r="A64" s="2860" t="s">
        <v>2592</v>
      </c>
      <c r="B64" s="2828">
        <v>0.5</v>
      </c>
      <c r="C64" s="2828">
        <v>0.2</v>
      </c>
      <c r="D64" s="2828">
        <v>0.2</v>
      </c>
      <c r="E64" s="2828">
        <v>0.2</v>
      </c>
      <c r="F64" s="2828">
        <v>0.2</v>
      </c>
      <c r="G64" s="2828">
        <v>0.1</v>
      </c>
    </row>
    <row r="65" spans="1:7" ht="19.5" customHeight="1">
      <c r="A65" s="2860" t="s">
        <v>2593</v>
      </c>
      <c r="B65" s="2828">
        <v>0.5</v>
      </c>
      <c r="C65" s="2828">
        <v>0.2</v>
      </c>
      <c r="D65" s="2828">
        <v>0.2</v>
      </c>
      <c r="E65" s="2828">
        <v>0.2</v>
      </c>
      <c r="F65" s="2828">
        <v>0.2</v>
      </c>
      <c r="G65" s="2828">
        <v>0.1</v>
      </c>
    </row>
    <row r="66" spans="1:7" ht="19.5" customHeight="1">
      <c r="A66" s="2860" t="s">
        <v>2594</v>
      </c>
      <c r="B66" s="2828">
        <v>0.5</v>
      </c>
      <c r="C66" s="2828">
        <v>0.2</v>
      </c>
      <c r="D66" s="2828">
        <v>0.2</v>
      </c>
      <c r="E66" s="2828">
        <v>0.2</v>
      </c>
      <c r="F66" s="2828">
        <v>0.2</v>
      </c>
      <c r="G66" s="2828">
        <v>0.1</v>
      </c>
    </row>
    <row r="67" spans="1:7" ht="19.5" customHeight="1">
      <c r="A67" s="2860" t="s">
        <v>2595</v>
      </c>
      <c r="B67" s="2828">
        <v>0.5</v>
      </c>
      <c r="C67" s="2828">
        <v>0.2</v>
      </c>
      <c r="D67" s="2828">
        <v>0.2</v>
      </c>
      <c r="E67" s="2828">
        <v>0.2</v>
      </c>
      <c r="F67" s="2828">
        <v>0.2</v>
      </c>
      <c r="G67" s="2828">
        <v>0.1</v>
      </c>
    </row>
    <row r="68" spans="1:7" ht="19.5" customHeight="1">
      <c r="A68" s="2860" t="s">
        <v>2596</v>
      </c>
      <c r="B68" s="2828">
        <v>0.5</v>
      </c>
      <c r="C68" s="2828">
        <v>0.2</v>
      </c>
      <c r="D68" s="2828">
        <v>0.2</v>
      </c>
      <c r="E68" s="2828">
        <v>0.2</v>
      </c>
      <c r="F68" s="2828">
        <v>0.2</v>
      </c>
      <c r="G68" s="2828">
        <v>0.1</v>
      </c>
    </row>
    <row r="70" spans="1:7" ht="19.5" customHeight="1">
      <c r="A70" s="2842"/>
      <c r="B70" s="2861"/>
      <c r="C70" s="2861"/>
      <c r="D70" s="2861" t="s">
        <v>2633</v>
      </c>
      <c r="E70" s="2861"/>
      <c r="F70" s="2861"/>
    </row>
    <row r="71" spans="1:7" ht="19.5" customHeight="1">
      <c r="A71" s="2854" t="s">
        <v>2634</v>
      </c>
      <c r="B71" s="2854" t="s">
        <v>2635</v>
      </c>
      <c r="C71" s="2854" t="s">
        <v>2636</v>
      </c>
      <c r="D71" s="2854" t="s">
        <v>2637</v>
      </c>
      <c r="E71" s="2854" t="s">
        <v>2638</v>
      </c>
      <c r="F71" s="2854" t="s">
        <v>2639</v>
      </c>
    </row>
    <row r="72" spans="1:7" ht="13.5">
      <c r="A72" s="2854"/>
      <c r="B72" s="2854"/>
      <c r="C72" s="2854" t="s">
        <v>2640</v>
      </c>
      <c r="D72" s="2854"/>
      <c r="E72" s="2854" t="s">
        <v>2611</v>
      </c>
      <c r="F72" s="2854" t="s">
        <v>2611</v>
      </c>
    </row>
    <row r="73" spans="1:7" ht="13.5">
      <c r="A73" s="2854">
        <v>1</v>
      </c>
      <c r="B73" s="3500" t="s">
        <v>2641</v>
      </c>
      <c r="C73" s="2828" t="s">
        <v>2642</v>
      </c>
      <c r="D73" s="2828" t="s">
        <v>2643</v>
      </c>
      <c r="E73" s="2854">
        <v>0.2</v>
      </c>
      <c r="F73" s="2854">
        <v>25</v>
      </c>
    </row>
    <row r="74" spans="1:7" ht="24">
      <c r="A74" s="2854">
        <v>2</v>
      </c>
      <c r="B74" s="3502"/>
      <c r="C74" s="2828" t="s">
        <v>2644</v>
      </c>
      <c r="D74" s="2828" t="s">
        <v>2645</v>
      </c>
      <c r="E74" s="2854">
        <v>0.2</v>
      </c>
      <c r="F74" s="2854">
        <v>25</v>
      </c>
    </row>
    <row r="75" spans="1:7" ht="24">
      <c r="A75" s="2854">
        <v>3</v>
      </c>
      <c r="B75" s="3502"/>
      <c r="C75" s="2828" t="s">
        <v>2646</v>
      </c>
      <c r="D75" s="2828" t="s">
        <v>2647</v>
      </c>
      <c r="E75" s="2854">
        <v>0.2</v>
      </c>
      <c r="F75" s="2854">
        <v>25</v>
      </c>
    </row>
    <row r="76" spans="1:7" ht="13.5">
      <c r="A76" s="2854">
        <v>4</v>
      </c>
      <c r="B76" s="3502"/>
      <c r="C76" s="2828" t="s">
        <v>2648</v>
      </c>
      <c r="D76" s="2828" t="s">
        <v>2649</v>
      </c>
      <c r="E76" s="2854">
        <v>0.15</v>
      </c>
      <c r="F76" s="2854">
        <v>20</v>
      </c>
    </row>
    <row r="77" spans="1:7" ht="24">
      <c r="A77" s="2854">
        <v>5</v>
      </c>
      <c r="B77" s="3502"/>
      <c r="C77" s="2828" t="s">
        <v>2650</v>
      </c>
      <c r="D77" s="2828" t="s">
        <v>2651</v>
      </c>
      <c r="E77" s="2854">
        <v>0.15</v>
      </c>
      <c r="F77" s="2854">
        <v>20</v>
      </c>
    </row>
    <row r="78" spans="1:7" ht="24">
      <c r="A78" s="2854">
        <v>6</v>
      </c>
      <c r="B78" s="3502"/>
      <c r="C78" s="2828" t="s">
        <v>2652</v>
      </c>
      <c r="D78" s="2828" t="s">
        <v>2653</v>
      </c>
      <c r="E78" s="2854">
        <v>0.15</v>
      </c>
      <c r="F78" s="2854">
        <v>20</v>
      </c>
    </row>
    <row r="79" spans="1:7" ht="24">
      <c r="A79" s="2854">
        <v>7</v>
      </c>
      <c r="B79" s="3502"/>
      <c r="C79" s="2828" t="s">
        <v>2654</v>
      </c>
      <c r="D79" s="2828" t="s">
        <v>2655</v>
      </c>
      <c r="E79" s="2854">
        <v>0.15</v>
      </c>
      <c r="F79" s="2854">
        <v>20</v>
      </c>
    </row>
    <row r="80" spans="1:7" ht="24">
      <c r="A80" s="2854">
        <v>8</v>
      </c>
      <c r="B80" s="3502"/>
      <c r="C80" s="2828" t="s">
        <v>2656</v>
      </c>
      <c r="D80" s="2828" t="s">
        <v>2657</v>
      </c>
      <c r="E80" s="2854">
        <v>0.1</v>
      </c>
      <c r="F80" s="2854">
        <v>15</v>
      </c>
    </row>
    <row r="81" spans="1:6" ht="24">
      <c r="A81" s="2854">
        <v>9</v>
      </c>
      <c r="B81" s="3502"/>
      <c r="C81" s="2828" t="s">
        <v>2658</v>
      </c>
      <c r="D81" s="2828" t="s">
        <v>2659</v>
      </c>
      <c r="E81" s="2854">
        <v>0.1</v>
      </c>
      <c r="F81" s="2854">
        <v>15</v>
      </c>
    </row>
    <row r="82" spans="1:6" ht="24">
      <c r="A82" s="2854">
        <v>10</v>
      </c>
      <c r="B82" s="3502"/>
      <c r="C82" s="2828" t="s">
        <v>2660</v>
      </c>
      <c r="D82" s="2828" t="s">
        <v>2661</v>
      </c>
      <c r="E82" s="2854">
        <v>0.1</v>
      </c>
      <c r="F82" s="2854">
        <v>15</v>
      </c>
    </row>
    <row r="83" spans="1:6" ht="24">
      <c r="A83" s="2854">
        <v>11</v>
      </c>
      <c r="B83" s="3502"/>
      <c r="C83" s="2828" t="s">
        <v>2662</v>
      </c>
      <c r="D83" s="2828" t="s">
        <v>2663</v>
      </c>
      <c r="E83" s="2854">
        <v>0.1</v>
      </c>
      <c r="F83" s="2854">
        <v>15</v>
      </c>
    </row>
    <row r="84" spans="1:6" ht="24">
      <c r="A84" s="2854">
        <v>12</v>
      </c>
      <c r="B84" s="3502"/>
      <c r="C84" s="2828" t="s">
        <v>2664</v>
      </c>
      <c r="D84" s="2828" t="s">
        <v>2665</v>
      </c>
      <c r="E84" s="2854">
        <v>0.1</v>
      </c>
      <c r="F84" s="2854">
        <v>15</v>
      </c>
    </row>
    <row r="85" spans="1:6" ht="13.5">
      <c r="A85" s="2854">
        <v>13</v>
      </c>
      <c r="B85" s="3502"/>
      <c r="C85" s="2828" t="s">
        <v>2666</v>
      </c>
      <c r="D85" s="2828" t="s">
        <v>2667</v>
      </c>
      <c r="E85" s="2854">
        <v>0.1</v>
      </c>
      <c r="F85" s="2854">
        <v>15</v>
      </c>
    </row>
    <row r="86" spans="1:6" ht="13.5">
      <c r="A86" s="2854">
        <v>14</v>
      </c>
      <c r="B86" s="3502"/>
      <c r="C86" s="2828" t="s">
        <v>2668</v>
      </c>
      <c r="D86" s="2828" t="s">
        <v>2669</v>
      </c>
      <c r="E86" s="2854">
        <v>0.1</v>
      </c>
      <c r="F86" s="2854">
        <v>15</v>
      </c>
    </row>
    <row r="87" spans="1:6" ht="13.5">
      <c r="A87" s="2854">
        <v>15</v>
      </c>
      <c r="B87" s="3502"/>
      <c r="C87" s="2828" t="s">
        <v>2670</v>
      </c>
      <c r="D87" s="2828" t="s">
        <v>2671</v>
      </c>
      <c r="E87" s="2854">
        <v>0.1</v>
      </c>
      <c r="F87" s="2854">
        <v>15</v>
      </c>
    </row>
    <row r="88" spans="1:6" ht="24">
      <c r="A88" s="2854">
        <v>16</v>
      </c>
      <c r="B88" s="3502"/>
      <c r="C88" s="2828" t="s">
        <v>2672</v>
      </c>
      <c r="D88" s="2828" t="s">
        <v>2673</v>
      </c>
      <c r="E88" s="2854">
        <v>0.1</v>
      </c>
      <c r="F88" s="2854">
        <v>15</v>
      </c>
    </row>
    <row r="89" spans="1:6" ht="24">
      <c r="A89" s="2854">
        <v>17</v>
      </c>
      <c r="B89" s="3501"/>
      <c r="C89" s="2828" t="s">
        <v>2674</v>
      </c>
      <c r="D89" s="2828" t="s">
        <v>2675</v>
      </c>
      <c r="E89" s="2854">
        <v>0.1</v>
      </c>
      <c r="F89" s="2854">
        <v>15</v>
      </c>
    </row>
    <row r="90" spans="1:6" ht="13.5">
      <c r="A90" s="2854">
        <v>18</v>
      </c>
      <c r="B90" s="3500" t="s">
        <v>2676</v>
      </c>
      <c r="C90" s="2828" t="s">
        <v>2677</v>
      </c>
      <c r="D90" s="2828" t="s">
        <v>2678</v>
      </c>
      <c r="E90" s="2854">
        <v>0.2</v>
      </c>
      <c r="F90" s="2854">
        <v>25</v>
      </c>
    </row>
    <row r="91" spans="1:6" ht="24">
      <c r="A91" s="2854">
        <v>19</v>
      </c>
      <c r="B91" s="3502"/>
      <c r="C91" s="2828" t="s">
        <v>2679</v>
      </c>
      <c r="D91" s="2828" t="s">
        <v>2680</v>
      </c>
      <c r="E91" s="2854">
        <v>0.2</v>
      </c>
      <c r="F91" s="2854">
        <v>25</v>
      </c>
    </row>
    <row r="92" spans="1:6" ht="13.5">
      <c r="A92" s="2854">
        <v>20</v>
      </c>
      <c r="B92" s="3502"/>
      <c r="C92" s="2828" t="s">
        <v>2681</v>
      </c>
      <c r="D92" s="2828" t="s">
        <v>2682</v>
      </c>
      <c r="E92" s="2854">
        <v>0.15</v>
      </c>
      <c r="F92" s="2854">
        <v>20</v>
      </c>
    </row>
    <row r="93" spans="1:6" ht="13.5">
      <c r="A93" s="2854">
        <v>21</v>
      </c>
      <c r="B93" s="3502"/>
      <c r="C93" s="2828" t="s">
        <v>2683</v>
      </c>
      <c r="D93" s="2828" t="s">
        <v>2684</v>
      </c>
      <c r="E93" s="2854">
        <v>0.15</v>
      </c>
      <c r="F93" s="2854">
        <v>20</v>
      </c>
    </row>
    <row r="94" spans="1:6" ht="13.5">
      <c r="A94" s="2854">
        <v>22</v>
      </c>
      <c r="B94" s="3502"/>
      <c r="C94" s="2828" t="s">
        <v>2685</v>
      </c>
      <c r="D94" s="2828" t="s">
        <v>2686</v>
      </c>
      <c r="E94" s="2854">
        <v>0.15</v>
      </c>
      <c r="F94" s="2854">
        <v>20</v>
      </c>
    </row>
    <row r="95" spans="1:6" ht="36">
      <c r="A95" s="2854">
        <v>23</v>
      </c>
      <c r="B95" s="3502"/>
      <c r="C95" s="2828" t="s">
        <v>2687</v>
      </c>
      <c r="D95" s="2828" t="s">
        <v>2688</v>
      </c>
      <c r="E95" s="2854">
        <v>0.15</v>
      </c>
      <c r="F95" s="2854">
        <v>20</v>
      </c>
    </row>
    <row r="96" spans="1:6" ht="13.5">
      <c r="A96" s="2854">
        <v>24</v>
      </c>
      <c r="B96" s="3502"/>
      <c r="C96" s="2828" t="s">
        <v>2689</v>
      </c>
      <c r="D96" s="2828" t="s">
        <v>2690</v>
      </c>
      <c r="E96" s="2854">
        <v>0.1</v>
      </c>
      <c r="F96" s="2854">
        <v>15</v>
      </c>
    </row>
    <row r="97" spans="1:6" ht="13.5">
      <c r="A97" s="2854">
        <v>25</v>
      </c>
      <c r="B97" s="3502"/>
      <c r="C97" s="2828" t="s">
        <v>2691</v>
      </c>
      <c r="D97" s="2828" t="s">
        <v>2692</v>
      </c>
      <c r="E97" s="2854">
        <v>0.1</v>
      </c>
      <c r="F97" s="2854">
        <v>15</v>
      </c>
    </row>
    <row r="98" spans="1:6" ht="24">
      <c r="A98" s="2854">
        <v>26</v>
      </c>
      <c r="B98" s="3502"/>
      <c r="C98" s="2828" t="s">
        <v>2693</v>
      </c>
      <c r="D98" s="2828" t="s">
        <v>2694</v>
      </c>
      <c r="E98" s="2854">
        <v>0.1</v>
      </c>
      <c r="F98" s="2854">
        <v>15</v>
      </c>
    </row>
    <row r="99" spans="1:6" ht="24">
      <c r="A99" s="2854">
        <v>27</v>
      </c>
      <c r="B99" s="3502"/>
      <c r="C99" s="2828" t="s">
        <v>2695</v>
      </c>
      <c r="D99" s="2828" t="s">
        <v>2696</v>
      </c>
      <c r="E99" s="2854">
        <v>0.1</v>
      </c>
      <c r="F99" s="2854">
        <v>15</v>
      </c>
    </row>
    <row r="100" spans="1:6" ht="13.5">
      <c r="A100" s="2854">
        <v>28</v>
      </c>
      <c r="B100" s="3502"/>
      <c r="C100" s="2828" t="s">
        <v>2697</v>
      </c>
      <c r="D100" s="2828" t="s">
        <v>2698</v>
      </c>
      <c r="E100" s="2854">
        <v>0.1</v>
      </c>
      <c r="F100" s="2854">
        <v>15</v>
      </c>
    </row>
    <row r="101" spans="1:6" ht="13.5">
      <c r="A101" s="2854">
        <v>29</v>
      </c>
      <c r="B101" s="3502"/>
      <c r="C101" s="2828" t="s">
        <v>2699</v>
      </c>
      <c r="D101" s="2828" t="s">
        <v>2700</v>
      </c>
      <c r="E101" s="2854">
        <v>0.1</v>
      </c>
      <c r="F101" s="2854">
        <v>15</v>
      </c>
    </row>
    <row r="102" spans="1:6" ht="13.5">
      <c r="A102" s="2854">
        <v>30</v>
      </c>
      <c r="B102" s="3502"/>
      <c r="C102" s="2828" t="s">
        <v>2701</v>
      </c>
      <c r="D102" s="2828" t="s">
        <v>2702</v>
      </c>
      <c r="E102" s="2854">
        <v>0.1</v>
      </c>
      <c r="F102" s="2854">
        <v>15</v>
      </c>
    </row>
    <row r="103" spans="1:6" ht="24">
      <c r="A103" s="2854">
        <v>31</v>
      </c>
      <c r="B103" s="3502"/>
      <c r="C103" s="2828" t="s">
        <v>2703</v>
      </c>
      <c r="D103" s="2828" t="s">
        <v>2704</v>
      </c>
      <c r="E103" s="2854">
        <v>0.1</v>
      </c>
      <c r="F103" s="2854">
        <v>15</v>
      </c>
    </row>
    <row r="104" spans="1:6" ht="24">
      <c r="A104" s="2854">
        <v>32</v>
      </c>
      <c r="B104" s="3502"/>
      <c r="C104" s="2828" t="s">
        <v>2705</v>
      </c>
      <c r="D104" s="2828" t="s">
        <v>2706</v>
      </c>
      <c r="E104" s="2854">
        <v>0.1</v>
      </c>
      <c r="F104" s="2854">
        <v>15</v>
      </c>
    </row>
    <row r="105" spans="1:6" ht="24">
      <c r="A105" s="2854">
        <v>33</v>
      </c>
      <c r="B105" s="3502"/>
      <c r="C105" s="2828" t="s">
        <v>2707</v>
      </c>
      <c r="D105" s="2828" t="s">
        <v>2708</v>
      </c>
      <c r="E105" s="2854">
        <v>0.1</v>
      </c>
      <c r="F105" s="2854">
        <v>15</v>
      </c>
    </row>
    <row r="106" spans="1:6" ht="24">
      <c r="A106" s="2854">
        <v>34</v>
      </c>
      <c r="B106" s="3501"/>
      <c r="C106" s="2828" t="s">
        <v>2709</v>
      </c>
      <c r="D106" s="2828" t="s">
        <v>2710</v>
      </c>
      <c r="E106" s="2854">
        <v>0.1</v>
      </c>
      <c r="F106" s="2854">
        <v>15</v>
      </c>
    </row>
    <row r="107" spans="1:6" ht="24">
      <c r="A107" s="2854">
        <v>35</v>
      </c>
      <c r="B107" s="3500" t="s">
        <v>2711</v>
      </c>
      <c r="C107" s="2854" t="s">
        <v>2712</v>
      </c>
      <c r="D107" s="2828" t="s">
        <v>2713</v>
      </c>
      <c r="E107" s="2854">
        <v>0.15</v>
      </c>
      <c r="F107" s="2854">
        <v>20</v>
      </c>
    </row>
    <row r="108" spans="1:6" ht="13.5">
      <c r="A108" s="2854">
        <v>36</v>
      </c>
      <c r="B108" s="3502"/>
      <c r="C108" s="2854" t="s">
        <v>2714</v>
      </c>
      <c r="D108" s="2828" t="s">
        <v>2715</v>
      </c>
      <c r="E108" s="2854">
        <v>0.15</v>
      </c>
      <c r="F108" s="2854">
        <v>20</v>
      </c>
    </row>
    <row r="109" spans="1:6" ht="13.5">
      <c r="A109" s="2854">
        <v>37</v>
      </c>
      <c r="B109" s="3502"/>
      <c r="C109" s="2854" t="s">
        <v>2716</v>
      </c>
      <c r="D109" s="2828" t="s">
        <v>2717</v>
      </c>
      <c r="E109" s="2854">
        <v>0.15</v>
      </c>
      <c r="F109" s="2854">
        <v>20</v>
      </c>
    </row>
    <row r="110" spans="1:6" ht="13.5">
      <c r="A110" s="2854">
        <v>38</v>
      </c>
      <c r="B110" s="3502"/>
      <c r="C110" s="2854" t="s">
        <v>2718</v>
      </c>
      <c r="D110" s="2828" t="s">
        <v>2719</v>
      </c>
      <c r="E110" s="2854">
        <v>0.1</v>
      </c>
      <c r="F110" s="2854">
        <v>15</v>
      </c>
    </row>
    <row r="111" spans="1:6" ht="24">
      <c r="A111" s="2854">
        <v>39</v>
      </c>
      <c r="B111" s="3502"/>
      <c r="C111" s="2854" t="s">
        <v>2720</v>
      </c>
      <c r="D111" s="2828" t="s">
        <v>2721</v>
      </c>
      <c r="E111" s="2854">
        <v>0.1</v>
      </c>
      <c r="F111" s="2854">
        <v>15</v>
      </c>
    </row>
    <row r="112" spans="1:6" ht="24">
      <c r="A112" s="2854">
        <v>40</v>
      </c>
      <c r="B112" s="3501"/>
      <c r="C112" s="2854" t="s">
        <v>2722</v>
      </c>
      <c r="D112" s="2828" t="s">
        <v>2723</v>
      </c>
      <c r="E112" s="2854">
        <v>0.1</v>
      </c>
      <c r="F112" s="2854">
        <v>15</v>
      </c>
    </row>
    <row r="113" spans="1:6" ht="13.5">
      <c r="A113" s="2854">
        <v>41</v>
      </c>
      <c r="B113" s="3499" t="s">
        <v>2724</v>
      </c>
      <c r="C113" s="2854" t="s">
        <v>2725</v>
      </c>
      <c r="D113" s="2828" t="s">
        <v>2726</v>
      </c>
      <c r="E113" s="2854">
        <v>0.1</v>
      </c>
      <c r="F113" s="2854">
        <v>15</v>
      </c>
    </row>
    <row r="114" spans="1:6" ht="13.5">
      <c r="A114" s="2854">
        <v>42</v>
      </c>
      <c r="B114" s="3499"/>
      <c r="C114" s="2854" t="s">
        <v>2727</v>
      </c>
      <c r="D114" s="2828" t="s">
        <v>2728</v>
      </c>
      <c r="E114" s="2854">
        <v>0.1</v>
      </c>
      <c r="F114" s="2854">
        <v>15</v>
      </c>
    </row>
    <row r="115" spans="1:6" ht="24">
      <c r="A115" s="2854">
        <v>43</v>
      </c>
      <c r="B115" s="3499"/>
      <c r="C115" s="2854" t="s">
        <v>2729</v>
      </c>
      <c r="D115" s="2828" t="s">
        <v>2730</v>
      </c>
      <c r="E115" s="2854">
        <v>0.1</v>
      </c>
      <c r="F115" s="2854">
        <v>15</v>
      </c>
    </row>
    <row r="116" spans="1:6" ht="13.5">
      <c r="A116" s="2854">
        <v>44</v>
      </c>
      <c r="B116" s="3500" t="s">
        <v>2731</v>
      </c>
      <c r="C116" s="2854" t="s">
        <v>2732</v>
      </c>
      <c r="D116" s="2828" t="s">
        <v>2733</v>
      </c>
      <c r="E116" s="2854">
        <v>0.1</v>
      </c>
      <c r="F116" s="2854">
        <v>15</v>
      </c>
    </row>
    <row r="117" spans="1:6" ht="24">
      <c r="A117" s="2854">
        <v>45</v>
      </c>
      <c r="B117" s="3501"/>
      <c r="C117" s="2828" t="s">
        <v>2734</v>
      </c>
      <c r="D117" s="2828" t="s">
        <v>2735</v>
      </c>
      <c r="E117" s="2854">
        <v>0.1</v>
      </c>
      <c r="F117" s="2854">
        <v>15</v>
      </c>
    </row>
    <row r="118" spans="1:6" ht="24">
      <c r="A118" s="2854">
        <v>46</v>
      </c>
      <c r="B118" s="3500" t="s">
        <v>2736</v>
      </c>
      <c r="C118" s="2854" t="s">
        <v>2737</v>
      </c>
      <c r="D118" s="2828" t="s">
        <v>2738</v>
      </c>
      <c r="E118" s="2854">
        <v>0.1</v>
      </c>
      <c r="F118" s="2854">
        <v>15</v>
      </c>
    </row>
    <row r="119" spans="1:6" ht="24">
      <c r="A119" s="2854">
        <v>47</v>
      </c>
      <c r="B119" s="3501"/>
      <c r="C119" s="2854" t="s">
        <v>2739</v>
      </c>
      <c r="D119" s="2828" t="s">
        <v>2740</v>
      </c>
      <c r="E119" s="2854">
        <v>0.1</v>
      </c>
      <c r="F119" s="2854">
        <v>15</v>
      </c>
    </row>
    <row r="120" spans="1:6" ht="13.5">
      <c r="A120" s="2854">
        <v>48</v>
      </c>
      <c r="B120" s="3500" t="s">
        <v>2741</v>
      </c>
      <c r="C120" s="2854" t="s">
        <v>2742</v>
      </c>
      <c r="D120" s="2828" t="s">
        <v>2743</v>
      </c>
      <c r="E120" s="2854">
        <v>0.1</v>
      </c>
      <c r="F120" s="2854">
        <v>15</v>
      </c>
    </row>
    <row r="121" spans="1:6" ht="13.5">
      <c r="A121" s="2854">
        <v>49</v>
      </c>
      <c r="B121" s="3501"/>
      <c r="C121" s="2854" t="s">
        <v>2744</v>
      </c>
      <c r="D121" s="2828" t="s">
        <v>2745</v>
      </c>
      <c r="E121" s="2854">
        <v>0.1</v>
      </c>
      <c r="F121" s="2854">
        <v>15</v>
      </c>
    </row>
    <row r="122" spans="1:6" ht="24">
      <c r="A122" s="2854">
        <v>50</v>
      </c>
      <c r="B122" s="3499" t="s">
        <v>2746</v>
      </c>
      <c r="C122" s="2854" t="s">
        <v>2747</v>
      </c>
      <c r="D122" s="2828" t="s">
        <v>2748</v>
      </c>
      <c r="E122" s="2854">
        <v>0.1</v>
      </c>
      <c r="F122" s="2854">
        <v>15</v>
      </c>
    </row>
    <row r="123" spans="1:6" ht="24">
      <c r="A123" s="2854">
        <v>51</v>
      </c>
      <c r="B123" s="3499"/>
      <c r="C123" s="2854" t="s">
        <v>2749</v>
      </c>
      <c r="D123" s="2828" t="s">
        <v>2750</v>
      </c>
      <c r="E123" s="2854">
        <v>0.1</v>
      </c>
      <c r="F123" s="2854">
        <v>15</v>
      </c>
    </row>
    <row r="124" spans="1:6" ht="24">
      <c r="A124" s="2854">
        <v>52</v>
      </c>
      <c r="B124" s="3499" t="s">
        <v>2751</v>
      </c>
      <c r="C124" s="2854" t="s">
        <v>2752</v>
      </c>
      <c r="D124" s="2828" t="s">
        <v>2753</v>
      </c>
      <c r="E124" s="2854">
        <v>0.1</v>
      </c>
      <c r="F124" s="2854">
        <v>15</v>
      </c>
    </row>
    <row r="125" spans="1:6" ht="24">
      <c r="A125" s="2854">
        <v>53</v>
      </c>
      <c r="B125" s="3499"/>
      <c r="C125" s="2854" t="s">
        <v>2754</v>
      </c>
      <c r="D125" s="2828" t="s">
        <v>2755</v>
      </c>
      <c r="E125" s="2854">
        <v>0.1</v>
      </c>
      <c r="F125" s="2854">
        <v>15</v>
      </c>
    </row>
    <row r="126" spans="1:6" ht="13.5">
      <c r="A126" s="2854">
        <v>54</v>
      </c>
      <c r="B126" s="2854" t="s">
        <v>2756</v>
      </c>
      <c r="C126" s="2854" t="s">
        <v>2757</v>
      </c>
      <c r="D126" s="2828" t="s">
        <v>2758</v>
      </c>
      <c r="E126" s="2854">
        <v>0.1</v>
      </c>
      <c r="F126" s="2854">
        <v>15</v>
      </c>
    </row>
    <row r="127" spans="1:6" ht="13.5">
      <c r="A127" s="2854">
        <v>55</v>
      </c>
      <c r="B127" s="3499" t="s">
        <v>2759</v>
      </c>
      <c r="C127" s="2854" t="s">
        <v>2760</v>
      </c>
      <c r="D127" s="2828" t="s">
        <v>2761</v>
      </c>
      <c r="E127" s="2854">
        <v>0.1</v>
      </c>
      <c r="F127" s="2854">
        <v>15</v>
      </c>
    </row>
    <row r="128" spans="1:6" ht="13.5">
      <c r="A128" s="2854">
        <v>56</v>
      </c>
      <c r="B128" s="3499"/>
      <c r="C128" s="2854" t="s">
        <v>2762</v>
      </c>
      <c r="D128" s="2828" t="s">
        <v>2763</v>
      </c>
      <c r="E128" s="2854">
        <v>0.1</v>
      </c>
      <c r="F128" s="2854">
        <v>15</v>
      </c>
    </row>
    <row r="129" spans="1:6" ht="24">
      <c r="A129" s="2854">
        <v>57</v>
      </c>
      <c r="B129" s="3499"/>
      <c r="C129" s="2854" t="s">
        <v>2764</v>
      </c>
      <c r="D129" s="2828" t="s">
        <v>2765</v>
      </c>
      <c r="E129" s="2854">
        <v>0.1</v>
      </c>
      <c r="F129" s="2854">
        <v>15</v>
      </c>
    </row>
    <row r="130" spans="1:6" ht="24">
      <c r="A130" s="2854">
        <v>58</v>
      </c>
      <c r="B130" s="3499" t="s">
        <v>2766</v>
      </c>
      <c r="C130" s="2854" t="s">
        <v>2767</v>
      </c>
      <c r="D130" s="2828" t="s">
        <v>2768</v>
      </c>
      <c r="E130" s="2854">
        <v>0.1</v>
      </c>
      <c r="F130" s="2854">
        <v>15</v>
      </c>
    </row>
    <row r="131" spans="1:6" ht="13.5">
      <c r="A131" s="2854">
        <v>59</v>
      </c>
      <c r="B131" s="3499"/>
      <c r="C131" s="2854" t="s">
        <v>2769</v>
      </c>
      <c r="D131" s="2828" t="s">
        <v>2770</v>
      </c>
      <c r="E131" s="2854">
        <v>0.1</v>
      </c>
      <c r="F131" s="2854">
        <v>15</v>
      </c>
    </row>
    <row r="132" spans="1:6" ht="13.5">
      <c r="A132" s="2854">
        <v>60</v>
      </c>
      <c r="B132" s="3500" t="s">
        <v>2771</v>
      </c>
      <c r="C132" s="2854" t="s">
        <v>2772</v>
      </c>
      <c r="D132" s="2828" t="s">
        <v>2773</v>
      </c>
      <c r="E132" s="2854">
        <v>0.1</v>
      </c>
      <c r="F132" s="2854">
        <v>15</v>
      </c>
    </row>
    <row r="133" spans="1:6" ht="13.5">
      <c r="A133" s="2854">
        <v>61</v>
      </c>
      <c r="B133" s="3501"/>
      <c r="C133" s="2854" t="s">
        <v>2774</v>
      </c>
      <c r="D133" s="2828" t="s">
        <v>2775</v>
      </c>
      <c r="E133" s="2854">
        <v>0.1</v>
      </c>
      <c r="F133" s="2854">
        <v>15</v>
      </c>
    </row>
    <row r="134" spans="1:6" ht="24">
      <c r="A134" s="2854">
        <v>62</v>
      </c>
      <c r="B134" s="2854" t="s">
        <v>2776</v>
      </c>
      <c r="C134" s="2854" t="s">
        <v>2777</v>
      </c>
      <c r="D134" s="2828" t="s">
        <v>2778</v>
      </c>
      <c r="E134" s="2854">
        <v>0.1</v>
      </c>
      <c r="F134" s="2854">
        <v>15</v>
      </c>
    </row>
    <row r="135" spans="1:6" ht="13.5">
      <c r="A135" s="2854">
        <v>63</v>
      </c>
      <c r="B135" s="3499" t="s">
        <v>2779</v>
      </c>
      <c r="C135" s="2854" t="s">
        <v>2780</v>
      </c>
      <c r="D135" s="2828" t="s">
        <v>2781</v>
      </c>
      <c r="E135" s="2854">
        <v>0.1</v>
      </c>
      <c r="F135" s="2854">
        <v>15</v>
      </c>
    </row>
    <row r="136" spans="1:6" ht="13.5">
      <c r="A136" s="2854">
        <v>64</v>
      </c>
      <c r="B136" s="3499"/>
      <c r="C136" s="2854" t="s">
        <v>2782</v>
      </c>
      <c r="D136" s="2828" t="s">
        <v>2783</v>
      </c>
      <c r="E136" s="2854">
        <v>0.1</v>
      </c>
      <c r="F136" s="2854">
        <v>15</v>
      </c>
    </row>
    <row r="137" spans="1:6" ht="13.5">
      <c r="A137" s="2854">
        <v>65</v>
      </c>
      <c r="B137" s="2854" t="s">
        <v>2784</v>
      </c>
      <c r="C137" s="2854" t="s">
        <v>2785</v>
      </c>
      <c r="D137" s="2828" t="s">
        <v>2786</v>
      </c>
      <c r="E137" s="2854">
        <v>0.1</v>
      </c>
      <c r="F137" s="2854">
        <v>15</v>
      </c>
    </row>
    <row r="138" spans="1:6" ht="13.5">
      <c r="A138" s="2854"/>
      <c r="B138" s="2854"/>
      <c r="C138" s="2854"/>
      <c r="D138" s="2854"/>
      <c r="E138" s="2854" t="s">
        <v>2787</v>
      </c>
      <c r="F138" s="2854" t="s">
        <v>2787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2788</v>
      </c>
      <c r="B1" s="2862"/>
      <c r="C1" s="2862"/>
      <c r="D1" s="2862"/>
      <c r="E1" s="2862"/>
      <c r="F1" s="2862"/>
      <c r="G1" s="2862"/>
      <c r="H1" s="2862"/>
      <c r="I1" s="2862"/>
      <c r="J1" s="2862"/>
      <c r="K1" s="2862"/>
      <c r="L1" s="2862"/>
      <c r="M1" s="2862"/>
      <c r="N1" s="705"/>
    </row>
    <row r="2" spans="1:20">
      <c r="A2" s="2863" t="s">
        <v>2789</v>
      </c>
      <c r="B2" s="2864" t="s">
        <v>2585</v>
      </c>
      <c r="C2" s="2864" t="s">
        <v>2586</v>
      </c>
      <c r="D2" s="2864" t="s">
        <v>2587</v>
      </c>
      <c r="E2" s="2864" t="s">
        <v>2588</v>
      </c>
      <c r="F2" s="2864" t="s">
        <v>2589</v>
      </c>
      <c r="G2" s="2864" t="s">
        <v>2590</v>
      </c>
      <c r="H2" s="2865" t="s">
        <v>2591</v>
      </c>
      <c r="I2" s="2865" t="s">
        <v>2592</v>
      </c>
      <c r="J2" s="2866" t="s">
        <v>2593</v>
      </c>
      <c r="K2" s="2866" t="s">
        <v>2594</v>
      </c>
      <c r="L2" s="2866" t="s">
        <v>2595</v>
      </c>
      <c r="M2" s="2867" t="s">
        <v>2596</v>
      </c>
      <c r="Q2" s="2877" t="s">
        <v>2794</v>
      </c>
      <c r="R2" s="2877" t="s">
        <v>2795</v>
      </c>
      <c r="S2" s="2877" t="s">
        <v>2796</v>
      </c>
      <c r="T2" s="2877" t="s">
        <v>2797</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2790</v>
      </c>
      <c r="B93" s="2862"/>
      <c r="C93" s="2862"/>
      <c r="D93" s="2862"/>
      <c r="E93" s="2862"/>
      <c r="F93" s="2862"/>
      <c r="G93" s="2862"/>
      <c r="H93" s="2862"/>
      <c r="I93" s="2862"/>
      <c r="J93" s="2862"/>
      <c r="K93" s="2862"/>
      <c r="L93" s="2862"/>
      <c r="M93" s="2862"/>
    </row>
    <row r="94" spans="1:20">
      <c r="A94" s="2863" t="s">
        <v>2789</v>
      </c>
      <c r="B94" s="2864" t="s">
        <v>2585</v>
      </c>
      <c r="C94" s="2864" t="s">
        <v>2586</v>
      </c>
      <c r="D94" s="2864" t="s">
        <v>2587</v>
      </c>
      <c r="E94" s="2864" t="s">
        <v>2588</v>
      </c>
      <c r="F94" s="2864" t="s">
        <v>2589</v>
      </c>
      <c r="G94" s="2864" t="s">
        <v>2590</v>
      </c>
      <c r="H94" s="2865" t="s">
        <v>2591</v>
      </c>
      <c r="I94" s="2865" t="s">
        <v>2592</v>
      </c>
      <c r="J94" s="2866" t="s">
        <v>2593</v>
      </c>
      <c r="K94" s="2866" t="s">
        <v>2594</v>
      </c>
      <c r="L94" s="2866" t="s">
        <v>2595</v>
      </c>
      <c r="M94" s="2867" t="s">
        <v>2596</v>
      </c>
      <c r="N94">
        <f>SUMPRODUCT((A95:A184=ROUNDDOWN(基准地价修正!G3,1))*(B94:M94=基准地价修正!G2)*(B95:M184))</f>
        <v>1.2158</v>
      </c>
      <c r="Q94" s="2877" t="s">
        <v>2794</v>
      </c>
      <c r="R94" s="2877" t="s">
        <v>2795</v>
      </c>
      <c r="S94" s="2877" t="s">
        <v>2796</v>
      </c>
      <c r="T94" s="2877" t="s">
        <v>2797</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2791</v>
      </c>
      <c r="B185" s="2862"/>
      <c r="C185" s="2862"/>
      <c r="D185" s="2862"/>
      <c r="E185" s="2862"/>
      <c r="F185" s="2862"/>
      <c r="G185" s="2862"/>
      <c r="H185" s="2862"/>
      <c r="I185" s="2862"/>
      <c r="J185" s="2862"/>
      <c r="K185" s="2862"/>
      <c r="L185" s="2862"/>
      <c r="M185" s="2862"/>
    </row>
    <row r="186" spans="1:20">
      <c r="A186" s="2863" t="s">
        <v>2789</v>
      </c>
      <c r="B186" s="2864" t="s">
        <v>2585</v>
      </c>
      <c r="C186" s="2864" t="s">
        <v>2586</v>
      </c>
      <c r="D186" s="2864" t="s">
        <v>2587</v>
      </c>
      <c r="E186" s="2864" t="s">
        <v>2588</v>
      </c>
      <c r="F186" s="2864" t="s">
        <v>2589</v>
      </c>
      <c r="G186" s="2864" t="s">
        <v>2590</v>
      </c>
      <c r="H186" s="2865" t="s">
        <v>2591</v>
      </c>
      <c r="I186" s="2865" t="s">
        <v>2592</v>
      </c>
      <c r="J186" s="2866" t="s">
        <v>2593</v>
      </c>
      <c r="K186" s="2866" t="s">
        <v>2594</v>
      </c>
      <c r="L186" s="2866" t="s">
        <v>2595</v>
      </c>
      <c r="M186" s="2867" t="s">
        <v>2596</v>
      </c>
      <c r="Q186" s="2877" t="s">
        <v>2794</v>
      </c>
      <c r="R186" s="2877" t="s">
        <v>2795</v>
      </c>
      <c r="S186" s="2877" t="s">
        <v>2796</v>
      </c>
      <c r="T186" s="2877" t="s">
        <v>2797</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2792</v>
      </c>
      <c r="B277" s="2862"/>
      <c r="C277" s="2862"/>
      <c r="D277" s="2862"/>
      <c r="E277" s="2862"/>
      <c r="F277" s="2862"/>
      <c r="G277" s="2862"/>
      <c r="H277" s="2862"/>
      <c r="I277" s="2862"/>
      <c r="J277" s="2862"/>
      <c r="K277" s="2862"/>
      <c r="L277" s="2862"/>
      <c r="M277" s="2862"/>
    </row>
    <row r="278" spans="1:21">
      <c r="A278" s="2863" t="s">
        <v>2789</v>
      </c>
      <c r="B278" s="2864" t="s">
        <v>2585</v>
      </c>
      <c r="C278" s="2864" t="s">
        <v>2586</v>
      </c>
      <c r="D278" s="2864" t="s">
        <v>2587</v>
      </c>
      <c r="E278" s="2864" t="s">
        <v>2588</v>
      </c>
      <c r="F278" s="2864" t="s">
        <v>2589</v>
      </c>
      <c r="G278" s="2864" t="s">
        <v>2590</v>
      </c>
      <c r="H278" s="2865" t="s">
        <v>2591</v>
      </c>
      <c r="I278" s="2865" t="s">
        <v>2592</v>
      </c>
      <c r="J278" s="2866" t="s">
        <v>2593</v>
      </c>
      <c r="K278" s="2866" t="s">
        <v>2594</v>
      </c>
      <c r="L278" s="2866" t="s">
        <v>2595</v>
      </c>
      <c r="M278" s="2867" t="s">
        <v>2596</v>
      </c>
      <c r="Q278" s="2877" t="s">
        <v>2794</v>
      </c>
      <c r="R278" s="2877" t="s">
        <v>2795</v>
      </c>
      <c r="S278" s="2877" t="s">
        <v>2798</v>
      </c>
      <c r="T278" s="2877" t="s">
        <v>2799</v>
      </c>
      <c r="U278" s="2877" t="s">
        <v>2797</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2793</v>
      </c>
      <c r="B369" s="2875"/>
      <c r="C369" s="2875"/>
      <c r="D369" s="2875"/>
      <c r="E369" s="2875"/>
      <c r="F369" s="2875"/>
      <c r="G369" s="2875"/>
      <c r="H369" s="2875"/>
      <c r="I369" s="2875"/>
      <c r="J369" s="2875"/>
      <c r="K369" s="2875"/>
      <c r="L369" s="2875"/>
      <c r="M369" s="2875"/>
    </row>
    <row r="370" spans="1:20">
      <c r="A370" s="2863" t="s">
        <v>2789</v>
      </c>
      <c r="B370" s="2864" t="s">
        <v>2585</v>
      </c>
      <c r="C370" s="2864" t="s">
        <v>2586</v>
      </c>
      <c r="D370" s="2864" t="s">
        <v>2587</v>
      </c>
      <c r="E370" s="2864" t="s">
        <v>2588</v>
      </c>
      <c r="F370" s="2864" t="s">
        <v>2589</v>
      </c>
      <c r="G370" s="2864" t="s">
        <v>2590</v>
      </c>
      <c r="H370" s="2865" t="s">
        <v>2591</v>
      </c>
      <c r="I370" s="2865" t="s">
        <v>2592</v>
      </c>
      <c r="J370" s="2866" t="s">
        <v>2593</v>
      </c>
      <c r="K370" s="2866" t="s">
        <v>2594</v>
      </c>
      <c r="L370" s="2866" t="s">
        <v>2595</v>
      </c>
      <c r="M370" s="2867" t="s">
        <v>2596</v>
      </c>
      <c r="N370">
        <f>SUMPRODUCT((A371:A460=ROUNDDOWN(基准地价修正!G3,1))*(B370:M370=基准地价修正!G2)*(B371:M460))</f>
        <v>1.1565000000000001</v>
      </c>
      <c r="Q370" s="2877" t="s">
        <v>2794</v>
      </c>
      <c r="R370" s="2877" t="s">
        <v>2795</v>
      </c>
      <c r="S370" s="2877" t="s">
        <v>2796</v>
      </c>
      <c r="T370" s="2877" t="s">
        <v>2797</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87615</v>
      </c>
      <c r="C2" s="2" t="s">
        <v>106</v>
      </c>
      <c r="D2" s="191"/>
      <c r="E2" s="191"/>
      <c r="F2" s="191"/>
      <c r="G2" s="191"/>
    </row>
    <row r="3" spans="1:7" s="192" customFormat="1" ht="18" customHeight="1" thickBot="1">
      <c r="A3" s="195" t="s">
        <v>58</v>
      </c>
      <c r="B3" s="196">
        <f ca="1">ROUND(B2*10000/'数据-汇总表'!E3,0)</f>
        <v>11796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654</v>
      </c>
      <c r="D9" s="793">
        <f>'数据-汇总表'!E5</f>
        <v>40881.349999999984</v>
      </c>
      <c r="E9" s="217">
        <f>'数据-取费表'!B27</f>
        <v>160</v>
      </c>
      <c r="F9" s="213"/>
      <c r="G9" s="218"/>
    </row>
    <row r="10" spans="1:7" s="206" customFormat="1" ht="13.5" customHeight="1">
      <c r="A10" s="731" t="s">
        <v>356</v>
      </c>
      <c r="B10" s="216" t="s">
        <v>67</v>
      </c>
      <c r="C10" s="217">
        <f>ROUND(D10*E10/10000,0)</f>
        <v>668</v>
      </c>
      <c r="D10" s="793">
        <f>'数据-汇总表'!E6</f>
        <v>33396.069999999883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1486</v>
      </c>
      <c r="D19" s="204">
        <f>'数据-汇总表'!E3</f>
        <v>74277.419999999867</v>
      </c>
      <c r="E19" s="203">
        <f>'数据-取费表'!B31</f>
        <v>200</v>
      </c>
      <c r="F19" s="223"/>
      <c r="G19" s="1" t="s">
        <v>436</v>
      </c>
    </row>
    <row r="20" spans="1:7" s="206" customFormat="1" ht="13.5" customHeight="1">
      <c r="A20" s="729" t="s">
        <v>419</v>
      </c>
      <c r="B20" s="202" t="s">
        <v>77</v>
      </c>
      <c r="C20" s="224">
        <f>ROUND((C5+C19)*F20,0)</f>
        <v>663</v>
      </c>
      <c r="D20" s="224"/>
      <c r="E20" s="224"/>
      <c r="F20" s="225">
        <f>'数据-取费表'!B37</f>
        <v>0.03</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1791</v>
      </c>
      <c r="D22" s="227">
        <f ca="1">C26</f>
        <v>1.1999999999999999E-3</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1646</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119</v>
      </c>
      <c r="D24" s="230"/>
      <c r="E24" s="230"/>
      <c r="F24" s="231"/>
      <c r="G24" s="232" t="s">
        <v>82</v>
      </c>
    </row>
    <row r="25" spans="1:7" s="206" customFormat="1" ht="24">
      <c r="A25" s="732" t="s">
        <v>348</v>
      </c>
      <c r="B25" s="207" t="s">
        <v>420</v>
      </c>
      <c r="C25" s="1040">
        <f ca="1">ROUND(IF('数据-取费表'!B22&lt;=1,C20*F22*'数据-取费表'!B23/2,C20*(POWER((1+F22),'数据-取费表'!B23/2)-1)),0)</f>
        <v>26</v>
      </c>
      <c r="D25" s="230"/>
      <c r="E25" s="233"/>
      <c r="F25" s="231"/>
      <c r="G25" s="234" t="s">
        <v>83</v>
      </c>
    </row>
    <row r="26" spans="1:7" s="206" customFormat="1">
      <c r="A26" s="732" t="s">
        <v>350</v>
      </c>
      <c r="B26" s="207" t="s">
        <v>422</v>
      </c>
      <c r="C26" s="230">
        <f ca="1">ROUND(IF('数据-取费表'!B22&lt;=1,F21*F22*'数据-取费表'!B23/2,F21*(POWER((1+F22),'数据-取费表'!B23/2)-1)),4)</f>
        <v>1.1999999999999999E-3</v>
      </c>
      <c r="D26" s="230"/>
      <c r="E26" s="233"/>
      <c r="F26" s="231"/>
      <c r="G26" s="235"/>
    </row>
    <row r="27" spans="1:7" s="206" customFormat="1" ht="24.75">
      <c r="A27" s="729" t="s">
        <v>342</v>
      </c>
      <c r="B27" s="236" t="s">
        <v>85</v>
      </c>
      <c r="C27" s="237">
        <f>C28</f>
        <v>2367</v>
      </c>
      <c r="D27" s="227">
        <f>C29</f>
        <v>3.0999999999999999E-3</v>
      </c>
      <c r="E27" s="228" t="s">
        <v>99</v>
      </c>
      <c r="F27" s="238">
        <f>'数据-取费表'!Q16</f>
        <v>0.12</v>
      </c>
      <c r="G27" s="239" t="s">
        <v>431</v>
      </c>
    </row>
    <row r="28" spans="1:7" s="206" customFormat="1" ht="13.5" customHeight="1">
      <c r="A28" s="732" t="s">
        <v>349</v>
      </c>
      <c r="B28" s="240" t="s">
        <v>424</v>
      </c>
      <c r="C28" s="241">
        <f>ROUND((C5+C19+C20)*F27*'数据-取费表'!B21/'数据-取费表'!B20,0)</f>
        <v>2367</v>
      </c>
      <c r="D28" s="227"/>
      <c r="E28" s="228"/>
      <c r="F28" s="238"/>
      <c r="G28" s="239"/>
    </row>
    <row r="29" spans="1:7" s="206" customFormat="1" ht="13.5" customHeight="1">
      <c r="A29" s="732" t="s">
        <v>347</v>
      </c>
      <c r="B29" s="240" t="s">
        <v>425</v>
      </c>
      <c r="C29" s="230">
        <f>ROUND(C21*F27*'数据-取费表'!B21/'数据-取费表'!B20,4)</f>
        <v>3.0999999999999999E-3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29502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44383</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38174</v>
      </c>
      <c r="D34" s="209"/>
      <c r="E34" s="212"/>
      <c r="F34" s="249">
        <f>IF('数据-取费表'!B24=0,1,'数据-取费表'!N16)</f>
        <v>0.85</v>
      </c>
      <c r="G34" s="211" t="s">
        <v>89</v>
      </c>
    </row>
    <row r="35" spans="1:7" ht="13.5" customHeight="1">
      <c r="A35" s="732" t="s">
        <v>351</v>
      </c>
      <c r="B35" s="207" t="s">
        <v>33</v>
      </c>
      <c r="C35" s="212">
        <f>ROUND(C34*F35,0)</f>
        <v>3054</v>
      </c>
      <c r="D35" s="212"/>
      <c r="E35" s="212"/>
      <c r="F35" s="251">
        <f>'数据-取费表'!B33</f>
        <v>0.08</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1129</v>
      </c>
      <c r="D36" s="212"/>
      <c r="E36" s="212"/>
      <c r="F36" s="251">
        <f>'数据-取费表'!B34</f>
        <v>0.05</v>
      </c>
      <c r="G36" s="252" t="s">
        <v>35</v>
      </c>
    </row>
    <row r="37" spans="1:7" s="250" customFormat="1" ht="13.5" customHeight="1">
      <c r="A37" s="732" t="s">
        <v>353</v>
      </c>
      <c r="B37" s="207" t="s">
        <v>91</v>
      </c>
      <c r="C37" s="241">
        <f>ROUND(E37*D37*F34/10000,0)</f>
        <v>1263</v>
      </c>
      <c r="D37" s="209">
        <f>'数据-汇总表'!E3</f>
        <v>74277.419999999867</v>
      </c>
      <c r="E37" s="241">
        <f>'数据-取费表'!B35</f>
        <v>200</v>
      </c>
      <c r="F37" s="251"/>
      <c r="G37" s="253" t="s">
        <v>92</v>
      </c>
    </row>
    <row r="38" spans="1:7" ht="13.5" customHeight="1">
      <c r="A38" s="732" t="s">
        <v>354</v>
      </c>
      <c r="B38" s="207" t="s">
        <v>36</v>
      </c>
      <c r="C38" s="212">
        <f>ROUND(C34*F38,0)</f>
        <v>763</v>
      </c>
      <c r="D38" s="212"/>
      <c r="E38" s="212"/>
      <c r="F38" s="251">
        <f>'数据-取费表'!B36</f>
        <v>0.02</v>
      </c>
      <c r="G38" s="211" t="s">
        <v>90</v>
      </c>
    </row>
    <row r="39" spans="1:7" s="206" customFormat="1" ht="13.5" customHeight="1">
      <c r="A39" s="729" t="s">
        <v>338</v>
      </c>
      <c r="B39" s="202" t="s">
        <v>77</v>
      </c>
      <c r="C39" s="224">
        <f>ROUND(C33*F20,0)</f>
        <v>1331</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1791</v>
      </c>
      <c r="D41" s="227">
        <f ca="1">C44</f>
        <v>1.1999999999999999E-3</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1739</v>
      </c>
      <c r="D42" s="230"/>
      <c r="E42" s="230"/>
      <c r="F42" s="231"/>
      <c r="G42" s="3374" t="s">
        <v>94</v>
      </c>
    </row>
    <row r="43" spans="1:7" ht="13.5" customHeight="1">
      <c r="A43" s="732" t="s">
        <v>347</v>
      </c>
      <c r="B43" s="207" t="s">
        <v>426</v>
      </c>
      <c r="C43" s="230">
        <f ca="1">ROUND(IF('数据-取费表'!B22&lt;=1,C39*F22*'数据-取费表'!B21/2,C39*(POWER((1+F22),'数据-取费表'!B21/2)-1)),0)</f>
        <v>52</v>
      </c>
      <c r="D43" s="230"/>
      <c r="E43" s="230"/>
      <c r="F43" s="231"/>
      <c r="G43" s="3375"/>
    </row>
    <row r="44" spans="1:7" ht="13.5" customHeight="1">
      <c r="A44" s="732" t="s">
        <v>348</v>
      </c>
      <c r="B44" s="207" t="s">
        <v>428</v>
      </c>
      <c r="C44" s="230">
        <f ca="1">ROUND(IF('数据-取费表'!B22&lt;=1,C40*F22*'数据-取费表'!B21/2,C40*(POWER((1+F22),'数据-取费表'!B21/2)-1)),4)</f>
        <v>1.1999999999999999E-3</v>
      </c>
      <c r="D44" s="230"/>
      <c r="E44" s="230"/>
      <c r="F44" s="231"/>
      <c r="G44" s="3376"/>
    </row>
    <row r="45" spans="1:7" s="206" customFormat="1" ht="13.5" customHeight="1">
      <c r="A45" s="729" t="s">
        <v>341</v>
      </c>
      <c r="B45" s="236" t="s">
        <v>85</v>
      </c>
      <c r="C45" s="237">
        <f>C46</f>
        <v>5486</v>
      </c>
      <c r="D45" s="227">
        <f>C47</f>
        <v>3.5999999999999999E-3</v>
      </c>
      <c r="E45" s="228" t="s">
        <v>102</v>
      </c>
      <c r="F45" s="238"/>
      <c r="G45" s="239" t="s">
        <v>434</v>
      </c>
    </row>
    <row r="46" spans="1:7" s="206" customFormat="1" ht="13.5" customHeight="1">
      <c r="A46" s="732" t="s">
        <v>349</v>
      </c>
      <c r="B46" s="240" t="s">
        <v>427</v>
      </c>
      <c r="C46" s="241">
        <f>ROUND((C33+C39)*F27,0)</f>
        <v>5486</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58113</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58113</v>
      </c>
      <c r="D51" s="224"/>
      <c r="E51" s="224"/>
      <c r="F51" s="256"/>
      <c r="G51" s="226" t="s">
        <v>37</v>
      </c>
    </row>
    <row r="52" spans="1:7" s="200" customFormat="1" ht="16.5" thickBot="1">
      <c r="A52" s="257" t="s">
        <v>38</v>
      </c>
      <c r="B52" s="258"/>
      <c r="C52" s="259">
        <f ca="1">C31+C51</f>
        <v>87615</v>
      </c>
      <c r="D52" s="258"/>
      <c r="E52" s="258"/>
      <c r="F52" s="258"/>
      <c r="G52" s="260"/>
    </row>
    <row r="55" spans="1:7" ht="15">
      <c r="B55" s="262" t="s">
        <v>39</v>
      </c>
      <c r="C55" s="263"/>
    </row>
    <row r="56" spans="1:7">
      <c r="B56" s="265" t="s">
        <v>40</v>
      </c>
      <c r="C56" s="266">
        <f ca="1">ROUND(C51/C52,3)</f>
        <v>0.66300000000000003</v>
      </c>
    </row>
    <row r="57" spans="1:7">
      <c r="B57" s="265" t="s">
        <v>41</v>
      </c>
      <c r="C57" s="267">
        <f ca="1">1-C56</f>
        <v>0.33699999999999997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1" t="s">
        <v>3171</v>
      </c>
      <c r="B1" s="3511"/>
    </row>
    <row r="2" spans="1:7" ht="14.25" thickBot="1">
      <c r="A2" s="2965"/>
      <c r="B2" s="2965"/>
    </row>
    <row r="3" spans="1:7" ht="14.25" thickBot="1">
      <c r="A3" s="2965"/>
      <c r="B3" s="2965"/>
      <c r="C3" s="2966" t="s">
        <v>2801</v>
      </c>
      <c r="D3" s="2966" t="s">
        <v>2857</v>
      </c>
      <c r="E3" s="2966" t="s">
        <v>2803</v>
      </c>
      <c r="F3" s="2966" t="s">
        <v>2858</v>
      </c>
      <c r="G3" s="2966" t="s">
        <v>2621</v>
      </c>
    </row>
    <row r="4" spans="1:7" ht="14.25" thickBot="1">
      <c r="A4" s="2967" t="s">
        <v>2856</v>
      </c>
      <c r="B4" s="2968" t="s">
        <v>2862</v>
      </c>
      <c r="C4" s="2966"/>
      <c r="D4" s="2966"/>
      <c r="E4" s="2966"/>
      <c r="F4" s="2966"/>
      <c r="G4" s="2966"/>
    </row>
    <row r="5" spans="1:7">
      <c r="A5" s="2969" t="s">
        <v>2830</v>
      </c>
      <c r="B5" s="2970" t="s">
        <v>2844</v>
      </c>
      <c r="C5" s="2971">
        <v>9.8000000000000004E-2</v>
      </c>
      <c r="D5" s="2971">
        <v>8.6999999999999994E-2</v>
      </c>
      <c r="E5" s="2971">
        <v>8.6999999999999994E-2</v>
      </c>
      <c r="F5" s="2971">
        <v>9.8000000000000004E-2</v>
      </c>
      <c r="G5" s="2972">
        <v>9.5000000000000001E-2</v>
      </c>
    </row>
    <row r="6" spans="1:7">
      <c r="A6" s="2973" t="s">
        <v>144</v>
      </c>
      <c r="B6" s="2974" t="s">
        <v>2859</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2845</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2895</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2913</v>
      </c>
      <c r="C29" s="2983"/>
      <c r="D29" s="2979">
        <v>5.1999999999999998E-2</v>
      </c>
      <c r="E29" s="2979">
        <v>7.0000000000000007E-2</v>
      </c>
      <c r="F29" s="2983"/>
      <c r="G29" s="2981">
        <v>7.0999999999999994E-2</v>
      </c>
    </row>
    <row r="30" spans="1:7">
      <c r="A30" s="2984" t="s">
        <v>296</v>
      </c>
      <c r="B30" s="2970" t="s">
        <v>2846</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2832</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2916</v>
      </c>
      <c r="C50" s="2975">
        <v>9.8000000000000004E-2</v>
      </c>
      <c r="D50" s="2975">
        <v>7.2999999999999995E-2</v>
      </c>
      <c r="E50" s="2975">
        <v>7.0999999999999994E-2</v>
      </c>
      <c r="F50" s="2986"/>
      <c r="G50" s="2976">
        <v>7.2999999999999995E-2</v>
      </c>
    </row>
    <row r="51" spans="1:7">
      <c r="A51" s="2985" t="s">
        <v>296</v>
      </c>
      <c r="B51" s="2974" t="s">
        <v>2918</v>
      </c>
      <c r="C51" s="2975">
        <v>9.9000000000000005E-2</v>
      </c>
      <c r="D51" s="2975">
        <v>8.5000000000000006E-2</v>
      </c>
      <c r="E51" s="2975">
        <v>6.3E-2</v>
      </c>
      <c r="F51" s="2986"/>
      <c r="G51" s="2976">
        <v>9.6000000000000002E-2</v>
      </c>
    </row>
    <row r="52" spans="1:7">
      <c r="A52" s="2985" t="s">
        <v>296</v>
      </c>
      <c r="B52" s="2974" t="s">
        <v>2922</v>
      </c>
      <c r="C52" s="2975">
        <v>7.3999999999999996E-2</v>
      </c>
      <c r="D52" s="2975">
        <v>9.6000000000000002E-2</v>
      </c>
      <c r="E52" s="2975">
        <v>0.05</v>
      </c>
      <c r="F52" s="2986"/>
      <c r="G52" s="2976">
        <v>9.8000000000000004E-2</v>
      </c>
    </row>
    <row r="53" spans="1:7">
      <c r="A53" s="2985" t="s">
        <v>296</v>
      </c>
      <c r="B53" s="2974" t="s">
        <v>2927</v>
      </c>
      <c r="C53" s="2975">
        <v>8.5999999999999993E-2</v>
      </c>
      <c r="D53" s="2986"/>
      <c r="E53" s="2975">
        <v>9.1999999999999998E-2</v>
      </c>
      <c r="F53" s="2986"/>
      <c r="G53" s="2987"/>
    </row>
    <row r="54" spans="1:7" ht="14.25" thickBot="1">
      <c r="A54" s="2988" t="s">
        <v>296</v>
      </c>
      <c r="B54" s="2978" t="s">
        <v>2930</v>
      </c>
      <c r="C54" s="2979">
        <v>9.6000000000000002E-2</v>
      </c>
      <c r="D54" s="2980"/>
      <c r="E54" s="2989"/>
      <c r="F54" s="2980"/>
      <c r="G54" s="2990"/>
    </row>
    <row r="55" spans="1:7">
      <c r="A55" s="2984" t="s">
        <v>110</v>
      </c>
      <c r="B55" s="2970" t="s">
        <v>2847</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2928</v>
      </c>
      <c r="C78" s="2975">
        <v>0.1</v>
      </c>
      <c r="D78" s="2975">
        <v>8.5000000000000006E-2</v>
      </c>
      <c r="E78" s="2975">
        <v>9.6000000000000002E-2</v>
      </c>
      <c r="F78" s="2986"/>
      <c r="G78" s="2976">
        <v>9.6000000000000002E-2</v>
      </c>
    </row>
    <row r="79" spans="1:7">
      <c r="A79" s="2985" t="s">
        <v>110</v>
      </c>
      <c r="B79" s="2974" t="s">
        <v>2931</v>
      </c>
      <c r="C79" s="2975">
        <v>0.05</v>
      </c>
      <c r="D79" s="2975">
        <v>9.6000000000000002E-2</v>
      </c>
      <c r="E79" s="2975">
        <v>9.5000000000000001E-2</v>
      </c>
      <c r="F79" s="2986"/>
      <c r="G79" s="2976">
        <v>9.8000000000000004E-2</v>
      </c>
    </row>
    <row r="80" spans="1:7">
      <c r="A80" s="2985" t="s">
        <v>110</v>
      </c>
      <c r="B80" s="2974" t="s">
        <v>2935</v>
      </c>
      <c r="C80" s="2975">
        <v>8.5999999999999993E-2</v>
      </c>
      <c r="D80" s="2991"/>
      <c r="E80" s="2975">
        <v>0.1</v>
      </c>
      <c r="F80" s="2986"/>
      <c r="G80" s="2987"/>
    </row>
    <row r="81" spans="1:7">
      <c r="A81" s="2985" t="s">
        <v>110</v>
      </c>
      <c r="B81" s="2974" t="s">
        <v>2940</v>
      </c>
      <c r="C81" s="2975">
        <v>9.6000000000000002E-2</v>
      </c>
      <c r="D81" s="2986"/>
      <c r="E81" s="2975">
        <v>9.8000000000000004E-2</v>
      </c>
      <c r="F81" s="2986"/>
      <c r="G81" s="2987"/>
    </row>
    <row r="82" spans="1:7">
      <c r="A82" s="2985" t="s">
        <v>110</v>
      </c>
      <c r="B82" s="2974" t="s">
        <v>2947</v>
      </c>
      <c r="C82" s="2991"/>
      <c r="D82" s="2986"/>
      <c r="E82" s="2975">
        <v>7.6999999999999999E-2</v>
      </c>
      <c r="F82" s="2986"/>
      <c r="G82" s="2987"/>
    </row>
    <row r="83" spans="1:7">
      <c r="A83" s="2985" t="s">
        <v>110</v>
      </c>
      <c r="B83" s="2974" t="s">
        <v>2953</v>
      </c>
      <c r="C83" s="2986"/>
      <c r="D83" s="2986"/>
      <c r="E83" s="2986"/>
      <c r="F83" s="2975">
        <v>0.1</v>
      </c>
      <c r="G83" s="2992"/>
    </row>
    <row r="84" spans="1:7">
      <c r="A84" s="2985" t="s">
        <v>110</v>
      </c>
      <c r="B84" s="2974" t="s">
        <v>2960</v>
      </c>
      <c r="C84" s="2986"/>
      <c r="D84" s="2986"/>
      <c r="E84" s="2986"/>
      <c r="F84" s="2975">
        <v>0.1</v>
      </c>
      <c r="G84" s="2992"/>
    </row>
    <row r="85" spans="1:7">
      <c r="A85" s="2985" t="s">
        <v>110</v>
      </c>
      <c r="B85" s="2974" t="s">
        <v>2967</v>
      </c>
      <c r="C85" s="2986"/>
      <c r="D85" s="2986"/>
      <c r="E85" s="2986"/>
      <c r="F85" s="2975">
        <v>0.1</v>
      </c>
      <c r="G85" s="2992"/>
    </row>
    <row r="86" spans="1:7" ht="14.25" thickBot="1">
      <c r="A86" s="2988" t="s">
        <v>110</v>
      </c>
      <c r="B86" s="2978" t="s">
        <v>2972</v>
      </c>
      <c r="C86" s="2979">
        <v>9.8000000000000004E-2</v>
      </c>
      <c r="D86" s="2979">
        <v>9.8000000000000004E-2</v>
      </c>
      <c r="E86" s="2979">
        <v>9.6000000000000002E-2</v>
      </c>
      <c r="F86" s="2989"/>
      <c r="G86" s="2981">
        <v>0.1</v>
      </c>
    </row>
    <row r="87" spans="1:7">
      <c r="A87" s="2984" t="s">
        <v>303</v>
      </c>
      <c r="B87" s="2970" t="s">
        <v>2848</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2941</v>
      </c>
      <c r="C113" s="2975">
        <v>0.1</v>
      </c>
      <c r="D113" s="2975">
        <v>0.1</v>
      </c>
      <c r="E113" s="2986"/>
      <c r="F113" s="2986"/>
      <c r="G113" s="2976">
        <v>0.1</v>
      </c>
    </row>
    <row r="114" spans="1:7">
      <c r="A114" s="2985" t="s">
        <v>303</v>
      </c>
      <c r="B114" s="2974" t="s">
        <v>2948</v>
      </c>
      <c r="C114" s="2975">
        <v>9.7000000000000003E-2</v>
      </c>
      <c r="D114" s="2975">
        <v>9.7000000000000003E-2</v>
      </c>
      <c r="E114" s="2986"/>
      <c r="F114" s="2986"/>
      <c r="G114" s="2976">
        <v>9.9000000000000005E-2</v>
      </c>
    </row>
    <row r="115" spans="1:7">
      <c r="A115" s="2985" t="s">
        <v>303</v>
      </c>
      <c r="B115" s="2974" t="s">
        <v>2954</v>
      </c>
      <c r="C115" s="2975">
        <v>0.1</v>
      </c>
      <c r="D115" s="2975">
        <v>0.1</v>
      </c>
      <c r="E115" s="2986"/>
      <c r="F115" s="2986"/>
      <c r="G115" s="2976">
        <v>0.1</v>
      </c>
    </row>
    <row r="116" spans="1:7">
      <c r="A116" s="2985" t="s">
        <v>303</v>
      </c>
      <c r="B116" s="2974" t="s">
        <v>2961</v>
      </c>
      <c r="C116" s="2975">
        <v>0.1</v>
      </c>
      <c r="D116" s="2975">
        <v>0.1</v>
      </c>
      <c r="E116" s="2986"/>
      <c r="F116" s="2986"/>
      <c r="G116" s="2976">
        <v>0.1</v>
      </c>
    </row>
    <row r="117" spans="1:7">
      <c r="A117" s="2985" t="s">
        <v>303</v>
      </c>
      <c r="B117" s="2974" t="s">
        <v>2968</v>
      </c>
      <c r="C117" s="2975">
        <v>9.7000000000000003E-2</v>
      </c>
      <c r="D117" s="2975">
        <v>9.7000000000000003E-2</v>
      </c>
      <c r="E117" s="2986"/>
      <c r="F117" s="2986"/>
      <c r="G117" s="2976">
        <v>9.7000000000000003E-2</v>
      </c>
    </row>
    <row r="118" spans="1:7">
      <c r="A118" s="2985" t="s">
        <v>303</v>
      </c>
      <c r="B118" s="2974" t="s">
        <v>2973</v>
      </c>
      <c r="C118" s="2975">
        <v>0.1</v>
      </c>
      <c r="D118" s="2975">
        <v>0.1</v>
      </c>
      <c r="E118" s="2986"/>
      <c r="F118" s="2986"/>
      <c r="G118" s="2976">
        <v>0.1</v>
      </c>
    </row>
    <row r="119" spans="1:7">
      <c r="A119" s="2985" t="s">
        <v>303</v>
      </c>
      <c r="B119" s="2974" t="s">
        <v>2977</v>
      </c>
      <c r="C119" s="2975">
        <v>5.0999999999999997E-2</v>
      </c>
      <c r="D119" s="2975">
        <v>5.1999999999999998E-2</v>
      </c>
      <c r="E119" s="2986"/>
      <c r="F119" s="2991"/>
      <c r="G119" s="2976">
        <v>0.06</v>
      </c>
    </row>
    <row r="120" spans="1:7">
      <c r="A120" s="2985" t="s">
        <v>303</v>
      </c>
      <c r="B120" s="2974" t="s">
        <v>2981</v>
      </c>
      <c r="C120" s="2986"/>
      <c r="D120" s="2986"/>
      <c r="E120" s="2986"/>
      <c r="F120" s="2975">
        <v>0.1</v>
      </c>
      <c r="G120" s="2992"/>
    </row>
    <row r="121" spans="1:7">
      <c r="A121" s="2985" t="s">
        <v>303</v>
      </c>
      <c r="B121" s="2974" t="s">
        <v>2986</v>
      </c>
      <c r="C121" s="2986"/>
      <c r="D121" s="2986"/>
      <c r="E121" s="2986"/>
      <c r="F121" s="2975">
        <v>0.1</v>
      </c>
      <c r="G121" s="2992"/>
    </row>
    <row r="122" spans="1:7">
      <c r="A122" s="2985" t="s">
        <v>303</v>
      </c>
      <c r="B122" s="2974" t="s">
        <v>2991</v>
      </c>
      <c r="C122" s="2975">
        <v>0.1</v>
      </c>
      <c r="D122" s="2975">
        <v>0.1</v>
      </c>
      <c r="E122" s="2975">
        <v>9.8000000000000004E-2</v>
      </c>
      <c r="F122" s="2975">
        <v>0.1</v>
      </c>
      <c r="G122" s="2976">
        <v>0.1</v>
      </c>
    </row>
    <row r="123" spans="1:7">
      <c r="A123" s="2985" t="s">
        <v>303</v>
      </c>
      <c r="B123" s="2974" t="s">
        <v>2996</v>
      </c>
      <c r="C123" s="2975">
        <v>0.1</v>
      </c>
      <c r="D123" s="2975">
        <v>0.1</v>
      </c>
      <c r="E123" s="2975">
        <v>9.8000000000000004E-2</v>
      </c>
      <c r="F123" s="2975">
        <v>0.1</v>
      </c>
      <c r="G123" s="2976">
        <v>0.1</v>
      </c>
    </row>
    <row r="124" spans="1:7">
      <c r="A124" s="2985" t="s">
        <v>303</v>
      </c>
      <c r="B124" s="2974" t="s">
        <v>3001</v>
      </c>
      <c r="C124" s="2975">
        <v>0.1</v>
      </c>
      <c r="D124" s="2975">
        <v>0.1</v>
      </c>
      <c r="E124" s="2975">
        <v>9.8000000000000004E-2</v>
      </c>
      <c r="F124" s="2991"/>
      <c r="G124" s="2976">
        <v>0.1</v>
      </c>
    </row>
    <row r="125" spans="1:7">
      <c r="A125" s="2985" t="s">
        <v>303</v>
      </c>
      <c r="B125" s="2974" t="s">
        <v>3006</v>
      </c>
      <c r="C125" s="2975">
        <v>9.8000000000000004E-2</v>
      </c>
      <c r="D125" s="2975">
        <v>9.8000000000000004E-2</v>
      </c>
      <c r="E125" s="2975">
        <v>9.6000000000000002E-2</v>
      </c>
      <c r="F125" s="2991"/>
      <c r="G125" s="2976">
        <v>0.1</v>
      </c>
    </row>
    <row r="126" spans="1:7" ht="14.25" thickBot="1">
      <c r="A126" s="2988" t="s">
        <v>303</v>
      </c>
      <c r="B126" s="2978" t="s">
        <v>3172</v>
      </c>
      <c r="C126" s="2979">
        <v>0.1</v>
      </c>
      <c r="D126" s="2979">
        <v>0.1</v>
      </c>
      <c r="E126" s="2979">
        <v>9.8000000000000004E-2</v>
      </c>
      <c r="F126" s="2979">
        <v>0.1</v>
      </c>
      <c r="G126" s="2981">
        <v>0.1</v>
      </c>
    </row>
    <row r="127" spans="1:7">
      <c r="A127" s="2984" t="s">
        <v>29</v>
      </c>
      <c r="B127" s="2970" t="s">
        <v>2849</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2919</v>
      </c>
      <c r="C148" s="2975">
        <v>0.13</v>
      </c>
      <c r="D148" s="2975">
        <v>0.13</v>
      </c>
      <c r="E148" s="2975">
        <v>0.13</v>
      </c>
      <c r="F148" s="2986"/>
      <c r="G148" s="2976">
        <v>0.13</v>
      </c>
    </row>
    <row r="149" spans="1:7">
      <c r="A149" s="2985" t="s">
        <v>29</v>
      </c>
      <c r="B149" s="2974" t="s">
        <v>2923</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2942</v>
      </c>
      <c r="C153" s="2975">
        <v>0.13</v>
      </c>
      <c r="D153" s="2975">
        <v>0.13</v>
      </c>
      <c r="E153" s="2975">
        <v>0.13</v>
      </c>
      <c r="F153" s="2975">
        <v>0.13</v>
      </c>
      <c r="G153" s="2976">
        <v>0.13</v>
      </c>
    </row>
    <row r="154" spans="1:7">
      <c r="A154" s="2985" t="s">
        <v>29</v>
      </c>
      <c r="B154" s="2974" t="s">
        <v>2949</v>
      </c>
      <c r="C154" s="2975">
        <v>0.121</v>
      </c>
      <c r="D154" s="2975">
        <v>0.121</v>
      </c>
      <c r="E154" s="2975">
        <v>0.105</v>
      </c>
      <c r="F154" s="2975">
        <v>0.121</v>
      </c>
      <c r="G154" s="2976">
        <v>0.123</v>
      </c>
    </row>
    <row r="155" spans="1:7">
      <c r="A155" s="2985" t="s">
        <v>29</v>
      </c>
      <c r="B155" s="2974" t="s">
        <v>2955</v>
      </c>
      <c r="C155" s="2975">
        <v>0.1</v>
      </c>
      <c r="D155" s="2975">
        <v>0.1</v>
      </c>
      <c r="E155" s="2975">
        <v>0.1</v>
      </c>
      <c r="F155" s="2975">
        <v>0.1</v>
      </c>
      <c r="G155" s="2976">
        <v>0.1</v>
      </c>
    </row>
    <row r="156" spans="1:7">
      <c r="A156" s="2985" t="s">
        <v>29</v>
      </c>
      <c r="B156" s="2974" t="s">
        <v>2962</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2982</v>
      </c>
      <c r="C160" s="2975">
        <v>0.13</v>
      </c>
      <c r="D160" s="2975">
        <v>0.13</v>
      </c>
      <c r="E160" s="2975">
        <v>0.124</v>
      </c>
      <c r="F160" s="2975">
        <v>0.126</v>
      </c>
      <c r="G160" s="2976">
        <v>0.13</v>
      </c>
    </row>
    <row r="161" spans="1:7">
      <c r="A161" s="2985" t="s">
        <v>29</v>
      </c>
      <c r="B161" s="2974" t="s">
        <v>2987</v>
      </c>
      <c r="C161" s="2975">
        <v>0.13</v>
      </c>
      <c r="D161" s="2975">
        <v>0.13</v>
      </c>
      <c r="E161" s="2975">
        <v>0.124</v>
      </c>
      <c r="F161" s="2975">
        <v>0.127</v>
      </c>
      <c r="G161" s="2976">
        <v>0.13</v>
      </c>
    </row>
    <row r="162" spans="1:7">
      <c r="A162" s="2985" t="s">
        <v>29</v>
      </c>
      <c r="B162" s="2974" t="s">
        <v>2992</v>
      </c>
      <c r="C162" s="2975">
        <v>0.1</v>
      </c>
      <c r="D162" s="2975">
        <v>0.1</v>
      </c>
      <c r="E162" s="2975">
        <v>0.1</v>
      </c>
      <c r="F162" s="2975">
        <v>0.121</v>
      </c>
      <c r="G162" s="2976">
        <v>0.105</v>
      </c>
    </row>
    <row r="163" spans="1:7">
      <c r="A163" s="2985" t="s">
        <v>29</v>
      </c>
      <c r="B163" s="2974" t="s">
        <v>2997</v>
      </c>
      <c r="C163" s="2975">
        <v>0.1</v>
      </c>
      <c r="D163" s="2975">
        <v>0.1</v>
      </c>
      <c r="E163" s="2975">
        <v>0.1</v>
      </c>
      <c r="F163" s="2975">
        <v>0.1</v>
      </c>
      <c r="G163" s="2976">
        <v>0.1</v>
      </c>
    </row>
    <row r="164" spans="1:7">
      <c r="A164" s="2985" t="s">
        <v>29</v>
      </c>
      <c r="B164" s="2974" t="s">
        <v>3002</v>
      </c>
      <c r="C164" s="2991"/>
      <c r="D164" s="2991"/>
      <c r="E164" s="2991"/>
      <c r="F164" s="2975">
        <v>0.1</v>
      </c>
      <c r="G164" s="2987"/>
    </row>
    <row r="165" spans="1:7">
      <c r="A165" s="2985" t="s">
        <v>29</v>
      </c>
      <c r="B165" s="2974" t="s">
        <v>3173</v>
      </c>
      <c r="C165" s="2975">
        <v>0.126</v>
      </c>
      <c r="D165" s="2975">
        <v>0.126</v>
      </c>
      <c r="E165" s="2975">
        <v>0.11899999999999999</v>
      </c>
      <c r="F165" s="2975">
        <v>0.13</v>
      </c>
      <c r="G165" s="2976">
        <v>0.128</v>
      </c>
    </row>
    <row r="166" spans="1:7">
      <c r="A166" s="2985" t="s">
        <v>29</v>
      </c>
      <c r="B166" s="2974" t="s">
        <v>3012</v>
      </c>
      <c r="C166" s="2975">
        <v>0.129</v>
      </c>
      <c r="D166" s="2975">
        <v>0.129</v>
      </c>
      <c r="E166" s="2975">
        <v>0.123</v>
      </c>
      <c r="F166" s="2975">
        <v>0.128</v>
      </c>
      <c r="G166" s="2976">
        <v>0.13</v>
      </c>
    </row>
    <row r="167" spans="1:7">
      <c r="A167" s="2985" t="s">
        <v>29</v>
      </c>
      <c r="B167" s="2974" t="s">
        <v>3016</v>
      </c>
      <c r="C167" s="2975">
        <v>0.125</v>
      </c>
      <c r="D167" s="2975">
        <v>0.125</v>
      </c>
      <c r="E167" s="2975">
        <v>0.11700000000000001</v>
      </c>
      <c r="F167" s="2975">
        <v>0.13</v>
      </c>
      <c r="G167" s="2976">
        <v>0.126</v>
      </c>
    </row>
    <row r="168" spans="1:7">
      <c r="A168" s="2985" t="s">
        <v>29</v>
      </c>
      <c r="B168" s="2974" t="s">
        <v>3021</v>
      </c>
      <c r="C168" s="2975">
        <v>0.128</v>
      </c>
      <c r="D168" s="2975">
        <v>0.128</v>
      </c>
      <c r="E168" s="2975">
        <v>0.123</v>
      </c>
      <c r="F168" s="2986"/>
      <c r="G168" s="2976">
        <v>0.13</v>
      </c>
    </row>
    <row r="169" spans="1:7">
      <c r="A169" s="2985" t="s">
        <v>29</v>
      </c>
      <c r="B169" s="2974" t="s">
        <v>3174</v>
      </c>
      <c r="C169" s="2991"/>
      <c r="D169" s="2991"/>
      <c r="E169" s="2991"/>
      <c r="F169" s="2975">
        <v>0.05</v>
      </c>
      <c r="G169" s="2987"/>
    </row>
    <row r="170" spans="1:7">
      <c r="A170" s="2985" t="s">
        <v>29</v>
      </c>
      <c r="B170" s="2974" t="s">
        <v>3175</v>
      </c>
      <c r="C170" s="2991"/>
      <c r="D170" s="2991"/>
      <c r="E170" s="2991"/>
      <c r="F170" s="2975">
        <v>0.05</v>
      </c>
      <c r="G170" s="2987"/>
    </row>
    <row r="171" spans="1:7">
      <c r="A171" s="2985" t="s">
        <v>29</v>
      </c>
      <c r="B171" s="2974" t="s">
        <v>3176</v>
      </c>
      <c r="C171" s="2991"/>
      <c r="D171" s="2991"/>
      <c r="E171" s="2991"/>
      <c r="F171" s="2975">
        <v>0.05</v>
      </c>
      <c r="G171" s="2992"/>
    </row>
    <row r="172" spans="1:7">
      <c r="A172" s="2985" t="s">
        <v>29</v>
      </c>
      <c r="B172" s="2974" t="s">
        <v>3177</v>
      </c>
      <c r="C172" s="2991"/>
      <c r="D172" s="2991"/>
      <c r="E172" s="2991"/>
      <c r="F172" s="2975">
        <v>0.05</v>
      </c>
      <c r="G172" s="2992"/>
    </row>
    <row r="173" spans="1:7">
      <c r="A173" s="2985" t="s">
        <v>29</v>
      </c>
      <c r="B173" s="2974" t="s">
        <v>3178</v>
      </c>
      <c r="C173" s="2991"/>
      <c r="D173" s="2991"/>
      <c r="E173" s="2991"/>
      <c r="F173" s="2975">
        <v>0.05</v>
      </c>
      <c r="G173" s="2987"/>
    </row>
    <row r="174" spans="1:7">
      <c r="A174" s="2985" t="s">
        <v>29</v>
      </c>
      <c r="B174" s="2974" t="s">
        <v>3179</v>
      </c>
      <c r="C174" s="2991"/>
      <c r="D174" s="2991"/>
      <c r="E174" s="2991"/>
      <c r="F174" s="2975">
        <v>0.05</v>
      </c>
      <c r="G174" s="2987"/>
    </row>
    <row r="175" spans="1:7">
      <c r="A175" s="2985" t="s">
        <v>29</v>
      </c>
      <c r="B175" s="2974" t="s">
        <v>3180</v>
      </c>
      <c r="C175" s="2991"/>
      <c r="D175" s="2991"/>
      <c r="E175" s="2991"/>
      <c r="F175" s="2975">
        <v>0.05</v>
      </c>
      <c r="G175" s="2987"/>
    </row>
    <row r="176" spans="1:7">
      <c r="A176" s="2985" t="s">
        <v>29</v>
      </c>
      <c r="B176" s="2974" t="s">
        <v>3181</v>
      </c>
      <c r="C176" s="2991"/>
      <c r="D176" s="2991"/>
      <c r="E176" s="2991"/>
      <c r="F176" s="2975">
        <v>0.05</v>
      </c>
      <c r="G176" s="2987"/>
    </row>
    <row r="177" spans="1:7">
      <c r="A177" s="2985" t="s">
        <v>29</v>
      </c>
      <c r="B177" s="2974" t="s">
        <v>3182</v>
      </c>
      <c r="C177" s="2986"/>
      <c r="D177" s="2986"/>
      <c r="E177" s="2986"/>
      <c r="F177" s="2975">
        <v>0.05</v>
      </c>
      <c r="G177" s="2992"/>
    </row>
    <row r="178" spans="1:7">
      <c r="A178" s="2985" t="s">
        <v>29</v>
      </c>
      <c r="B178" s="2974" t="s">
        <v>3183</v>
      </c>
      <c r="C178" s="2986"/>
      <c r="D178" s="2986"/>
      <c r="E178" s="2986"/>
      <c r="F178" s="2975">
        <v>0.05</v>
      </c>
      <c r="G178" s="2992"/>
    </row>
    <row r="179" spans="1:7">
      <c r="A179" s="2985" t="s">
        <v>29</v>
      </c>
      <c r="B179" s="2974" t="s">
        <v>3184</v>
      </c>
      <c r="C179" s="2986"/>
      <c r="D179" s="2986"/>
      <c r="E179" s="2986"/>
      <c r="F179" s="2975">
        <v>0.05</v>
      </c>
      <c r="G179" s="2992"/>
    </row>
    <row r="180" spans="1:7">
      <c r="A180" s="2985" t="s">
        <v>29</v>
      </c>
      <c r="B180" s="2974" t="s">
        <v>3185</v>
      </c>
      <c r="C180" s="2986"/>
      <c r="D180" s="2986"/>
      <c r="E180" s="2986"/>
      <c r="F180" s="2975">
        <v>0.05</v>
      </c>
      <c r="G180" s="2992"/>
    </row>
    <row r="181" spans="1:7">
      <c r="A181" s="2985" t="s">
        <v>29</v>
      </c>
      <c r="B181" s="2974" t="s">
        <v>3186</v>
      </c>
      <c r="C181" s="2986"/>
      <c r="D181" s="2986"/>
      <c r="E181" s="2986"/>
      <c r="F181" s="2975">
        <v>0.05</v>
      </c>
      <c r="G181" s="2992"/>
    </row>
    <row r="182" spans="1:7">
      <c r="A182" s="2985" t="s">
        <v>29</v>
      </c>
      <c r="B182" s="2974" t="s">
        <v>3187</v>
      </c>
      <c r="C182" s="2986"/>
      <c r="D182" s="2986"/>
      <c r="E182" s="2986"/>
      <c r="F182" s="2975">
        <v>0.05</v>
      </c>
      <c r="G182" s="2992"/>
    </row>
    <row r="183" spans="1:7">
      <c r="A183" s="2985" t="s">
        <v>29</v>
      </c>
      <c r="B183" s="2974" t="s">
        <v>3188</v>
      </c>
      <c r="C183" s="2986"/>
      <c r="D183" s="2986"/>
      <c r="E183" s="2986"/>
      <c r="F183" s="2975">
        <v>0.05</v>
      </c>
      <c r="G183" s="2992"/>
    </row>
    <row r="184" spans="1:7">
      <c r="A184" s="2985" t="s">
        <v>29</v>
      </c>
      <c r="B184" s="2974" t="s">
        <v>3189</v>
      </c>
      <c r="C184" s="2986"/>
      <c r="D184" s="2986"/>
      <c r="E184" s="2986"/>
      <c r="F184" s="2975">
        <v>0.05</v>
      </c>
      <c r="G184" s="2992"/>
    </row>
    <row r="185" spans="1:7">
      <c r="A185" s="2985" t="s">
        <v>29</v>
      </c>
      <c r="B185" s="2974" t="s">
        <v>3190</v>
      </c>
      <c r="C185" s="2986"/>
      <c r="D185" s="2986"/>
      <c r="E185" s="2986"/>
      <c r="F185" s="2975">
        <v>0.05</v>
      </c>
      <c r="G185" s="2992"/>
    </row>
    <row r="186" spans="1:7">
      <c r="A186" s="2985" t="s">
        <v>29</v>
      </c>
      <c r="B186" s="2974" t="s">
        <v>3191</v>
      </c>
      <c r="C186" s="2986"/>
      <c r="D186" s="2986"/>
      <c r="E186" s="2986"/>
      <c r="F186" s="2975">
        <v>0.05</v>
      </c>
      <c r="G186" s="2992"/>
    </row>
    <row r="187" spans="1:7">
      <c r="A187" s="2985" t="s">
        <v>29</v>
      </c>
      <c r="B187" s="2974" t="s">
        <v>3192</v>
      </c>
      <c r="C187" s="2986"/>
      <c r="D187" s="2986"/>
      <c r="E187" s="2986"/>
      <c r="F187" s="2975">
        <v>0.05</v>
      </c>
      <c r="G187" s="2992"/>
    </row>
    <row r="188" spans="1:7">
      <c r="A188" s="2985" t="s">
        <v>29</v>
      </c>
      <c r="B188" s="2974" t="s">
        <v>3193</v>
      </c>
      <c r="C188" s="2986"/>
      <c r="D188" s="2986"/>
      <c r="E188" s="2986"/>
      <c r="F188" s="2975">
        <v>0.05</v>
      </c>
      <c r="G188" s="2992"/>
    </row>
    <row r="189" spans="1:7" ht="14.25" thickBot="1">
      <c r="A189" s="2988" t="s">
        <v>29</v>
      </c>
      <c r="B189" s="2978" t="s">
        <v>3194</v>
      </c>
      <c r="C189" s="2980"/>
      <c r="D189" s="2980"/>
      <c r="E189" s="2980"/>
      <c r="F189" s="2979">
        <v>0.05</v>
      </c>
      <c r="G189" s="2993"/>
    </row>
    <row r="190" spans="1:7">
      <c r="A190" s="2984" t="s">
        <v>304</v>
      </c>
      <c r="B190" s="2970" t="s">
        <v>2850</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2886</v>
      </c>
      <c r="C199" s="2975">
        <v>0.13</v>
      </c>
      <c r="D199" s="2975">
        <v>0.13</v>
      </c>
      <c r="E199" s="2975">
        <v>0.13</v>
      </c>
      <c r="F199" s="2975">
        <v>0.13</v>
      </c>
      <c r="G199" s="2976">
        <v>0.13</v>
      </c>
    </row>
    <row r="200" spans="1:7">
      <c r="A200" s="2985" t="s">
        <v>304</v>
      </c>
      <c r="B200" s="2974" t="s">
        <v>2889</v>
      </c>
      <c r="C200" s="2991"/>
      <c r="D200" s="2991"/>
      <c r="E200" s="2991"/>
      <c r="F200" s="2975">
        <v>0.13</v>
      </c>
      <c r="G200" s="2987"/>
    </row>
    <row r="201" spans="1:7">
      <c r="A201" s="2985" t="s">
        <v>304</v>
      </c>
      <c r="B201" s="2974" t="s">
        <v>2894</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2897</v>
      </c>
      <c r="C203" s="2975">
        <v>0.129</v>
      </c>
      <c r="D203" s="2975">
        <v>0.129</v>
      </c>
      <c r="E203" s="2975">
        <v>0.13</v>
      </c>
      <c r="F203" s="2975">
        <v>0.13</v>
      </c>
      <c r="G203" s="2976">
        <v>0.13</v>
      </c>
    </row>
    <row r="204" spans="1:7">
      <c r="A204" s="2985" t="s">
        <v>304</v>
      </c>
      <c r="B204" s="2974" t="s">
        <v>2900</v>
      </c>
      <c r="C204" s="2975">
        <v>0.129</v>
      </c>
      <c r="D204" s="2975">
        <v>0.129</v>
      </c>
      <c r="E204" s="2975">
        <v>0.123</v>
      </c>
      <c r="F204" s="2975">
        <v>0.13</v>
      </c>
      <c r="G204" s="2976">
        <v>0.13</v>
      </c>
    </row>
    <row r="205" spans="1:7">
      <c r="A205" s="2985" t="s">
        <v>304</v>
      </c>
      <c r="B205" s="2974" t="s">
        <v>2902</v>
      </c>
      <c r="C205" s="2975">
        <v>0.13</v>
      </c>
      <c r="D205" s="2975">
        <v>0.13</v>
      </c>
      <c r="E205" s="2975">
        <v>0.13</v>
      </c>
      <c r="F205" s="2975">
        <v>0.13</v>
      </c>
      <c r="G205" s="2976">
        <v>0.13</v>
      </c>
    </row>
    <row r="206" spans="1:7">
      <c r="A206" s="2985" t="s">
        <v>304</v>
      </c>
      <c r="B206" s="2974" t="s">
        <v>2905</v>
      </c>
      <c r="C206" s="2975">
        <v>0.13</v>
      </c>
      <c r="D206" s="2975">
        <v>0.13</v>
      </c>
      <c r="E206" s="2975">
        <v>0.13</v>
      </c>
      <c r="F206" s="2975">
        <v>0.128</v>
      </c>
      <c r="G206" s="2976">
        <v>0.13</v>
      </c>
    </row>
    <row r="207" spans="1:7">
      <c r="A207" s="2985" t="s">
        <v>304</v>
      </c>
      <c r="B207" s="2974" t="s">
        <v>2907</v>
      </c>
      <c r="C207" s="2975">
        <v>0.13</v>
      </c>
      <c r="D207" s="2975">
        <v>0.13</v>
      </c>
      <c r="E207" s="2975">
        <v>0.13</v>
      </c>
      <c r="F207" s="2975">
        <v>0.13</v>
      </c>
      <c r="G207" s="2976">
        <v>0.13</v>
      </c>
    </row>
    <row r="208" spans="1:7">
      <c r="A208" s="2985" t="s">
        <v>304</v>
      </c>
      <c r="B208" s="2974" t="s">
        <v>2910</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2917</v>
      </c>
      <c r="C210" s="2975">
        <v>0.121</v>
      </c>
      <c r="D210" s="2975">
        <v>0.121</v>
      </c>
      <c r="E210" s="2975">
        <v>0.125</v>
      </c>
      <c r="F210" s="2975">
        <v>0.13</v>
      </c>
      <c r="G210" s="2976">
        <v>0.123</v>
      </c>
    </row>
    <row r="211" spans="1:7">
      <c r="A211" s="2985" t="s">
        <v>304</v>
      </c>
      <c r="B211" s="2974" t="s">
        <v>2920</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2932</v>
      </c>
      <c r="C214" s="2975">
        <v>0.128</v>
      </c>
      <c r="D214" s="2975">
        <v>0.128</v>
      </c>
      <c r="E214" s="2975">
        <v>0.13</v>
      </c>
      <c r="F214" s="2975">
        <v>0.13</v>
      </c>
      <c r="G214" s="2976">
        <v>0.13</v>
      </c>
    </row>
    <row r="215" spans="1:7">
      <c r="A215" s="2985" t="s">
        <v>304</v>
      </c>
      <c r="B215" s="2974" t="s">
        <v>2936</v>
      </c>
      <c r="C215" s="2975">
        <v>0.13</v>
      </c>
      <c r="D215" s="2975">
        <v>0.13</v>
      </c>
      <c r="E215" s="2975">
        <v>0.13</v>
      </c>
      <c r="F215" s="2975">
        <v>0.129</v>
      </c>
      <c r="G215" s="2976">
        <v>0.13</v>
      </c>
    </row>
    <row r="216" spans="1:7">
      <c r="A216" s="2985" t="s">
        <v>304</v>
      </c>
      <c r="B216" s="2974" t="s">
        <v>2943</v>
      </c>
      <c r="C216" s="2975">
        <v>0.13</v>
      </c>
      <c r="D216" s="2975">
        <v>0.13</v>
      </c>
      <c r="E216" s="2975">
        <v>0.13</v>
      </c>
      <c r="F216" s="2975">
        <v>0.13</v>
      </c>
      <c r="G216" s="2976">
        <v>0.13</v>
      </c>
    </row>
    <row r="217" spans="1:7">
      <c r="A217" s="2985" t="s">
        <v>304</v>
      </c>
      <c r="B217" s="2974" t="s">
        <v>2950</v>
      </c>
      <c r="C217" s="2975">
        <v>0.129</v>
      </c>
      <c r="D217" s="2975">
        <v>0.129</v>
      </c>
      <c r="E217" s="2975">
        <v>0.13</v>
      </c>
      <c r="F217" s="2975">
        <v>0.13</v>
      </c>
      <c r="G217" s="2976">
        <v>0.13</v>
      </c>
    </row>
    <row r="218" spans="1:7">
      <c r="A218" s="2985" t="s">
        <v>304</v>
      </c>
      <c r="B218" s="2974" t="s">
        <v>2956</v>
      </c>
      <c r="C218" s="2986"/>
      <c r="D218" s="2986"/>
      <c r="E218" s="2986"/>
      <c r="F218" s="2975">
        <v>0.05</v>
      </c>
      <c r="G218" s="2992"/>
    </row>
    <row r="219" spans="1:7">
      <c r="A219" s="2985" t="s">
        <v>304</v>
      </c>
      <c r="B219" s="2974" t="s">
        <v>2963</v>
      </c>
      <c r="C219" s="2986"/>
      <c r="D219" s="2986"/>
      <c r="E219" s="2986"/>
      <c r="F219" s="2975">
        <v>0.05</v>
      </c>
      <c r="G219" s="2992"/>
    </row>
    <row r="220" spans="1:7">
      <c r="A220" s="2985" t="s">
        <v>304</v>
      </c>
      <c r="B220" s="2974" t="s">
        <v>2969</v>
      </c>
      <c r="C220" s="2986"/>
      <c r="D220" s="2986"/>
      <c r="E220" s="2986"/>
      <c r="F220" s="2975">
        <v>0.05</v>
      </c>
      <c r="G220" s="2992"/>
    </row>
    <row r="221" spans="1:7">
      <c r="A221" s="2985" t="s">
        <v>304</v>
      </c>
      <c r="B221" s="2974" t="s">
        <v>2974</v>
      </c>
      <c r="C221" s="2986"/>
      <c r="D221" s="2986"/>
      <c r="E221" s="2986"/>
      <c r="F221" s="2975">
        <v>0.05</v>
      </c>
      <c r="G221" s="2992"/>
    </row>
    <row r="222" spans="1:7">
      <c r="A222" s="2985" t="s">
        <v>304</v>
      </c>
      <c r="B222" s="2974" t="s">
        <v>2978</v>
      </c>
      <c r="C222" s="2986"/>
      <c r="D222" s="2986"/>
      <c r="E222" s="2986"/>
      <c r="F222" s="2975">
        <v>0.05</v>
      </c>
      <c r="G222" s="2992"/>
    </row>
    <row r="223" spans="1:7">
      <c r="A223" s="2985" t="s">
        <v>304</v>
      </c>
      <c r="B223" s="2974" t="s">
        <v>2983</v>
      </c>
      <c r="C223" s="2986"/>
      <c r="D223" s="2986"/>
      <c r="E223" s="2986"/>
      <c r="F223" s="2975">
        <v>0.05</v>
      </c>
      <c r="G223" s="2992"/>
    </row>
    <row r="224" spans="1:7">
      <c r="A224" s="2985" t="s">
        <v>304</v>
      </c>
      <c r="B224" s="2974" t="s">
        <v>2988</v>
      </c>
      <c r="C224" s="2986"/>
      <c r="D224" s="2986"/>
      <c r="E224" s="2986"/>
      <c r="F224" s="2975">
        <v>0.05</v>
      </c>
      <c r="G224" s="2992"/>
    </row>
    <row r="225" spans="1:7">
      <c r="A225" s="2985" t="s">
        <v>304</v>
      </c>
      <c r="B225" s="2974" t="s">
        <v>2993</v>
      </c>
      <c r="C225" s="2986"/>
      <c r="D225" s="2986"/>
      <c r="E225" s="2986"/>
      <c r="F225" s="2975">
        <v>0.05</v>
      </c>
      <c r="G225" s="2992"/>
    </row>
    <row r="226" spans="1:7">
      <c r="A226" s="2985" t="s">
        <v>304</v>
      </c>
      <c r="B226" s="2974" t="s">
        <v>3195</v>
      </c>
      <c r="C226" s="2986"/>
      <c r="D226" s="2986"/>
      <c r="E226" s="2986"/>
      <c r="F226" s="2975">
        <v>0.05</v>
      </c>
      <c r="G226" s="2992"/>
    </row>
    <row r="227" spans="1:7">
      <c r="A227" s="2985" t="s">
        <v>304</v>
      </c>
      <c r="B227" s="2974" t="s">
        <v>3196</v>
      </c>
      <c r="C227" s="2986"/>
      <c r="D227" s="2986"/>
      <c r="E227" s="2986"/>
      <c r="F227" s="2975">
        <v>0.05</v>
      </c>
      <c r="G227" s="2992"/>
    </row>
    <row r="228" spans="1:7">
      <c r="A228" s="2985" t="s">
        <v>304</v>
      </c>
      <c r="B228" s="2974" t="s">
        <v>3197</v>
      </c>
      <c r="C228" s="2986"/>
      <c r="D228" s="2986"/>
      <c r="E228" s="2986"/>
      <c r="F228" s="2975">
        <v>0.05</v>
      </c>
      <c r="G228" s="2992"/>
    </row>
    <row r="229" spans="1:7">
      <c r="A229" s="2985" t="s">
        <v>304</v>
      </c>
      <c r="B229" s="2974" t="s">
        <v>3198</v>
      </c>
      <c r="C229" s="2986"/>
      <c r="D229" s="2986"/>
      <c r="E229" s="2986"/>
      <c r="F229" s="2975">
        <v>0.05</v>
      </c>
      <c r="G229" s="2992"/>
    </row>
    <row r="230" spans="1:7">
      <c r="A230" s="2985" t="s">
        <v>304</v>
      </c>
      <c r="B230" s="2974" t="s">
        <v>3199</v>
      </c>
      <c r="C230" s="2986"/>
      <c r="D230" s="2986"/>
      <c r="E230" s="2986"/>
      <c r="F230" s="2975">
        <v>0.05</v>
      </c>
      <c r="G230" s="2992"/>
    </row>
    <row r="231" spans="1:7">
      <c r="A231" s="2985" t="s">
        <v>304</v>
      </c>
      <c r="B231" s="2974" t="s">
        <v>3200</v>
      </c>
      <c r="C231" s="2986"/>
      <c r="D231" s="2986"/>
      <c r="E231" s="2986"/>
      <c r="F231" s="2975">
        <v>0.05</v>
      </c>
      <c r="G231" s="2992"/>
    </row>
    <row r="232" spans="1:7">
      <c r="A232" s="2985" t="s">
        <v>304</v>
      </c>
      <c r="B232" s="2974" t="s">
        <v>3201</v>
      </c>
      <c r="C232" s="2986"/>
      <c r="D232" s="2986"/>
      <c r="E232" s="2986"/>
      <c r="F232" s="2975">
        <v>0.05</v>
      </c>
      <c r="G232" s="2992"/>
    </row>
    <row r="233" spans="1:7" ht="14.25" thickBot="1">
      <c r="A233" s="2988" t="s">
        <v>304</v>
      </c>
      <c r="B233" s="2978" t="s">
        <v>3202</v>
      </c>
      <c r="C233" s="2980"/>
      <c r="D233" s="2980"/>
      <c r="E233" s="2980"/>
      <c r="F233" s="2979">
        <v>0.05</v>
      </c>
      <c r="G233" s="2993"/>
    </row>
    <row r="234" spans="1:7">
      <c r="A234" s="2984" t="s">
        <v>305</v>
      </c>
      <c r="B234" s="2970" t="s">
        <v>2851</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2871</v>
      </c>
      <c r="C238" s="2975">
        <v>0.14899999999999999</v>
      </c>
      <c r="D238" s="2975">
        <v>0.14899999999999999</v>
      </c>
      <c r="E238" s="2975">
        <v>0.15</v>
      </c>
      <c r="F238" s="2975">
        <v>0.15</v>
      </c>
      <c r="G238" s="2976">
        <v>0.15</v>
      </c>
    </row>
    <row r="239" spans="1:7">
      <c r="A239" s="2985" t="s">
        <v>305</v>
      </c>
      <c r="B239" s="2974" t="s">
        <v>2875</v>
      </c>
      <c r="C239" s="2975">
        <v>0.15</v>
      </c>
      <c r="D239" s="2975">
        <v>0.15</v>
      </c>
      <c r="E239" s="2975">
        <v>0.15</v>
      </c>
      <c r="F239" s="2975">
        <v>0.15</v>
      </c>
      <c r="G239" s="2976">
        <v>0.15</v>
      </c>
    </row>
    <row r="240" spans="1:7">
      <c r="A240" s="2985" t="s">
        <v>305</v>
      </c>
      <c r="B240" s="2974" t="s">
        <v>2880</v>
      </c>
      <c r="C240" s="2975">
        <v>0.15</v>
      </c>
      <c r="D240" s="2975">
        <v>0.15</v>
      </c>
      <c r="E240" s="2975">
        <v>0.15</v>
      </c>
      <c r="F240" s="2975">
        <v>0.15</v>
      </c>
      <c r="G240" s="2976">
        <v>0.15</v>
      </c>
    </row>
    <row r="241" spans="1:7">
      <c r="A241" s="2985" t="s">
        <v>305</v>
      </c>
      <c r="B241" s="2974" t="s">
        <v>2884</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2890</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2898</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2903</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2911</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2924</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2933</v>
      </c>
      <c r="C258" s="2975">
        <v>0.14299999999999999</v>
      </c>
      <c r="D258" s="2975">
        <v>0.14299999999999999</v>
      </c>
      <c r="E258" s="2975">
        <v>0.15</v>
      </c>
      <c r="F258" s="2975">
        <v>0.14799999999999999</v>
      </c>
      <c r="G258" s="2976">
        <v>0.14599999999999999</v>
      </c>
    </row>
    <row r="259" spans="1:7">
      <c r="A259" s="2985" t="s">
        <v>305</v>
      </c>
      <c r="B259" s="2974" t="s">
        <v>2937</v>
      </c>
      <c r="C259" s="2975">
        <v>0.14399999999999999</v>
      </c>
      <c r="D259" s="2975">
        <v>0.14399999999999999</v>
      </c>
      <c r="E259" s="2975">
        <v>0.14899999999999999</v>
      </c>
      <c r="F259" s="2975">
        <v>0.14699999999999999</v>
      </c>
      <c r="G259" s="2976">
        <v>0.14599999999999999</v>
      </c>
    </row>
    <row r="260" spans="1:7">
      <c r="A260" s="2985" t="s">
        <v>305</v>
      </c>
      <c r="B260" s="2974" t="s">
        <v>2944</v>
      </c>
      <c r="C260" s="2975">
        <v>0.109</v>
      </c>
      <c r="D260" s="2975">
        <v>0.111</v>
      </c>
      <c r="E260" s="2975">
        <v>0.13100000000000001</v>
      </c>
      <c r="F260" s="2975">
        <v>0.126</v>
      </c>
      <c r="G260" s="2976">
        <v>0.11899999999999999</v>
      </c>
    </row>
    <row r="261" spans="1:7">
      <c r="A261" s="2985" t="s">
        <v>305</v>
      </c>
      <c r="B261" s="2974" t="s">
        <v>2951</v>
      </c>
      <c r="C261" s="2975">
        <v>0.1</v>
      </c>
      <c r="D261" s="2975">
        <v>0.1</v>
      </c>
      <c r="E261" s="2975">
        <v>0.11799999999999999</v>
      </c>
      <c r="F261" s="2975">
        <v>0.108</v>
      </c>
      <c r="G261" s="2976">
        <v>0.107</v>
      </c>
    </row>
    <row r="262" spans="1:7">
      <c r="A262" s="2985" t="s">
        <v>305</v>
      </c>
      <c r="B262" s="2974" t="s">
        <v>2957</v>
      </c>
      <c r="C262" s="2975">
        <v>0.1</v>
      </c>
      <c r="D262" s="2975">
        <v>0.1</v>
      </c>
      <c r="E262" s="2975">
        <v>0.1</v>
      </c>
      <c r="F262" s="2975">
        <v>0.14099999999999999</v>
      </c>
      <c r="G262" s="2976">
        <v>0.1</v>
      </c>
    </row>
    <row r="263" spans="1:7">
      <c r="A263" s="2985" t="s">
        <v>305</v>
      </c>
      <c r="B263" s="2974" t="s">
        <v>2964</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2975</v>
      </c>
      <c r="C265" s="2986"/>
      <c r="D265" s="2986"/>
      <c r="E265" s="2986"/>
      <c r="F265" s="2975">
        <v>0.05</v>
      </c>
      <c r="G265" s="2992"/>
    </row>
    <row r="266" spans="1:7">
      <c r="A266" s="2985" t="s">
        <v>305</v>
      </c>
      <c r="B266" s="2974" t="s">
        <v>2979</v>
      </c>
      <c r="C266" s="2986"/>
      <c r="D266" s="2986"/>
      <c r="E266" s="2986"/>
      <c r="F266" s="2975">
        <v>0.05</v>
      </c>
      <c r="G266" s="2992"/>
    </row>
    <row r="267" spans="1:7">
      <c r="A267" s="2985" t="s">
        <v>305</v>
      </c>
      <c r="B267" s="2974" t="s">
        <v>2984</v>
      </c>
      <c r="C267" s="2986"/>
      <c r="D267" s="2986"/>
      <c r="E267" s="2986"/>
      <c r="F267" s="2975">
        <v>0.05</v>
      </c>
      <c r="G267" s="2992"/>
    </row>
    <row r="268" spans="1:7">
      <c r="A268" s="2985" t="s">
        <v>305</v>
      </c>
      <c r="B268" s="2974" t="s">
        <v>2989</v>
      </c>
      <c r="C268" s="2986"/>
      <c r="D268" s="2986"/>
      <c r="E268" s="2986"/>
      <c r="F268" s="2975">
        <v>0.05</v>
      </c>
      <c r="G268" s="2992"/>
    </row>
    <row r="269" spans="1:7">
      <c r="A269" s="2985" t="s">
        <v>305</v>
      </c>
      <c r="B269" s="2974" t="s">
        <v>2994</v>
      </c>
      <c r="C269" s="2986"/>
      <c r="D269" s="2986"/>
      <c r="E269" s="2986"/>
      <c r="F269" s="2975">
        <v>0.05</v>
      </c>
      <c r="G269" s="2992"/>
    </row>
    <row r="270" spans="1:7">
      <c r="A270" s="2985" t="s">
        <v>305</v>
      </c>
      <c r="B270" s="2974" t="s">
        <v>2999</v>
      </c>
      <c r="C270" s="2986"/>
      <c r="D270" s="2986"/>
      <c r="E270" s="2986"/>
      <c r="F270" s="2975">
        <v>0.05</v>
      </c>
      <c r="G270" s="2992"/>
    </row>
    <row r="271" spans="1:7">
      <c r="A271" s="2985" t="s">
        <v>305</v>
      </c>
      <c r="B271" s="2974" t="s">
        <v>3203</v>
      </c>
      <c r="C271" s="2986"/>
      <c r="D271" s="2986"/>
      <c r="E271" s="2986"/>
      <c r="F271" s="2975">
        <v>0.05</v>
      </c>
      <c r="G271" s="2992"/>
    </row>
    <row r="272" spans="1:7">
      <c r="A272" s="2985" t="s">
        <v>305</v>
      </c>
      <c r="B272" s="2974" t="s">
        <v>3204</v>
      </c>
      <c r="C272" s="2986"/>
      <c r="D272" s="2986"/>
      <c r="E272" s="2986"/>
      <c r="F272" s="2975">
        <v>0.05</v>
      </c>
      <c r="G272" s="2992"/>
    </row>
    <row r="273" spans="1:7">
      <c r="A273" s="2985" t="s">
        <v>305</v>
      </c>
      <c r="B273" s="2974" t="s">
        <v>3205</v>
      </c>
      <c r="C273" s="2986"/>
      <c r="D273" s="2986"/>
      <c r="E273" s="2986"/>
      <c r="F273" s="2975">
        <v>0.05</v>
      </c>
      <c r="G273" s="2992"/>
    </row>
    <row r="274" spans="1:7">
      <c r="A274" s="2985" t="s">
        <v>305</v>
      </c>
      <c r="B274" s="2974" t="s">
        <v>3206</v>
      </c>
      <c r="C274" s="2986"/>
      <c r="D274" s="2986"/>
      <c r="E274" s="2986"/>
      <c r="F274" s="2975">
        <v>0.05</v>
      </c>
      <c r="G274" s="2992"/>
    </row>
    <row r="275" spans="1:7">
      <c r="A275" s="2985" t="s">
        <v>305</v>
      </c>
      <c r="B275" s="2974" t="s">
        <v>3207</v>
      </c>
      <c r="C275" s="2986"/>
      <c r="D275" s="2986"/>
      <c r="E275" s="2986"/>
      <c r="F275" s="2975">
        <v>0.05</v>
      </c>
      <c r="G275" s="2992"/>
    </row>
    <row r="276" spans="1:7" ht="14.25" thickBot="1">
      <c r="A276" s="2988" t="s">
        <v>305</v>
      </c>
      <c r="B276" s="2978" t="s">
        <v>3208</v>
      </c>
      <c r="C276" s="2980"/>
      <c r="D276" s="2980"/>
      <c r="E276" s="2980"/>
      <c r="F276" s="2979">
        <v>0.05</v>
      </c>
      <c r="G276" s="2993"/>
    </row>
    <row r="277" spans="1:7">
      <c r="A277" s="2984" t="s">
        <v>306</v>
      </c>
      <c r="B277" s="2970" t="s">
        <v>2852</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2864</v>
      </c>
      <c r="C279" s="2975">
        <v>0.15</v>
      </c>
      <c r="D279" s="2975">
        <v>0.15</v>
      </c>
      <c r="E279" s="2975">
        <v>0.15</v>
      </c>
      <c r="F279" s="2975">
        <v>0.15</v>
      </c>
      <c r="G279" s="2976">
        <v>0.15</v>
      </c>
    </row>
    <row r="280" spans="1:7">
      <c r="A280" s="2985" t="s">
        <v>306</v>
      </c>
      <c r="B280" s="2974" t="s">
        <v>2868</v>
      </c>
      <c r="C280" s="2975">
        <v>0.15</v>
      </c>
      <c r="D280" s="2975">
        <v>0.15</v>
      </c>
      <c r="E280" s="2975">
        <v>0.15</v>
      </c>
      <c r="F280" s="2975">
        <v>0.15</v>
      </c>
      <c r="G280" s="2976">
        <v>0.15</v>
      </c>
    </row>
    <row r="281" spans="1:7">
      <c r="A281" s="2985" t="s">
        <v>306</v>
      </c>
      <c r="B281" s="2974" t="s">
        <v>2872</v>
      </c>
      <c r="C281" s="2975">
        <v>0.15</v>
      </c>
      <c r="D281" s="2975">
        <v>0.15</v>
      </c>
      <c r="E281" s="2975">
        <v>0.15</v>
      </c>
      <c r="F281" s="2975">
        <v>0.15</v>
      </c>
      <c r="G281" s="2976">
        <v>0.15</v>
      </c>
    </row>
    <row r="282" spans="1:7">
      <c r="A282" s="2985" t="s">
        <v>306</v>
      </c>
      <c r="B282" s="2974" t="s">
        <v>2876</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2891</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2896</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2906</v>
      </c>
      <c r="C293" s="2975">
        <v>0.15</v>
      </c>
      <c r="D293" s="2975">
        <v>0.15</v>
      </c>
      <c r="E293" s="2975">
        <v>0.15</v>
      </c>
      <c r="F293" s="2975">
        <v>0.14499999999999999</v>
      </c>
      <c r="G293" s="2976">
        <v>0.15</v>
      </c>
    </row>
    <row r="294" spans="1:7">
      <c r="A294" s="2985" t="s">
        <v>306</v>
      </c>
      <c r="B294" s="2974" t="s">
        <v>2908</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2925</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2938</v>
      </c>
      <c r="C302" s="2975">
        <v>0.15</v>
      </c>
      <c r="D302" s="2975">
        <v>0.15</v>
      </c>
      <c r="E302" s="2975">
        <v>0.15</v>
      </c>
      <c r="F302" s="2975">
        <v>0.14699999999999999</v>
      </c>
      <c r="G302" s="2976">
        <v>0.15</v>
      </c>
    </row>
    <row r="303" spans="1:7">
      <c r="A303" s="2985" t="s">
        <v>306</v>
      </c>
      <c r="B303" s="2974" t="s">
        <v>2945</v>
      </c>
      <c r="C303" s="2975">
        <v>0.15</v>
      </c>
      <c r="D303" s="2975">
        <v>0.15</v>
      </c>
      <c r="E303" s="2975">
        <v>0.15</v>
      </c>
      <c r="F303" s="2975">
        <v>0.14199999999999999</v>
      </c>
      <c r="G303" s="2976">
        <v>0.15</v>
      </c>
    </row>
    <row r="304" spans="1:7">
      <c r="A304" s="2985" t="s">
        <v>306</v>
      </c>
      <c r="B304" s="2974" t="s">
        <v>2952</v>
      </c>
      <c r="C304" s="2975">
        <v>0.15</v>
      </c>
      <c r="D304" s="2975">
        <v>0.15</v>
      </c>
      <c r="E304" s="2975">
        <v>0.15</v>
      </c>
      <c r="F304" s="2975">
        <v>0.14499999999999999</v>
      </c>
      <c r="G304" s="2976">
        <v>0.15</v>
      </c>
    </row>
    <row r="305" spans="1:7">
      <c r="A305" s="2985" t="s">
        <v>306</v>
      </c>
      <c r="B305" s="2974" t="s">
        <v>2958</v>
      </c>
      <c r="C305" s="2975">
        <v>0.15</v>
      </c>
      <c r="D305" s="2975">
        <v>0.15</v>
      </c>
      <c r="E305" s="2975">
        <v>0.15</v>
      </c>
      <c r="F305" s="2975">
        <v>0.111</v>
      </c>
      <c r="G305" s="2976">
        <v>0.15</v>
      </c>
    </row>
    <row r="306" spans="1:7">
      <c r="A306" s="2985" t="s">
        <v>306</v>
      </c>
      <c r="B306" s="2974" t="s">
        <v>2965</v>
      </c>
      <c r="C306" s="2975">
        <v>0.15</v>
      </c>
      <c r="D306" s="2975">
        <v>0.15</v>
      </c>
      <c r="E306" s="2975">
        <v>0.15</v>
      </c>
      <c r="F306" s="2975">
        <v>0.126</v>
      </c>
      <c r="G306" s="2976">
        <v>0.15</v>
      </c>
    </row>
    <row r="307" spans="1:7">
      <c r="A307" s="2985" t="s">
        <v>306</v>
      </c>
      <c r="B307" s="2974" t="s">
        <v>2970</v>
      </c>
      <c r="C307" s="2975">
        <v>0.15</v>
      </c>
      <c r="D307" s="2975">
        <v>0.15</v>
      </c>
      <c r="E307" s="2975">
        <v>0.15</v>
      </c>
      <c r="F307" s="2975">
        <v>0.12</v>
      </c>
      <c r="G307" s="2976">
        <v>0.15</v>
      </c>
    </row>
    <row r="308" spans="1:7">
      <c r="A308" s="2985" t="s">
        <v>306</v>
      </c>
      <c r="B308" s="2974" t="s">
        <v>2976</v>
      </c>
      <c r="C308" s="2975">
        <v>0.15</v>
      </c>
      <c r="D308" s="2975">
        <v>0.15</v>
      </c>
      <c r="E308" s="2975">
        <v>0.15</v>
      </c>
      <c r="F308" s="2975">
        <v>0.13</v>
      </c>
      <c r="G308" s="2976">
        <v>0.15</v>
      </c>
    </row>
    <row r="309" spans="1:7">
      <c r="A309" s="2985" t="s">
        <v>306</v>
      </c>
      <c r="B309" s="2974" t="s">
        <v>2980</v>
      </c>
      <c r="C309" s="2975">
        <v>0.15</v>
      </c>
      <c r="D309" s="2975">
        <v>0.15</v>
      </c>
      <c r="E309" s="2975">
        <v>0.15</v>
      </c>
      <c r="F309" s="2975">
        <v>0.14099999999999999</v>
      </c>
      <c r="G309" s="2976">
        <v>0.15</v>
      </c>
    </row>
    <row r="310" spans="1:7">
      <c r="A310" s="2985" t="s">
        <v>306</v>
      </c>
      <c r="B310" s="2974" t="s">
        <v>2985</v>
      </c>
      <c r="C310" s="2975">
        <v>0.15</v>
      </c>
      <c r="D310" s="2975">
        <v>0.15</v>
      </c>
      <c r="E310" s="2975">
        <v>0.15</v>
      </c>
      <c r="F310" s="2975">
        <v>0.15</v>
      </c>
      <c r="G310" s="2976">
        <v>0.15</v>
      </c>
    </row>
    <row r="311" spans="1:7">
      <c r="A311" s="2985" t="s">
        <v>306</v>
      </c>
      <c r="B311" s="2974" t="s">
        <v>2990</v>
      </c>
      <c r="C311" s="2975">
        <v>0.13200000000000001</v>
      </c>
      <c r="D311" s="2975">
        <v>0.13300000000000001</v>
      </c>
      <c r="E311" s="2975">
        <v>0.14499999999999999</v>
      </c>
      <c r="F311" s="2975">
        <v>0.14199999999999999</v>
      </c>
      <c r="G311" s="2976">
        <v>0.14000000000000001</v>
      </c>
    </row>
    <row r="312" spans="1:7">
      <c r="A312" s="2985" t="s">
        <v>306</v>
      </c>
      <c r="B312" s="2974" t="s">
        <v>2995</v>
      </c>
      <c r="C312" s="2975">
        <v>0.13800000000000001</v>
      </c>
      <c r="D312" s="2975">
        <v>0.14000000000000001</v>
      </c>
      <c r="E312" s="2975">
        <v>0.14599999999999999</v>
      </c>
      <c r="F312" s="2975">
        <v>0.14899999999999999</v>
      </c>
      <c r="G312" s="2976">
        <v>0.14199999999999999</v>
      </c>
    </row>
    <row r="313" spans="1:7">
      <c r="A313" s="2985" t="s">
        <v>306</v>
      </c>
      <c r="B313" s="2974" t="s">
        <v>3000</v>
      </c>
      <c r="C313" s="2975">
        <v>0.125</v>
      </c>
      <c r="D313" s="2975">
        <v>0.127</v>
      </c>
      <c r="E313" s="2975">
        <v>0.14399999999999999</v>
      </c>
      <c r="F313" s="2975">
        <v>0.115</v>
      </c>
      <c r="G313" s="2976">
        <v>0.13600000000000001</v>
      </c>
    </row>
    <row r="314" spans="1:7">
      <c r="A314" s="2985" t="s">
        <v>306</v>
      </c>
      <c r="B314" s="2974" t="s">
        <v>3209</v>
      </c>
      <c r="C314" s="2991"/>
      <c r="D314" s="2991"/>
      <c r="E314" s="2991"/>
      <c r="F314" s="2975">
        <v>0.05</v>
      </c>
      <c r="G314" s="2992"/>
    </row>
    <row r="315" spans="1:7">
      <c r="A315" s="2985" t="s">
        <v>306</v>
      </c>
      <c r="B315" s="2974" t="s">
        <v>3210</v>
      </c>
      <c r="C315" s="2991"/>
      <c r="D315" s="2991"/>
      <c r="E315" s="2991"/>
      <c r="F315" s="2975">
        <v>0.05</v>
      </c>
      <c r="G315" s="2992"/>
    </row>
    <row r="316" spans="1:7">
      <c r="A316" s="2985" t="s">
        <v>306</v>
      </c>
      <c r="B316" s="2974" t="s">
        <v>3211</v>
      </c>
      <c r="C316" s="2986"/>
      <c r="D316" s="2986"/>
      <c r="E316" s="2986"/>
      <c r="F316" s="2975">
        <v>0.05</v>
      </c>
      <c r="G316" s="2992"/>
    </row>
    <row r="317" spans="1:7">
      <c r="A317" s="2985" t="s">
        <v>306</v>
      </c>
      <c r="B317" s="2974" t="s">
        <v>3212</v>
      </c>
      <c r="C317" s="2986"/>
      <c r="D317" s="2986"/>
      <c r="E317" s="2986"/>
      <c r="F317" s="2975">
        <v>0.05</v>
      </c>
      <c r="G317" s="2992"/>
    </row>
    <row r="318" spans="1:7">
      <c r="A318" s="2985" t="s">
        <v>306</v>
      </c>
      <c r="B318" s="2974" t="s">
        <v>3213</v>
      </c>
      <c r="C318" s="2986"/>
      <c r="D318" s="2986"/>
      <c r="E318" s="2986"/>
      <c r="F318" s="2975">
        <v>0.05</v>
      </c>
      <c r="G318" s="2992"/>
    </row>
    <row r="319" spans="1:7">
      <c r="A319" s="2985" t="s">
        <v>306</v>
      </c>
      <c r="B319" s="2974" t="s">
        <v>3214</v>
      </c>
      <c r="C319" s="2986"/>
      <c r="D319" s="2986"/>
      <c r="E319" s="2986"/>
      <c r="F319" s="2975">
        <v>0.05</v>
      </c>
      <c r="G319" s="2992"/>
    </row>
    <row r="320" spans="1:7">
      <c r="A320" s="2985" t="s">
        <v>306</v>
      </c>
      <c r="B320" s="2974" t="s">
        <v>3215</v>
      </c>
      <c r="C320" s="2986"/>
      <c r="D320" s="2986"/>
      <c r="E320" s="2986"/>
      <c r="F320" s="2975">
        <v>0.05</v>
      </c>
      <c r="G320" s="2992"/>
    </row>
    <row r="321" spans="1:7">
      <c r="A321" s="2985" t="s">
        <v>306</v>
      </c>
      <c r="B321" s="2974" t="s">
        <v>3216</v>
      </c>
      <c r="C321" s="2986"/>
      <c r="D321" s="2986"/>
      <c r="E321" s="2986"/>
      <c r="F321" s="2975">
        <v>0.05</v>
      </c>
      <c r="G321" s="2992"/>
    </row>
    <row r="322" spans="1:7">
      <c r="A322" s="2985" t="s">
        <v>306</v>
      </c>
      <c r="B322" s="2974" t="s">
        <v>3217</v>
      </c>
      <c r="C322" s="2986"/>
      <c r="D322" s="2986"/>
      <c r="E322" s="2986"/>
      <c r="F322" s="2975">
        <v>0.05</v>
      </c>
      <c r="G322" s="2992"/>
    </row>
    <row r="323" spans="1:7">
      <c r="A323" s="2985" t="s">
        <v>306</v>
      </c>
      <c r="B323" s="2974" t="s">
        <v>3218</v>
      </c>
      <c r="C323" s="2986"/>
      <c r="D323" s="2986"/>
      <c r="E323" s="2986"/>
      <c r="F323" s="2975">
        <v>0.05</v>
      </c>
      <c r="G323" s="2992"/>
    </row>
    <row r="324" spans="1:7">
      <c r="A324" s="2985" t="s">
        <v>306</v>
      </c>
      <c r="B324" s="2974" t="s">
        <v>3219</v>
      </c>
      <c r="C324" s="2986"/>
      <c r="D324" s="2986"/>
      <c r="E324" s="2986"/>
      <c r="F324" s="2975">
        <v>0.05</v>
      </c>
      <c r="G324" s="2992"/>
    </row>
    <row r="325" spans="1:7">
      <c r="A325" s="2985" t="s">
        <v>306</v>
      </c>
      <c r="B325" s="2974" t="s">
        <v>3220</v>
      </c>
      <c r="C325" s="2986"/>
      <c r="D325" s="2986"/>
      <c r="E325" s="2986"/>
      <c r="F325" s="2975">
        <v>0.05</v>
      </c>
      <c r="G325" s="2992"/>
    </row>
    <row r="326" spans="1:7" ht="14.25" thickBot="1">
      <c r="A326" s="2988" t="s">
        <v>306</v>
      </c>
      <c r="B326" s="2978" t="s">
        <v>3221</v>
      </c>
      <c r="C326" s="2980"/>
      <c r="D326" s="2980"/>
      <c r="E326" s="2980"/>
      <c r="F326" s="2979">
        <v>0.05</v>
      </c>
      <c r="G326" s="2993"/>
    </row>
    <row r="327" spans="1:7">
      <c r="A327" s="2984" t="s">
        <v>307</v>
      </c>
      <c r="B327" s="2970" t="s">
        <v>2853</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2865</v>
      </c>
      <c r="C329" s="2975">
        <v>0.15</v>
      </c>
      <c r="D329" s="2975">
        <v>0.15</v>
      </c>
      <c r="E329" s="2975">
        <v>0.15</v>
      </c>
      <c r="F329" s="2975">
        <v>0.15</v>
      </c>
      <c r="G329" s="2976">
        <v>0.15</v>
      </c>
    </row>
    <row r="330" spans="1:7">
      <c r="A330" s="2985" t="s">
        <v>307</v>
      </c>
      <c r="B330" s="2974" t="s">
        <v>2869</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2877</v>
      </c>
      <c r="C332" s="2975">
        <v>0.15</v>
      </c>
      <c r="D332" s="2975">
        <v>0.15</v>
      </c>
      <c r="E332" s="2975">
        <v>0.15</v>
      </c>
      <c r="F332" s="2975">
        <v>0.15</v>
      </c>
      <c r="G332" s="2976">
        <v>0.15</v>
      </c>
    </row>
    <row r="333" spans="1:7">
      <c r="A333" s="2985" t="s">
        <v>307</v>
      </c>
      <c r="B333" s="2974" t="s">
        <v>2881</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2887</v>
      </c>
      <c r="C336" s="2975">
        <v>0.15</v>
      </c>
      <c r="D336" s="2975">
        <v>0.15</v>
      </c>
      <c r="E336" s="2975">
        <v>0.15</v>
      </c>
      <c r="F336" s="2975">
        <v>0.14199999999999999</v>
      </c>
      <c r="G336" s="2976">
        <v>0.15</v>
      </c>
    </row>
    <row r="337" spans="1:7">
      <c r="A337" s="2985" t="s">
        <v>307</v>
      </c>
      <c r="B337" s="2974" t="s">
        <v>2892</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2899</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2904</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2912</v>
      </c>
      <c r="C345" s="2975">
        <v>0.15</v>
      </c>
      <c r="D345" s="2975">
        <v>0.15</v>
      </c>
      <c r="E345" s="2975">
        <v>0.15</v>
      </c>
      <c r="F345" s="2975">
        <v>0.13800000000000001</v>
      </c>
      <c r="G345" s="2976">
        <v>0.15</v>
      </c>
    </row>
    <row r="346" spans="1:7">
      <c r="A346" s="2985" t="s">
        <v>307</v>
      </c>
      <c r="B346" s="2974" t="s">
        <v>2914</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2921</v>
      </c>
      <c r="C348" s="2975">
        <v>0.15</v>
      </c>
      <c r="D348" s="2975">
        <v>0.15</v>
      </c>
      <c r="E348" s="2975">
        <v>0.15</v>
      </c>
      <c r="F348" s="2975">
        <v>0.14399999999999999</v>
      </c>
      <c r="G348" s="2976">
        <v>0.15</v>
      </c>
    </row>
    <row r="349" spans="1:7">
      <c r="A349" s="2985" t="s">
        <v>307</v>
      </c>
      <c r="B349" s="2974" t="s">
        <v>2926</v>
      </c>
      <c r="C349" s="2975">
        <v>0.15</v>
      </c>
      <c r="D349" s="2975">
        <v>0.15</v>
      </c>
      <c r="E349" s="2975">
        <v>0.15</v>
      </c>
      <c r="F349" s="2975">
        <v>0.15</v>
      </c>
      <c r="G349" s="2976">
        <v>0.15</v>
      </c>
    </row>
    <row r="350" spans="1:7">
      <c r="A350" s="2985" t="s">
        <v>307</v>
      </c>
      <c r="B350" s="2974" t="s">
        <v>2929</v>
      </c>
      <c r="C350" s="2975">
        <v>0.15</v>
      </c>
      <c r="D350" s="2975">
        <v>0.15</v>
      </c>
      <c r="E350" s="2975">
        <v>0.15</v>
      </c>
      <c r="F350" s="2975">
        <v>0.14699999999999999</v>
      </c>
      <c r="G350" s="2976">
        <v>0.15</v>
      </c>
    </row>
    <row r="351" spans="1:7">
      <c r="A351" s="2985" t="s">
        <v>307</v>
      </c>
      <c r="B351" s="2974" t="s">
        <v>2934</v>
      </c>
      <c r="C351" s="2975">
        <v>0.15</v>
      </c>
      <c r="D351" s="2975">
        <v>0.15</v>
      </c>
      <c r="E351" s="2975">
        <v>0.15</v>
      </c>
      <c r="F351" s="2975">
        <v>0.13</v>
      </c>
      <c r="G351" s="2976">
        <v>0.15</v>
      </c>
    </row>
    <row r="352" spans="1:7">
      <c r="A352" s="2985" t="s">
        <v>307</v>
      </c>
      <c r="B352" s="2974" t="s">
        <v>2939</v>
      </c>
      <c r="C352" s="2975">
        <v>0.15</v>
      </c>
      <c r="D352" s="2975">
        <v>0.15</v>
      </c>
      <c r="E352" s="2975">
        <v>0.15</v>
      </c>
      <c r="F352" s="2975">
        <v>0.14599999999999999</v>
      </c>
      <c r="G352" s="2976">
        <v>0.15</v>
      </c>
    </row>
    <row r="353" spans="1:7">
      <c r="A353" s="2985" t="s">
        <v>307</v>
      </c>
      <c r="B353" s="2974" t="s">
        <v>2946</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2959</v>
      </c>
      <c r="C355" s="2975">
        <v>0.15</v>
      </c>
      <c r="D355" s="2975">
        <v>0.15</v>
      </c>
      <c r="E355" s="2975">
        <v>0.15</v>
      </c>
      <c r="F355" s="2975">
        <v>0.15</v>
      </c>
      <c r="G355" s="2976">
        <v>0.15</v>
      </c>
    </row>
    <row r="356" spans="1:7">
      <c r="A356" s="2985" t="s">
        <v>307</v>
      </c>
      <c r="B356" s="2974" t="s">
        <v>2966</v>
      </c>
      <c r="C356" s="2975">
        <v>0.15</v>
      </c>
      <c r="D356" s="2975">
        <v>0.15</v>
      </c>
      <c r="E356" s="2975">
        <v>0.15</v>
      </c>
      <c r="F356" s="2975">
        <v>0.15</v>
      </c>
      <c r="G356" s="2976">
        <v>0.15</v>
      </c>
    </row>
    <row r="357" spans="1:7" ht="14.25" thickBot="1">
      <c r="A357" s="2988" t="s">
        <v>307</v>
      </c>
      <c r="B357" s="2978" t="s">
        <v>2971</v>
      </c>
      <c r="C357" s="2979">
        <v>0.126</v>
      </c>
      <c r="D357" s="2979">
        <v>0.127</v>
      </c>
      <c r="E357" s="2979">
        <v>0.14299999999999999</v>
      </c>
      <c r="F357" s="2979">
        <v>0.125</v>
      </c>
      <c r="G357" s="2981">
        <v>0.129</v>
      </c>
    </row>
    <row r="358" spans="1:7">
      <c r="A358" s="2984" t="s">
        <v>2840</v>
      </c>
      <c r="B358" s="2970" t="s">
        <v>2854</v>
      </c>
      <c r="C358" s="2971">
        <v>0.15</v>
      </c>
      <c r="D358" s="2971">
        <v>0.15</v>
      </c>
      <c r="E358" s="2971">
        <v>0.15</v>
      </c>
      <c r="F358" s="2971">
        <v>0.15</v>
      </c>
      <c r="G358" s="2972">
        <v>0.15</v>
      </c>
    </row>
    <row r="359" spans="1:7">
      <c r="A359" s="2985" t="s">
        <v>2840</v>
      </c>
      <c r="B359" s="2974" t="s">
        <v>2860</v>
      </c>
      <c r="C359" s="2975">
        <v>0.1</v>
      </c>
      <c r="D359" s="2975">
        <v>0.1</v>
      </c>
      <c r="E359" s="2975">
        <v>0.1</v>
      </c>
      <c r="F359" s="2975">
        <v>0.1</v>
      </c>
      <c r="G359" s="2976">
        <v>0.1</v>
      </c>
    </row>
    <row r="360" spans="1:7">
      <c r="A360" s="2985" t="s">
        <v>2840</v>
      </c>
      <c r="B360" s="2974" t="s">
        <v>2866</v>
      </c>
      <c r="C360" s="2975">
        <v>0.15</v>
      </c>
      <c r="D360" s="2975">
        <v>0.15</v>
      </c>
      <c r="E360" s="2975">
        <v>0.15</v>
      </c>
      <c r="F360" s="2975">
        <v>0.14899999999999999</v>
      </c>
      <c r="G360" s="2976">
        <v>0.15</v>
      </c>
    </row>
    <row r="361" spans="1:7">
      <c r="A361" s="2985" t="s">
        <v>2840</v>
      </c>
      <c r="B361" s="2974" t="s">
        <v>153</v>
      </c>
      <c r="C361" s="2975">
        <v>0.15</v>
      </c>
      <c r="D361" s="2975">
        <v>0.15</v>
      </c>
      <c r="E361" s="2975">
        <v>0.15</v>
      </c>
      <c r="F361" s="2975">
        <v>0.115</v>
      </c>
      <c r="G361" s="2976">
        <v>0.15</v>
      </c>
    </row>
    <row r="362" spans="1:7">
      <c r="A362" s="2985" t="s">
        <v>2840</v>
      </c>
      <c r="B362" s="2974" t="s">
        <v>2873</v>
      </c>
      <c r="C362" s="2975">
        <v>0.15</v>
      </c>
      <c r="D362" s="2975">
        <v>0.15</v>
      </c>
      <c r="E362" s="2975">
        <v>0.15</v>
      </c>
      <c r="F362" s="2975">
        <v>0.106</v>
      </c>
      <c r="G362" s="2976">
        <v>0.15</v>
      </c>
    </row>
    <row r="363" spans="1:7">
      <c r="A363" s="2985" t="s">
        <v>2840</v>
      </c>
      <c r="B363" s="2974" t="s">
        <v>2878</v>
      </c>
      <c r="C363" s="2975">
        <v>0.15</v>
      </c>
      <c r="D363" s="2975">
        <v>0.15</v>
      </c>
      <c r="E363" s="2975">
        <v>0.15</v>
      </c>
      <c r="F363" s="2975">
        <v>0.14699999999999999</v>
      </c>
      <c r="G363" s="2976">
        <v>0.15</v>
      </c>
    </row>
    <row r="364" spans="1:7">
      <c r="A364" s="2985" t="s">
        <v>2840</v>
      </c>
      <c r="B364" s="2974" t="s">
        <v>2882</v>
      </c>
      <c r="C364" s="2975">
        <v>0.15</v>
      </c>
      <c r="D364" s="2975">
        <v>0.15</v>
      </c>
      <c r="E364" s="2975">
        <v>0.15</v>
      </c>
      <c r="F364" s="2975">
        <v>0.14799999999999999</v>
      </c>
      <c r="G364" s="2976">
        <v>0.15</v>
      </c>
    </row>
    <row r="365" spans="1:7">
      <c r="A365" s="2985" t="s">
        <v>2840</v>
      </c>
      <c r="B365" s="2974" t="s">
        <v>200</v>
      </c>
      <c r="C365" s="2975">
        <v>0.15</v>
      </c>
      <c r="D365" s="2975">
        <v>0.15</v>
      </c>
      <c r="E365" s="2975">
        <v>0.15</v>
      </c>
      <c r="F365" s="2975">
        <v>0.15</v>
      </c>
      <c r="G365" s="2976">
        <v>0.15</v>
      </c>
    </row>
    <row r="366" spans="1:7">
      <c r="A366" s="2985" t="s">
        <v>2840</v>
      </c>
      <c r="B366" s="2974" t="s">
        <v>2885</v>
      </c>
      <c r="C366" s="2975">
        <v>0.15</v>
      </c>
      <c r="D366" s="2975">
        <v>0.15</v>
      </c>
      <c r="E366" s="2975">
        <v>0.15</v>
      </c>
      <c r="F366" s="2975">
        <v>0.15</v>
      </c>
      <c r="G366" s="2976">
        <v>0.15</v>
      </c>
    </row>
    <row r="367" spans="1:7">
      <c r="A367" s="2985" t="s">
        <v>2840</v>
      </c>
      <c r="B367" s="2974" t="s">
        <v>2888</v>
      </c>
      <c r="C367" s="2975">
        <v>0.15</v>
      </c>
      <c r="D367" s="2975">
        <v>0.15</v>
      </c>
      <c r="E367" s="2975">
        <v>0.15</v>
      </c>
      <c r="F367" s="2975">
        <v>0.14699999999999999</v>
      </c>
      <c r="G367" s="2976">
        <v>0.15</v>
      </c>
    </row>
    <row r="368" spans="1:7">
      <c r="A368" s="2985" t="s">
        <v>2840</v>
      </c>
      <c r="B368" s="2974" t="s">
        <v>2893</v>
      </c>
      <c r="C368" s="2975">
        <v>0.15</v>
      </c>
      <c r="D368" s="2975">
        <v>0.15</v>
      </c>
      <c r="E368" s="2975">
        <v>0.15</v>
      </c>
      <c r="F368" s="2975">
        <v>0.13600000000000001</v>
      </c>
      <c r="G368" s="2976">
        <v>0.15</v>
      </c>
    </row>
    <row r="369" spans="1:7">
      <c r="A369" s="2985" t="s">
        <v>2840</v>
      </c>
      <c r="B369" s="2974" t="s">
        <v>214</v>
      </c>
      <c r="C369" s="2975">
        <v>0.15</v>
      </c>
      <c r="D369" s="2975">
        <v>0.15</v>
      </c>
      <c r="E369" s="2975">
        <v>0.15</v>
      </c>
      <c r="F369" s="2975">
        <v>0.14399999999999999</v>
      </c>
      <c r="G369" s="2976">
        <v>0.15</v>
      </c>
    </row>
    <row r="370" spans="1:7">
      <c r="A370" s="2985" t="s">
        <v>2840</v>
      </c>
      <c r="B370" s="2974" t="s">
        <v>221</v>
      </c>
      <c r="C370" s="2975">
        <v>0.15</v>
      </c>
      <c r="D370" s="2975">
        <v>0.15</v>
      </c>
      <c r="E370" s="2975">
        <v>0.15</v>
      </c>
      <c r="F370" s="2975">
        <v>0.14599999999999999</v>
      </c>
      <c r="G370" s="2976">
        <v>0.15</v>
      </c>
    </row>
    <row r="371" spans="1:7">
      <c r="A371" s="2985" t="s">
        <v>2840</v>
      </c>
      <c r="B371" s="2974" t="s">
        <v>229</v>
      </c>
      <c r="C371" s="2975">
        <v>0.15</v>
      </c>
      <c r="D371" s="2975">
        <v>0.15</v>
      </c>
      <c r="E371" s="2975">
        <v>0.15</v>
      </c>
      <c r="F371" s="2975">
        <v>0.12</v>
      </c>
      <c r="G371" s="2976">
        <v>0.15</v>
      </c>
    </row>
    <row r="372" spans="1:7">
      <c r="A372" s="2985" t="s">
        <v>2840</v>
      </c>
      <c r="B372" s="2974" t="s">
        <v>2901</v>
      </c>
      <c r="C372" s="2975">
        <v>0.15</v>
      </c>
      <c r="D372" s="2975">
        <v>0.15</v>
      </c>
      <c r="E372" s="2975">
        <v>0.15</v>
      </c>
      <c r="F372" s="2975">
        <v>0.14299999999999999</v>
      </c>
      <c r="G372" s="2976">
        <v>0.15</v>
      </c>
    </row>
    <row r="373" spans="1:7">
      <c r="A373" s="2985" t="s">
        <v>2840</v>
      </c>
      <c r="B373" s="2974" t="s">
        <v>258</v>
      </c>
      <c r="C373" s="2975">
        <v>0.15</v>
      </c>
      <c r="D373" s="2975">
        <v>0.15</v>
      </c>
      <c r="E373" s="2975">
        <v>0.15</v>
      </c>
      <c r="F373" s="2975">
        <v>0.14599999999999999</v>
      </c>
      <c r="G373" s="2976">
        <v>0.15</v>
      </c>
    </row>
    <row r="374" spans="1:7">
      <c r="A374" s="2985" t="s">
        <v>2840</v>
      </c>
      <c r="B374" s="2974" t="s">
        <v>266</v>
      </c>
      <c r="C374" s="2975">
        <v>0.15</v>
      </c>
      <c r="D374" s="2975">
        <v>0.15</v>
      </c>
      <c r="E374" s="2975">
        <v>0.15</v>
      </c>
      <c r="F374" s="2975">
        <v>0.14399999999999999</v>
      </c>
      <c r="G374" s="2976">
        <v>0.15</v>
      </c>
    </row>
    <row r="375" spans="1:7">
      <c r="A375" s="2985" t="s">
        <v>2840</v>
      </c>
      <c r="B375" s="2974" t="s">
        <v>2909</v>
      </c>
      <c r="C375" s="2975">
        <v>0.15</v>
      </c>
      <c r="D375" s="2975">
        <v>0.15</v>
      </c>
      <c r="E375" s="2975">
        <v>0.15</v>
      </c>
      <c r="F375" s="2975">
        <v>0.13</v>
      </c>
      <c r="G375" s="2976">
        <v>0.15</v>
      </c>
    </row>
    <row r="376" spans="1:7">
      <c r="A376" s="2985" t="s">
        <v>2840</v>
      </c>
      <c r="B376" s="2974" t="s">
        <v>277</v>
      </c>
      <c r="C376" s="2975">
        <v>0.15</v>
      </c>
      <c r="D376" s="2975">
        <v>0.15</v>
      </c>
      <c r="E376" s="2975">
        <v>0.15</v>
      </c>
      <c r="F376" s="2975">
        <v>0.14199999999999999</v>
      </c>
      <c r="G376" s="2976">
        <v>0.15</v>
      </c>
    </row>
    <row r="377" spans="1:7" ht="14.25" thickBot="1">
      <c r="A377" s="2988" t="s">
        <v>2840</v>
      </c>
      <c r="B377" s="2978" t="s">
        <v>2915</v>
      </c>
      <c r="C377" s="2979">
        <v>0.15</v>
      </c>
      <c r="D377" s="2979">
        <v>0.15</v>
      </c>
      <c r="E377" s="2979">
        <v>0.15</v>
      </c>
      <c r="F377" s="2979">
        <v>0.14000000000000001</v>
      </c>
      <c r="G377" s="2981">
        <v>0.15</v>
      </c>
    </row>
    <row r="378" spans="1:7">
      <c r="A378" s="2984" t="s">
        <v>2841</v>
      </c>
      <c r="B378" s="2970" t="s">
        <v>2855</v>
      </c>
      <c r="C378" s="2971">
        <v>0.15</v>
      </c>
      <c r="D378" s="2971">
        <v>0.15</v>
      </c>
      <c r="E378" s="2971">
        <v>0.15</v>
      </c>
      <c r="F378" s="2971">
        <v>0.107</v>
      </c>
      <c r="G378" s="2972">
        <v>0.15</v>
      </c>
    </row>
    <row r="379" spans="1:7">
      <c r="A379" s="2985" t="s">
        <v>2841</v>
      </c>
      <c r="B379" s="2974" t="s">
        <v>2861</v>
      </c>
      <c r="C379" s="2975">
        <v>0.15</v>
      </c>
      <c r="D379" s="2975">
        <v>0.15</v>
      </c>
      <c r="E379" s="2975">
        <v>0.15</v>
      </c>
      <c r="F379" s="2975">
        <v>0.115</v>
      </c>
      <c r="G379" s="2976">
        <v>0.14899999999999999</v>
      </c>
    </row>
    <row r="380" spans="1:7">
      <c r="A380" s="2985" t="s">
        <v>2841</v>
      </c>
      <c r="B380" s="2974" t="s">
        <v>2867</v>
      </c>
      <c r="C380" s="2975">
        <v>0.15</v>
      </c>
      <c r="D380" s="2975">
        <v>0.15</v>
      </c>
      <c r="E380" s="2975">
        <v>0.15</v>
      </c>
      <c r="F380" s="2975">
        <v>0.1</v>
      </c>
      <c r="G380" s="2976">
        <v>0.14799999999999999</v>
      </c>
    </row>
    <row r="381" spans="1:7">
      <c r="A381" s="2985" t="s">
        <v>2841</v>
      </c>
      <c r="B381" s="2974" t="s">
        <v>2870</v>
      </c>
      <c r="C381" s="2975">
        <v>0.15</v>
      </c>
      <c r="D381" s="2975">
        <v>0.15</v>
      </c>
      <c r="E381" s="2975">
        <v>0.15</v>
      </c>
      <c r="F381" s="2975">
        <v>0.126</v>
      </c>
      <c r="G381" s="2976">
        <v>0.15</v>
      </c>
    </row>
    <row r="382" spans="1:7">
      <c r="A382" s="2985" t="s">
        <v>2841</v>
      </c>
      <c r="B382" s="2974" t="s">
        <v>2874</v>
      </c>
      <c r="C382" s="2975">
        <v>0.15</v>
      </c>
      <c r="D382" s="2975">
        <v>0.15</v>
      </c>
      <c r="E382" s="2975">
        <v>0.15</v>
      </c>
      <c r="F382" s="2975">
        <v>0.15</v>
      </c>
      <c r="G382" s="2976">
        <v>0.15</v>
      </c>
    </row>
    <row r="383" spans="1:7">
      <c r="A383" s="2985" t="s">
        <v>2841</v>
      </c>
      <c r="B383" s="2974" t="s">
        <v>2879</v>
      </c>
      <c r="C383" s="2975">
        <v>0.15</v>
      </c>
      <c r="D383" s="2975">
        <v>0.15</v>
      </c>
      <c r="E383" s="2975">
        <v>0.15</v>
      </c>
      <c r="F383" s="2975">
        <v>0.14699999999999999</v>
      </c>
      <c r="G383" s="2976">
        <v>0.15</v>
      </c>
    </row>
    <row r="384" spans="1:7" ht="14.25" thickBot="1">
      <c r="A384" s="2995" t="s">
        <v>2841</v>
      </c>
      <c r="B384" s="2996" t="s">
        <v>2883</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05"/>
      <c r="B3" s="3205"/>
      <c r="C3" s="3205"/>
      <c r="D3" s="799" t="s">
        <v>925</v>
      </c>
      <c r="E3" s="799" t="s">
        <v>931</v>
      </c>
      <c r="F3" s="799" t="s">
        <v>925</v>
      </c>
      <c r="G3" s="799" t="s">
        <v>926</v>
      </c>
      <c r="H3" s="799" t="s">
        <v>925</v>
      </c>
      <c r="I3" s="799" t="s">
        <v>926</v>
      </c>
    </row>
    <row r="4" spans="1:9" ht="30">
      <c r="A4" s="1401" t="str">
        <f>项目基本情况!S2</f>
        <v>北京市出让国有建设用地使用权及在建建筑物房地产</v>
      </c>
      <c r="B4" s="799">
        <f>项目基本情况!C17</f>
        <v>74277.419999999867</v>
      </c>
      <c r="C4" s="799">
        <f>项目基本情况!C18</f>
        <v>37485.769999999997</v>
      </c>
      <c r="D4" s="799">
        <f ca="1">结果表!D118</f>
        <v>470683</v>
      </c>
      <c r="E4" s="799">
        <f ca="1">结果表!E118</f>
        <v>63369</v>
      </c>
      <c r="F4" s="799">
        <f ca="1">结果表!F118</f>
        <v>54633</v>
      </c>
      <c r="G4" s="799">
        <f ca="1">结果表!G118</f>
        <v>7355</v>
      </c>
      <c r="H4" s="799">
        <f ca="1">结果表!H118</f>
        <v>525316</v>
      </c>
      <c r="I4" s="799">
        <f ca="1">结果表!I118</f>
        <v>70724</v>
      </c>
    </row>
    <row r="5" spans="1:9" ht="30" customHeight="1">
      <c r="A5" s="3205" t="s">
        <v>927</v>
      </c>
      <c r="B5" s="3205"/>
      <c r="C5" s="3205"/>
      <c r="D5" s="3205" t="str">
        <f ca="1">结果表!D119</f>
        <v>肆拾柒亿零陆佰捌拾叁万元整</v>
      </c>
      <c r="E5" s="3205"/>
      <c r="F5" s="3205" t="str">
        <f ca="1">结果表!F119</f>
        <v>伍亿肆仟陆佰叁拾叁万元整</v>
      </c>
      <c r="G5" s="3205"/>
      <c r="H5" s="3205" t="str">
        <f ca="1">结果表!H119</f>
        <v>伍拾贰亿伍仟叁佰壹拾陆万元整</v>
      </c>
      <c r="I5" s="3205"/>
    </row>
    <row r="6" spans="1:9" ht="15.75">
      <c r="A6" s="3204" t="str">
        <f>结果表!A120</f>
        <v>估价师知悉的法定优先受偿款</v>
      </c>
      <c r="B6" s="3204"/>
      <c r="C6" s="3204"/>
      <c r="D6" s="3204">
        <f>结果表!D120</f>
        <v>0</v>
      </c>
      <c r="E6" s="3204"/>
      <c r="F6" s="3204"/>
      <c r="G6" s="3204"/>
      <c r="H6" s="3204"/>
      <c r="I6" s="3204"/>
    </row>
    <row r="7" spans="1:9" ht="15">
      <c r="A7" s="3205" t="s">
        <v>927</v>
      </c>
      <c r="B7" s="3205"/>
      <c r="C7" s="3205"/>
      <c r="D7" s="3206" t="str">
        <f>结果表!D121</f>
        <v>零元整</v>
      </c>
      <c r="E7" s="3207"/>
      <c r="F7" s="3207"/>
      <c r="G7" s="3207"/>
      <c r="H7" s="3207"/>
      <c r="I7" s="3208"/>
    </row>
    <row r="8" spans="1:9" ht="15.75">
      <c r="A8" s="3204" t="str">
        <f>结果表!A122</f>
        <v>房地产抵押价值</v>
      </c>
      <c r="B8" s="3204"/>
      <c r="C8" s="3204"/>
      <c r="D8" s="3204">
        <f ca="1">结果表!D122</f>
        <v>525316</v>
      </c>
      <c r="E8" s="3204"/>
      <c r="F8" s="3204"/>
      <c r="G8" s="3204"/>
      <c r="H8" s="3204"/>
      <c r="I8" s="3204"/>
    </row>
    <row r="9" spans="1:9" ht="15">
      <c r="A9" s="3205" t="s">
        <v>927</v>
      </c>
      <c r="B9" s="3205"/>
      <c r="C9" s="3205"/>
      <c r="D9" s="3205" t="str">
        <f ca="1">结果表!D123</f>
        <v>伍拾贰亿伍仟叁佰壹拾陆万元整</v>
      </c>
      <c r="E9" s="3205"/>
      <c r="F9" s="3205"/>
      <c r="G9" s="3205"/>
      <c r="H9" s="3205"/>
      <c r="I9" s="3205"/>
    </row>
    <row r="10" spans="1:9" ht="15.75">
      <c r="A10" s="3204" t="str">
        <f>结果表!A124</f>
        <v/>
      </c>
      <c r="B10" s="3204"/>
      <c r="C10" s="3204"/>
      <c r="D10" s="3204" t="str">
        <f>结果表!D124</f>
        <v>——</v>
      </c>
      <c r="E10" s="3204"/>
      <c r="F10" s="3204"/>
      <c r="G10" s="3204"/>
      <c r="H10" s="3204"/>
      <c r="I10" s="3204"/>
    </row>
    <row r="11" spans="1:9" ht="15">
      <c r="A11" s="3205" t="s">
        <v>927</v>
      </c>
      <c r="B11" s="3205"/>
      <c r="C11" s="3205"/>
      <c r="D11" s="3205" t="e">
        <f>结果表!D125</f>
        <v>#VALUE!</v>
      </c>
      <c r="E11" s="3205"/>
      <c r="F11" s="3205"/>
      <c r="G11" s="3205"/>
      <c r="H11" s="3205"/>
      <c r="I11" s="3205"/>
    </row>
    <row r="12" spans="1:9" ht="15.75">
      <c r="A12" s="3204" t="str">
        <f>结果表!A126</f>
        <v/>
      </c>
      <c r="B12" s="3204"/>
      <c r="C12" s="3204"/>
      <c r="D12" s="3204" t="str">
        <f>结果表!D126</f>
        <v>——</v>
      </c>
      <c r="E12" s="3204"/>
      <c r="F12" s="3204"/>
      <c r="G12" s="3204"/>
      <c r="H12" s="3204"/>
      <c r="I12" s="3204"/>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2"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12" t="s">
        <v>3222</v>
      </c>
      <c r="B1" s="3512"/>
      <c r="C1" s="3512"/>
      <c r="D1" s="3512"/>
      <c r="E1" s="3512"/>
      <c r="F1" s="3513"/>
    </row>
    <row r="2" spans="1:6">
      <c r="A2" s="2999" t="s">
        <v>3223</v>
      </c>
    </row>
    <row r="3" spans="1:6">
      <c r="A3" s="2999" t="s">
        <v>3224</v>
      </c>
      <c r="F3" s="3000" t="s">
        <v>3225</v>
      </c>
    </row>
    <row r="4" spans="1:6">
      <c r="A4" s="3001" t="s">
        <v>672</v>
      </c>
      <c r="B4" s="3001" t="s">
        <v>673</v>
      </c>
      <c r="C4" s="3001" t="s">
        <v>21</v>
      </c>
      <c r="D4" s="3001" t="s">
        <v>674</v>
      </c>
      <c r="E4" s="3001" t="s">
        <v>3</v>
      </c>
      <c r="F4" s="3001" t="s">
        <v>3226</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2934">
        <f>基准地价修正!G23</f>
        <v>45803</v>
      </c>
      <c r="B1" s="2926" t="s">
        <v>3367</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44" s="2006" customFormat="1" ht="14.25" thickBot="1">
      <c r="B2" s="2878"/>
      <c r="C2" s="2879"/>
      <c r="D2" s="2007" t="s">
        <v>2800</v>
      </c>
      <c r="E2" s="2008" t="s">
        <v>2801</v>
      </c>
      <c r="F2" s="2008" t="s">
        <v>2802</v>
      </c>
      <c r="G2" s="2008" t="s">
        <v>2803</v>
      </c>
      <c r="H2" s="2008" t="s">
        <v>2804</v>
      </c>
      <c r="I2" s="2008" t="s">
        <v>2621</v>
      </c>
      <c r="J2" s="2880"/>
      <c r="K2" s="2007" t="s">
        <v>2800</v>
      </c>
      <c r="L2" s="2008" t="s">
        <v>2801</v>
      </c>
      <c r="M2" s="2008" t="s">
        <v>2802</v>
      </c>
      <c r="N2" s="2008" t="s">
        <v>2803</v>
      </c>
      <c r="O2" s="2008" t="s">
        <v>2805</v>
      </c>
      <c r="P2" s="2008" t="s">
        <v>2621</v>
      </c>
      <c r="Q2" s="2880"/>
      <c r="R2" s="2007" t="s">
        <v>2800</v>
      </c>
      <c r="S2" s="2008" t="s">
        <v>2801</v>
      </c>
      <c r="T2" s="2008" t="s">
        <v>2802</v>
      </c>
      <c r="U2" s="2008" t="s">
        <v>2806</v>
      </c>
      <c r="V2" s="2008" t="s">
        <v>2807</v>
      </c>
      <c r="W2" s="2008" t="s">
        <v>2621</v>
      </c>
      <c r="X2" s="2880"/>
      <c r="Y2" s="2007" t="s">
        <v>2800</v>
      </c>
      <c r="Z2" s="2008" t="s">
        <v>2801</v>
      </c>
      <c r="AA2" s="2008" t="s">
        <v>2802</v>
      </c>
      <c r="AB2" s="2008" t="s">
        <v>2808</v>
      </c>
      <c r="AC2" s="2008" t="s">
        <v>2807</v>
      </c>
      <c r="AD2" s="2008" t="s">
        <v>2621</v>
      </c>
      <c r="AF2" t="s">
        <v>3394</v>
      </c>
      <c r="AG2" t="s">
        <v>673</v>
      </c>
      <c r="AH2" t="s">
        <v>21</v>
      </c>
      <c r="AI2" t="s">
        <v>3395</v>
      </c>
      <c r="AJ2" t="s">
        <v>3</v>
      </c>
      <c r="AK2" t="s">
        <v>3396</v>
      </c>
      <c r="AM2" t="s">
        <v>3394</v>
      </c>
      <c r="AN2" t="s">
        <v>673</v>
      </c>
      <c r="AO2" t="s">
        <v>21</v>
      </c>
      <c r="AP2" t="s">
        <v>3395</v>
      </c>
      <c r="AQ2" t="s">
        <v>3</v>
      </c>
      <c r="AR2" t="s">
        <v>3396</v>
      </c>
    </row>
    <row r="3" spans="1:44" s="2883" customFormat="1" ht="12.75">
      <c r="A3" s="2881" t="s">
        <v>2809</v>
      </c>
      <c r="B3" s="2882"/>
      <c r="D3" s="2883">
        <f>ROUND(AVERAGEIF(D4:D24,"&lt;&gt;0"),2)</f>
        <v>0.39</v>
      </c>
      <c r="E3" s="2883">
        <f t="shared" ref="E3:H3" si="0">ROUND(AVERAGEIF(E4:E24,"&lt;&gt;0"),2)</f>
        <v>0.21</v>
      </c>
      <c r="F3" s="2883">
        <f t="shared" si="0"/>
        <v>-0.06</v>
      </c>
      <c r="G3" s="2883">
        <f t="shared" si="0"/>
        <v>0.46</v>
      </c>
      <c r="H3" s="2883">
        <f t="shared" si="0"/>
        <v>0.51</v>
      </c>
      <c r="I3" s="2883">
        <f>F3</f>
        <v>-0.06</v>
      </c>
      <c r="J3" s="2884"/>
      <c r="K3" s="2885">
        <f>ROUND(AVERAGEIF(K4:K24,"&lt;&gt;0"),4)</f>
        <v>3.8999999999999998E-3</v>
      </c>
      <c r="L3" s="2886">
        <f t="shared" ref="L3:O3" si="1">ROUND(AVERAGEIF(L4:L24,"&lt;&gt;0"),4)</f>
        <v>2.0999999999999999E-3</v>
      </c>
      <c r="M3" s="2886">
        <f t="shared" si="1"/>
        <v>-5.9999999999999995E-4</v>
      </c>
      <c r="N3" s="2886">
        <f t="shared" si="1"/>
        <v>4.5999999999999999E-3</v>
      </c>
      <c r="O3" s="2886">
        <f t="shared" si="1"/>
        <v>5.1000000000000004E-3</v>
      </c>
      <c r="P3" s="2886">
        <f>M3</f>
        <v>-5.9999999999999995E-4</v>
      </c>
      <c r="Q3" s="2884"/>
      <c r="R3" s="2887">
        <f>ROUND(SUMPRODUCT(PRODUCT(1+K4:K24)),4)</f>
        <v>1.0674999999999999</v>
      </c>
      <c r="S3" s="2888">
        <f t="shared" ref="S3:V3" si="2">ROUND(SUMPRODUCT(PRODUCT(1+L4:L24)),4)</f>
        <v>1.0355000000000001</v>
      </c>
      <c r="T3" s="2888">
        <f t="shared" si="2"/>
        <v>0.98880000000000001</v>
      </c>
      <c r="U3" s="2888">
        <f t="shared" si="2"/>
        <v>1.0798000000000001</v>
      </c>
      <c r="V3" s="2888">
        <f t="shared" si="2"/>
        <v>1.0911</v>
      </c>
      <c r="W3" s="2887">
        <f>T3</f>
        <v>0.98880000000000001</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44" s="2041" customFormat="1">
      <c r="A5" s="2036" t="s">
        <v>3393</v>
      </c>
      <c r="B5" s="2027">
        <v>2025</v>
      </c>
      <c r="C5" s="2038">
        <v>4</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 t="shared" ref="P5:P11" si="10">M5</f>
        <v>0</v>
      </c>
      <c r="Q5" s="2903"/>
      <c r="R5" s="2023">
        <f>ROUND(IF(项目基本情况!$B$8="出让",SUMPRODUCT(PRODUCT(1+K5:$K$24)),SUMPRODUCT(PRODUCT(1+K5:$K$23))),4)</f>
        <v>1.0571999999999999</v>
      </c>
      <c r="S5" s="2023">
        <f>ROUND(IF(项目基本情况!$B$8="出让",SUMPRODUCT(PRODUCT(1+L5:$L$24)),SUMPRODUCT(PRODUCT(1+L5:$L$23))),4)</f>
        <v>1.0339</v>
      </c>
      <c r="T5" s="2023">
        <f>ROUND(IF(项目基本情况!$B$8="出让",SUMPRODUCT(PRODUCT(1+M5:$M$24)),SUMPRODUCT(PRODUCT(1+M5:$M$23))),4)</f>
        <v>0.99129999999999996</v>
      </c>
      <c r="U5" s="2023">
        <f>ROUND(IF(项目基本情况!$B$8="出让",SUMPRODUCT(PRODUCT(1+N5:$N$24)),SUMPRODUCT(PRODUCT(1+N5:$N$23))),4)</f>
        <v>1.0679000000000001</v>
      </c>
      <c r="V5" s="2023">
        <f>ROUND(IF(项目基本情况!$B$8="出让",SUMPRODUCT(PRODUCT(1+O5:$O$24)),SUMPRODUCT(PRODUCT(1+O5:$O$23))),4)</f>
        <v>1.0871999999999999</v>
      </c>
      <c r="W5" s="2023">
        <f t="shared" ref="W5:W11" si="11">T5</f>
        <v>0.99129999999999996</v>
      </c>
      <c r="X5" s="2903"/>
      <c r="Y5" s="2024">
        <f t="shared" ref="Y5:Y11" si="12">IF(D5=0,0,ROUND(AVERAGE(D5:D18)/100,4))</f>
        <v>0</v>
      </c>
      <c r="Z5" s="2024">
        <f t="shared" ref="Z5" si="13">IF(E5=0,0,ROUND(AVERAGE(E5:E18)/100,4))</f>
        <v>0</v>
      </c>
      <c r="AA5" s="2024">
        <f t="shared" ref="AA5" si="14">IF(F5=0,0,ROUND(AVERAGE(F5:F18)/100,4))</f>
        <v>0</v>
      </c>
      <c r="AB5" s="2024">
        <f t="shared" ref="AB5" si="15">IF(G5=0,0,ROUND(AVERAGE(G5:G18)/100,4))</f>
        <v>0</v>
      </c>
      <c r="AC5" s="2024">
        <f t="shared" ref="AC5" si="16">IF(H5=0,0,ROUND(AVERAGE(H5:H18)/100,4))</f>
        <v>0</v>
      </c>
      <c r="AD5" s="2024">
        <f t="shared" ref="AD5" si="17">AA5</f>
        <v>0</v>
      </c>
      <c r="AF5" s="3150">
        <f>$AF$24*R5</f>
        <v>105.72</v>
      </c>
      <c r="AG5" s="3150">
        <f t="shared" ref="AG5:AK5" si="18">$AF$24*S5</f>
        <v>103.39</v>
      </c>
      <c r="AH5" s="3150">
        <f t="shared" si="18"/>
        <v>99.13</v>
      </c>
      <c r="AI5" s="3150">
        <f t="shared" si="18"/>
        <v>106.79</v>
      </c>
      <c r="AJ5" s="3150">
        <f t="shared" si="18"/>
        <v>108.72</v>
      </c>
      <c r="AK5" s="3150">
        <f t="shared" si="18"/>
        <v>99.13</v>
      </c>
      <c r="AM5" s="3156">
        <v>100</v>
      </c>
      <c r="AN5" s="3156">
        <v>100</v>
      </c>
      <c r="AO5" s="3156">
        <v>100</v>
      </c>
      <c r="AP5" s="3156">
        <v>100</v>
      </c>
      <c r="AQ5" s="3156">
        <v>100</v>
      </c>
      <c r="AR5" s="3156">
        <v>100</v>
      </c>
    </row>
    <row r="6" spans="1:44" s="2041" customFormat="1" ht="12.75">
      <c r="A6" s="2036" t="s">
        <v>3392</v>
      </c>
      <c r="B6" s="2027">
        <v>2025</v>
      </c>
      <c r="C6" s="2038">
        <v>3</v>
      </c>
      <c r="D6" s="2003">
        <v>0</v>
      </c>
      <c r="E6" s="2003">
        <v>0</v>
      </c>
      <c r="F6" s="2003">
        <v>0</v>
      </c>
      <c r="G6" s="2003">
        <v>0</v>
      </c>
      <c r="H6" s="2003">
        <v>0</v>
      </c>
      <c r="I6" s="2004">
        <f t="shared" ref="I6" si="19">F6</f>
        <v>0</v>
      </c>
      <c r="J6" s="2903"/>
      <c r="K6" s="2039">
        <f t="shared" ref="K6" si="20">D6/100</f>
        <v>0</v>
      </c>
      <c r="L6" s="2024">
        <f t="shared" ref="L6" si="21">E6/100</f>
        <v>0</v>
      </c>
      <c r="M6" s="2024">
        <f t="shared" ref="M6" si="22">F6/100</f>
        <v>0</v>
      </c>
      <c r="N6" s="2024">
        <f t="shared" ref="N6" si="23">G6/100</f>
        <v>0</v>
      </c>
      <c r="O6" s="2024">
        <f t="shared" ref="O6" si="24">H6/100</f>
        <v>0</v>
      </c>
      <c r="P6" s="2024">
        <f t="shared" si="10"/>
        <v>0</v>
      </c>
      <c r="Q6" s="2903"/>
      <c r="R6" s="2023">
        <f>ROUND(IF(项目基本情况!$B$8="出让",SUMPRODUCT(PRODUCT(1+K6:$K$24)),SUMPRODUCT(PRODUCT(1+K6:$K$23))),4)</f>
        <v>1.0571999999999999</v>
      </c>
      <c r="S6" s="2023">
        <f>ROUND(IF(项目基本情况!$B$8="出让",SUMPRODUCT(PRODUCT(1+L6:$L$24)),SUMPRODUCT(PRODUCT(1+L6:$L$23))),4)</f>
        <v>1.0339</v>
      </c>
      <c r="T6" s="2023">
        <f>ROUND(IF(项目基本情况!$B$8="出让",SUMPRODUCT(PRODUCT(1+M6:$M$24)),SUMPRODUCT(PRODUCT(1+M6:$M$23))),4)</f>
        <v>0.99129999999999996</v>
      </c>
      <c r="U6" s="2023">
        <f>ROUND(IF(项目基本情况!$B$8="出让",SUMPRODUCT(PRODUCT(1+N6:$N$24)),SUMPRODUCT(PRODUCT(1+N6:$N$23))),4)</f>
        <v>1.0679000000000001</v>
      </c>
      <c r="V6" s="2023">
        <f>ROUND(IF(项目基本情况!$B$8="出让",SUMPRODUCT(PRODUCT(1+O6:$O$24)),SUMPRODUCT(PRODUCT(1+O6:$O$23))),4)</f>
        <v>1.0871999999999999</v>
      </c>
      <c r="W6" s="2023">
        <f t="shared" si="11"/>
        <v>0.99129999999999996</v>
      </c>
      <c r="X6" s="2903"/>
      <c r="Y6" s="2024">
        <f t="shared" si="12"/>
        <v>0</v>
      </c>
      <c r="Z6" s="2024">
        <f t="shared" ref="Z6" si="25">IF(E6=0,0,ROUND(AVERAGE(E6:E19)/100,4))</f>
        <v>0</v>
      </c>
      <c r="AA6" s="2024">
        <f t="shared" ref="AA6" si="26">IF(F6=0,0,ROUND(AVERAGE(F6:F19)/100,4))</f>
        <v>0</v>
      </c>
      <c r="AB6" s="2024">
        <f t="shared" ref="AB6" si="27">IF(G6=0,0,ROUND(AVERAGE(G6:G19)/100,4))</f>
        <v>0</v>
      </c>
      <c r="AC6" s="2024">
        <f t="shared" ref="AC6" si="28">IF(H6=0,0,ROUND(AVERAGE(H6:H19)/100,4))</f>
        <v>0</v>
      </c>
      <c r="AD6" s="2024">
        <f t="shared" ref="AD6" si="29">AA6</f>
        <v>0</v>
      </c>
      <c r="AF6" s="3150">
        <f t="shared" ref="AF6:AF23" si="30">$AF$24*R6</f>
        <v>105.72</v>
      </c>
      <c r="AG6" s="3150">
        <f t="shared" ref="AG6:AG23" si="31">$AF$24*S6</f>
        <v>103.39</v>
      </c>
      <c r="AH6" s="3150">
        <f t="shared" ref="AH6:AH23" si="32">$AF$24*T6</f>
        <v>99.13</v>
      </c>
      <c r="AI6" s="3150">
        <f t="shared" ref="AI6:AI23" si="33">$AF$24*U6</f>
        <v>106.79</v>
      </c>
      <c r="AJ6" s="3150">
        <f t="shared" ref="AJ6:AJ23" si="34">$AF$24*V6</f>
        <v>108.72</v>
      </c>
      <c r="AK6" s="3150">
        <f t="shared" ref="AK6:AK23" si="35">$AF$24*W6</f>
        <v>99.13</v>
      </c>
      <c r="AM6" s="3150">
        <f>AM5/(1+D5/100)</f>
        <v>100</v>
      </c>
      <c r="AN6" s="3150">
        <f t="shared" ref="AN6:AR6" si="36">AN5/(1+E5/100)</f>
        <v>100</v>
      </c>
      <c r="AO6" s="3150">
        <f t="shared" si="36"/>
        <v>100</v>
      </c>
      <c r="AP6" s="3150">
        <f t="shared" si="36"/>
        <v>100</v>
      </c>
      <c r="AQ6" s="3150">
        <f t="shared" si="36"/>
        <v>100</v>
      </c>
      <c r="AR6" s="3150">
        <f t="shared" si="36"/>
        <v>100</v>
      </c>
    </row>
    <row r="7" spans="1:44" s="2913" customFormat="1" ht="12.75">
      <c r="A7" s="2904" t="s">
        <v>3391</v>
      </c>
      <c r="B7" s="2905">
        <v>2025</v>
      </c>
      <c r="C7" s="2906">
        <v>2</v>
      </c>
      <c r="D7" s="2907">
        <v>0</v>
      </c>
      <c r="E7" s="2907">
        <v>0</v>
      </c>
      <c r="F7" s="2907">
        <v>0</v>
      </c>
      <c r="G7" s="2907">
        <v>0</v>
      </c>
      <c r="H7" s="2908">
        <v>0</v>
      </c>
      <c r="I7" s="2909">
        <f t="shared" ref="I7" si="37">F7</f>
        <v>0</v>
      </c>
      <c r="J7" s="2910"/>
      <c r="K7" s="2911">
        <f t="shared" ref="K7" si="38">D7/100</f>
        <v>0</v>
      </c>
      <c r="L7" s="2912">
        <f t="shared" ref="L7" si="39">E7/100</f>
        <v>0</v>
      </c>
      <c r="M7" s="2912">
        <f t="shared" ref="M7" si="40">F7/100</f>
        <v>0</v>
      </c>
      <c r="N7" s="2912">
        <f t="shared" ref="N7" si="41">G7/100</f>
        <v>0</v>
      </c>
      <c r="O7" s="2912">
        <f t="shared" ref="O7" si="42">H7/100</f>
        <v>0</v>
      </c>
      <c r="P7" s="2912">
        <f t="shared" si="10"/>
        <v>0</v>
      </c>
      <c r="Q7" s="2910"/>
      <c r="R7" s="2910">
        <f>ROUND(IF(项目基本情况!$B$8="出让",SUMPRODUCT(PRODUCT(1+K7:$K$24)),SUMPRODUCT(PRODUCT(1+K7:$K$23))),4)</f>
        <v>1.0571999999999999</v>
      </c>
      <c r="S7" s="2910">
        <f>ROUND(IF(项目基本情况!$B$8="出让",SUMPRODUCT(PRODUCT(1+L7:$L$24)),SUMPRODUCT(PRODUCT(1+L7:$L$23))),4)</f>
        <v>1.0339</v>
      </c>
      <c r="T7" s="2910">
        <f>ROUND(IF(项目基本情况!$B$8="出让",SUMPRODUCT(PRODUCT(1+M7:$M$24)),SUMPRODUCT(PRODUCT(1+M7:$M$23))),4)</f>
        <v>0.99129999999999996</v>
      </c>
      <c r="U7" s="2910">
        <f>ROUND(IF(项目基本情况!$B$8="出让",SUMPRODUCT(PRODUCT(1+N7:$N$24)),SUMPRODUCT(PRODUCT(1+N7:$N$23))),4)</f>
        <v>1.0679000000000001</v>
      </c>
      <c r="V7" s="2910">
        <f>ROUND(IF(项目基本情况!$B$8="出让",SUMPRODUCT(PRODUCT(1+O7:$O$24)),SUMPRODUCT(PRODUCT(1+O7:$O$23))),4)</f>
        <v>1.0871999999999999</v>
      </c>
      <c r="W7" s="2910">
        <f t="shared" si="11"/>
        <v>0.99129999999999996</v>
      </c>
      <c r="X7" s="2910"/>
      <c r="Y7" s="2912">
        <f t="shared" si="12"/>
        <v>0</v>
      </c>
      <c r="Z7" s="2912">
        <f t="shared" ref="Z7" si="43">IF(E7=0,0,ROUND(AVERAGE(E7:E20)/100,4))</f>
        <v>0</v>
      </c>
      <c r="AA7" s="2912">
        <f t="shared" ref="AA7" si="44">IF(F7=0,0,ROUND(AVERAGE(F7:F20)/100,4))</f>
        <v>0</v>
      </c>
      <c r="AB7" s="2912">
        <f t="shared" ref="AB7" si="45">IF(G7=0,0,ROUND(AVERAGE(G7:G20)/100,4))</f>
        <v>0</v>
      </c>
      <c r="AC7" s="2912">
        <f t="shared" ref="AC7" si="46">IF(H7=0,0,ROUND(AVERAGE(H7:H20)/100,4))</f>
        <v>0</v>
      </c>
      <c r="AD7" s="2912">
        <f t="shared" ref="AD7" si="47">AA7</f>
        <v>0</v>
      </c>
      <c r="AF7" s="3151">
        <f t="shared" si="30"/>
        <v>105.72</v>
      </c>
      <c r="AG7" s="3151">
        <f t="shared" si="31"/>
        <v>103.39</v>
      </c>
      <c r="AH7" s="3151">
        <f t="shared" si="32"/>
        <v>99.13</v>
      </c>
      <c r="AI7" s="3151">
        <f t="shared" si="33"/>
        <v>106.79</v>
      </c>
      <c r="AJ7" s="3151">
        <f t="shared" si="34"/>
        <v>108.72</v>
      </c>
      <c r="AK7" s="3151">
        <f t="shared" si="35"/>
        <v>99.13</v>
      </c>
      <c r="AM7" s="3151">
        <f t="shared" ref="AM7:AM24" si="48">AM6/(1+D6/100)</f>
        <v>100</v>
      </c>
      <c r="AN7" s="3151">
        <f t="shared" ref="AN7:AN24" si="49">AN6/(1+E6/100)</f>
        <v>100</v>
      </c>
      <c r="AO7" s="3151">
        <f t="shared" ref="AO7:AO24" si="50">AO6/(1+F6/100)</f>
        <v>100</v>
      </c>
      <c r="AP7" s="3151">
        <f t="shared" ref="AP7:AP24" si="51">AP6/(1+G6/100)</f>
        <v>100</v>
      </c>
      <c r="AQ7" s="3151">
        <f t="shared" ref="AQ7:AQ24" si="52">AQ6/(1+H6/100)</f>
        <v>100</v>
      </c>
      <c r="AR7" s="3151">
        <f t="shared" ref="AR7:AR24" si="53">AR6/(1+I6/100)</f>
        <v>100</v>
      </c>
    </row>
    <row r="8" spans="1:44" s="2041" customFormat="1" ht="12.75">
      <c r="A8" s="2036" t="s">
        <v>3399</v>
      </c>
      <c r="B8" s="2027">
        <v>2025</v>
      </c>
      <c r="C8" s="2038">
        <v>1</v>
      </c>
      <c r="D8" s="2003">
        <v>0.56999999999999995</v>
      </c>
      <c r="E8" s="2003">
        <v>-0.56999999999999995</v>
      </c>
      <c r="F8" s="2003">
        <v>-0.9</v>
      </c>
      <c r="G8" s="2003">
        <v>1.1200000000000001</v>
      </c>
      <c r="H8" s="2003">
        <v>0.42</v>
      </c>
      <c r="I8" s="2004">
        <f t="shared" ref="I8" si="54">F8</f>
        <v>-0.9</v>
      </c>
      <c r="J8" s="2903"/>
      <c r="K8" s="2039">
        <f t="shared" ref="K8" si="55">D8/100</f>
        <v>5.6999999999999993E-3</v>
      </c>
      <c r="L8" s="2024">
        <f t="shared" ref="L8" si="56">E8/100</f>
        <v>-5.6999999999999993E-3</v>
      </c>
      <c r="M8" s="2024">
        <f t="shared" ref="M8" si="57">F8/100</f>
        <v>-9.0000000000000011E-3</v>
      </c>
      <c r="N8" s="2024">
        <f t="shared" ref="N8" si="58">G8/100</f>
        <v>1.1200000000000002E-2</v>
      </c>
      <c r="O8" s="2024">
        <f t="shared" ref="O8" si="59">H8/100</f>
        <v>4.1999999999999997E-3</v>
      </c>
      <c r="P8" s="2024">
        <f t="shared" si="10"/>
        <v>-9.0000000000000011E-3</v>
      </c>
      <c r="Q8" s="2903"/>
      <c r="R8" s="2023">
        <f>ROUND(IF(项目基本情况!$B$8="出让",SUMPRODUCT(PRODUCT(1+K8:$K$24)),SUMPRODUCT(PRODUCT(1+K8:$K$23))),4)</f>
        <v>1.0571999999999999</v>
      </c>
      <c r="S8" s="2023">
        <f>ROUND(IF(项目基本情况!$B$8="出让",SUMPRODUCT(PRODUCT(1+L8:$L$24)),SUMPRODUCT(PRODUCT(1+L8:$L$23))),4)</f>
        <v>1.0339</v>
      </c>
      <c r="T8" s="2023">
        <f>ROUND(IF(项目基本情况!$B$8="出让",SUMPRODUCT(PRODUCT(1+M8:$M$24)),SUMPRODUCT(PRODUCT(1+M8:$M$23))),4)</f>
        <v>0.99129999999999996</v>
      </c>
      <c r="U8" s="2023">
        <f>ROUND(IF(项目基本情况!$B$8="出让",SUMPRODUCT(PRODUCT(1+N8:$N$24)),SUMPRODUCT(PRODUCT(1+N8:$N$23))),4)</f>
        <v>1.0679000000000001</v>
      </c>
      <c r="V8" s="2023">
        <f>ROUND(IF(项目基本情况!$B$8="出让",SUMPRODUCT(PRODUCT(1+O8:$O$24)),SUMPRODUCT(PRODUCT(1+O8:$O$23))),4)</f>
        <v>1.0871999999999999</v>
      </c>
      <c r="W8" s="2023">
        <f t="shared" si="11"/>
        <v>0.99129999999999996</v>
      </c>
      <c r="X8" s="2903"/>
      <c r="Y8" s="2024">
        <f t="shared" si="12"/>
        <v>3.0000000000000001E-3</v>
      </c>
      <c r="Z8" s="2024">
        <f t="shared" ref="Z8" si="60">IF(E8=0,0,ROUND(AVERAGE(E8:E21)/100,4))</f>
        <v>1.6000000000000001E-3</v>
      </c>
      <c r="AA8" s="2024">
        <f t="shared" ref="AA8" si="61">IF(F8=0,0,ROUND(AVERAGE(F8:F21)/100,4))</f>
        <v>-1.1000000000000001E-3</v>
      </c>
      <c r="AB8" s="2024">
        <f t="shared" ref="AB8" si="62">IF(G8=0,0,ROUND(AVERAGE(G8:G21)/100,4))</f>
        <v>3.7000000000000002E-3</v>
      </c>
      <c r="AC8" s="2024">
        <f t="shared" ref="AC8" si="63">IF(H8=0,0,ROUND(AVERAGE(H8:H21)/100,4))</f>
        <v>4.8999999999999998E-3</v>
      </c>
      <c r="AD8" s="2024">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v>
      </c>
      <c r="AN8" s="3150">
        <f t="shared" si="49"/>
        <v>100</v>
      </c>
      <c r="AO8" s="3150">
        <f t="shared" si="50"/>
        <v>100</v>
      </c>
      <c r="AP8" s="3150">
        <f t="shared" si="51"/>
        <v>100</v>
      </c>
      <c r="AQ8" s="3150">
        <f t="shared" si="52"/>
        <v>100</v>
      </c>
      <c r="AR8" s="3150">
        <f t="shared" si="53"/>
        <v>100</v>
      </c>
    </row>
    <row r="9" spans="1:44" s="2041" customFormat="1" ht="12.75">
      <c r="A9" s="2036" t="s">
        <v>3398</v>
      </c>
      <c r="B9" s="2027">
        <v>2024</v>
      </c>
      <c r="C9" s="2038">
        <v>4</v>
      </c>
      <c r="D9" s="2003">
        <v>-1.02</v>
      </c>
      <c r="E9" s="2003">
        <v>-0.48</v>
      </c>
      <c r="F9" s="2003">
        <v>-0.75</v>
      </c>
      <c r="G9" s="2003">
        <v>-1.05</v>
      </c>
      <c r="H9" s="2003">
        <v>0.08</v>
      </c>
      <c r="I9" s="2004">
        <f t="shared" ref="I9" si="65">F9</f>
        <v>-0.75</v>
      </c>
      <c r="J9" s="2903"/>
      <c r="K9" s="2039">
        <f t="shared" ref="K9" si="66">D9/100</f>
        <v>-1.0200000000000001E-2</v>
      </c>
      <c r="L9" s="2024">
        <f t="shared" ref="L9" si="67">E9/100</f>
        <v>-4.7999999999999996E-3</v>
      </c>
      <c r="M9" s="2024">
        <f t="shared" ref="M9" si="68">F9/100</f>
        <v>-7.4999999999999997E-3</v>
      </c>
      <c r="N9" s="2024">
        <f t="shared" ref="N9" si="69">G9/100</f>
        <v>-1.0500000000000001E-2</v>
      </c>
      <c r="O9" s="2024">
        <f t="shared" ref="O9" si="70">H9/100</f>
        <v>8.0000000000000004E-4</v>
      </c>
      <c r="P9" s="2024">
        <f t="shared" si="10"/>
        <v>-7.4999999999999997E-3</v>
      </c>
      <c r="Q9" s="2903"/>
      <c r="R9" s="2023">
        <f>ROUND(IF(项目基本情况!$B$8="出让",SUMPRODUCT(PRODUCT(1+K9:$K$24)),SUMPRODUCT(PRODUCT(1+K9:$K$23))),4)</f>
        <v>1.0511999999999999</v>
      </c>
      <c r="S9" s="2023">
        <f>ROUND(IF(项目基本情况!$B$8="出让",SUMPRODUCT(PRODUCT(1+L9:$L$24)),SUMPRODUCT(PRODUCT(1+L9:$L$23))),4)</f>
        <v>1.0398000000000001</v>
      </c>
      <c r="T9" s="2023">
        <f>ROUND(IF(项目基本情况!$B$8="出让",SUMPRODUCT(PRODUCT(1+M9:$M$24)),SUMPRODUCT(PRODUCT(1+M9:$M$23))),4)</f>
        <v>1.0003</v>
      </c>
      <c r="U9" s="2023">
        <f>ROUND(IF(项目基本情况!$B$8="出让",SUMPRODUCT(PRODUCT(1+N9:$N$24)),SUMPRODUCT(PRODUCT(1+N9:$N$23))),4)</f>
        <v>1.0561</v>
      </c>
      <c r="V9" s="2023">
        <f>ROUND(IF(项目基本情况!$B$8="出让",SUMPRODUCT(PRODUCT(1+O9:$O$24)),SUMPRODUCT(PRODUCT(1+O9:$O$23))),4)</f>
        <v>1.0827</v>
      </c>
      <c r="W9" s="2023">
        <f t="shared" si="11"/>
        <v>1.0003</v>
      </c>
      <c r="X9" s="2903"/>
      <c r="Y9" s="2024">
        <f t="shared" si="12"/>
        <v>2.8999999999999998E-3</v>
      </c>
      <c r="Z9" s="2024">
        <f t="shared" ref="Z9" si="71">IF(E9=0,0,ROUND(AVERAGE(E9:E22)/100,4))</f>
        <v>2.3E-3</v>
      </c>
      <c r="AA9" s="2024">
        <f t="shared" ref="AA9" si="72">IF(F9=0,0,ROUND(AVERAGE(F9:F22)/100,4))</f>
        <v>-2.9999999999999997E-4</v>
      </c>
      <c r="AB9" s="2024">
        <f t="shared" ref="AB9" si="73">IF(G9=0,0,ROUND(AVERAGE(G9:G22)/100,4))</f>
        <v>3.3E-3</v>
      </c>
      <c r="AC9" s="2024">
        <f t="shared" ref="AC9" si="74">IF(H9=0,0,ROUND(AVERAGE(H9:H22)/100,4))</f>
        <v>5.0000000000000001E-3</v>
      </c>
      <c r="AD9" s="2024">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99.433230585661718</v>
      </c>
      <c r="AN9" s="3150">
        <f t="shared" si="49"/>
        <v>100.57326762546515</v>
      </c>
      <c r="AO9" s="3150">
        <f t="shared" si="50"/>
        <v>100.90817356205852</v>
      </c>
      <c r="AP9" s="3150">
        <f t="shared" si="51"/>
        <v>98.892405063291136</v>
      </c>
      <c r="AQ9" s="3150">
        <f t="shared" si="52"/>
        <v>99.581756622186816</v>
      </c>
      <c r="AR9" s="3150">
        <f t="shared" si="53"/>
        <v>100.90817356205852</v>
      </c>
    </row>
    <row r="10" spans="1:44" s="2041" customFormat="1" ht="12.75">
      <c r="A10" s="2036" t="s">
        <v>3371</v>
      </c>
      <c r="B10" s="2027">
        <v>2024</v>
      </c>
      <c r="C10" s="2038">
        <v>3</v>
      </c>
      <c r="D10" s="2003">
        <v>-1.19</v>
      </c>
      <c r="E10" s="2003">
        <v>-0.47</v>
      </c>
      <c r="F10" s="2003">
        <v>-0.28999999999999998</v>
      </c>
      <c r="G10" s="2003">
        <v>-0.74</v>
      </c>
      <c r="H10" s="2003">
        <v>-0.21</v>
      </c>
      <c r="I10" s="2004">
        <f t="shared" ref="I10" si="76">F10</f>
        <v>-0.28999999999999998</v>
      </c>
      <c r="J10" s="2903"/>
      <c r="K10" s="2039">
        <f t="shared" ref="K10" si="77">D10/100</f>
        <v>-1.1899999999999999E-2</v>
      </c>
      <c r="L10" s="2024">
        <f t="shared" ref="L10" si="78">E10/100</f>
        <v>-4.6999999999999993E-3</v>
      </c>
      <c r="M10" s="2024">
        <f t="shared" ref="M10" si="79">F10/100</f>
        <v>-2.8999999999999998E-3</v>
      </c>
      <c r="N10" s="2024">
        <f t="shared" ref="N10" si="80">G10/100</f>
        <v>-7.4000000000000003E-3</v>
      </c>
      <c r="O10" s="2024">
        <f t="shared" ref="O10" si="81">H10/100</f>
        <v>-2.0999999999999999E-3</v>
      </c>
      <c r="P10" s="2024">
        <f t="shared" si="10"/>
        <v>-2.8999999999999998E-3</v>
      </c>
      <c r="Q10" s="2903"/>
      <c r="R10" s="2023">
        <f>ROUND(IF(项目基本情况!$B$8="出让",SUMPRODUCT(PRODUCT(1+K10:$K$24)),SUMPRODUCT(PRODUCT(1+K10:$K$23))),4)</f>
        <v>1.0620000000000001</v>
      </c>
      <c r="S10" s="2023">
        <f>ROUND(IF(项目基本情况!$B$8="出让",SUMPRODUCT(PRODUCT(1+L10:$L$24)),SUMPRODUCT(PRODUCT(1+L10:$L$23))),4)</f>
        <v>1.0448</v>
      </c>
      <c r="T10" s="2023">
        <f>ROUND(IF(项目基本情况!$B$8="出让",SUMPRODUCT(PRODUCT(1+M10:$M$24)),SUMPRODUCT(PRODUCT(1+M10:$M$23))),4)</f>
        <v>1.0079</v>
      </c>
      <c r="U10" s="2023">
        <f>ROUND(IF(项目基本情况!$B$8="出让",SUMPRODUCT(PRODUCT(1+N10:$N$24)),SUMPRODUCT(PRODUCT(1+N10:$N$23))),4)</f>
        <v>1.0672999999999999</v>
      </c>
      <c r="V10" s="2023">
        <f>ROUND(IF(项目基本情况!$B$8="出让",SUMPRODUCT(PRODUCT(1+O10:$O$24)),SUMPRODUCT(PRODUCT(1+O10:$O$23))),4)</f>
        <v>1.0818000000000001</v>
      </c>
      <c r="W10" s="2023">
        <f t="shared" si="11"/>
        <v>1.0079</v>
      </c>
      <c r="X10" s="2903"/>
      <c r="Y10" s="2024">
        <f t="shared" si="12"/>
        <v>4.3E-3</v>
      </c>
      <c r="Z10" s="2024">
        <f t="shared" ref="Z10" si="82">IF(E10=0,0,ROUND(AVERAGE(E10:E23)/100,4))</f>
        <v>3.0999999999999999E-3</v>
      </c>
      <c r="AA10" s="2024">
        <f t="shared" ref="AA10" si="83">IF(F10=0,0,ROUND(AVERAGE(F10:F23)/100,4))</f>
        <v>5.9999999999999995E-4</v>
      </c>
      <c r="AB10" s="2024">
        <f t="shared" ref="AB10" si="84">IF(G10=0,0,ROUND(AVERAGE(G10:G23)/100,4))</f>
        <v>4.7000000000000002E-3</v>
      </c>
      <c r="AC10" s="2024">
        <f t="shared" ref="AC10" si="85">IF(H10=0,0,ROUND(AVERAGE(H10:H23)/100,4))</f>
        <v>5.5999999999999999E-3</v>
      </c>
      <c r="AD10" s="2024">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100.45790117767399</v>
      </c>
      <c r="AN10" s="3150">
        <f t="shared" si="49"/>
        <v>101.05834769439826</v>
      </c>
      <c r="AO10" s="3150">
        <f t="shared" si="50"/>
        <v>101.670703840865</v>
      </c>
      <c r="AP10" s="3150">
        <f t="shared" si="51"/>
        <v>99.941793899233076</v>
      </c>
      <c r="AQ10" s="3150">
        <f t="shared" si="52"/>
        <v>99.502154898268216</v>
      </c>
      <c r="AR10" s="3150">
        <f t="shared" si="53"/>
        <v>101.670703840865</v>
      </c>
    </row>
    <row r="11" spans="1:44" s="2041" customFormat="1" ht="12.75">
      <c r="A11" s="2902" t="s">
        <v>3365</v>
      </c>
      <c r="B11" s="2027">
        <v>2024</v>
      </c>
      <c r="C11" s="2038">
        <v>2</v>
      </c>
      <c r="D11" s="2003">
        <v>-0.59</v>
      </c>
      <c r="E11" s="2003">
        <v>-0.21</v>
      </c>
      <c r="F11" s="2003">
        <v>-1.38</v>
      </c>
      <c r="G11" s="2003">
        <v>-1.24</v>
      </c>
      <c r="H11" s="2914">
        <v>0.34</v>
      </c>
      <c r="I11" s="2004">
        <f t="shared" ref="I11:I24" si="87">F11</f>
        <v>-1.38</v>
      </c>
      <c r="J11" s="2903"/>
      <c r="K11" s="2039">
        <f t="shared" ref="K11:O24" si="88">D11/100</f>
        <v>-5.8999999999999999E-3</v>
      </c>
      <c r="L11" s="2024">
        <f t="shared" si="88"/>
        <v>-2.0999999999999999E-3</v>
      </c>
      <c r="M11" s="2024">
        <f t="shared" si="88"/>
        <v>-1.38E-2</v>
      </c>
      <c r="N11" s="2024">
        <f t="shared" si="88"/>
        <v>-1.24E-2</v>
      </c>
      <c r="O11" s="2024">
        <f t="shared" si="88"/>
        <v>3.4000000000000002E-3</v>
      </c>
      <c r="P11" s="2024">
        <f t="shared" si="10"/>
        <v>-1.38E-2</v>
      </c>
      <c r="Q11" s="2903"/>
      <c r="R11" s="2023">
        <f>ROUND(IF(项目基本情况!$B$8="出让",SUMPRODUCT(PRODUCT(1+K11:$K$24)),SUMPRODUCT(PRODUCT(1+K11:$K$23))),4)</f>
        <v>1.0748</v>
      </c>
      <c r="S11" s="2023">
        <f>ROUND(IF(项目基本情况!$B$8="出让",SUMPRODUCT(PRODUCT(1+L11:$L$24)),SUMPRODUCT(PRODUCT(1+L11:$L$23))),4)</f>
        <v>1.0498000000000001</v>
      </c>
      <c r="T11" s="2023">
        <f>ROUND(IF(项目基本情况!$B$8="出让",SUMPRODUCT(PRODUCT(1+M11:$M$24)),SUMPRODUCT(PRODUCT(1+M11:$M$23))),4)</f>
        <v>1.0107999999999999</v>
      </c>
      <c r="U11" s="2023">
        <f>ROUND(IF(项目基本情况!$B$8="出让",SUMPRODUCT(PRODUCT(1+N11:$N$24)),SUMPRODUCT(PRODUCT(1+N11:$N$23))),4)</f>
        <v>1.0752999999999999</v>
      </c>
      <c r="V11" s="2023">
        <f>ROUND(IF(项目基本情况!$B$8="出让",SUMPRODUCT(PRODUCT(1+O11:$O$24)),SUMPRODUCT(PRODUCT(1+O11:$O$23))),4)</f>
        <v>1.0841000000000001</v>
      </c>
      <c r="W11" s="2023">
        <f t="shared" si="11"/>
        <v>1.0107999999999999</v>
      </c>
      <c r="X11" s="2903"/>
      <c r="Y11" s="2024">
        <f t="shared" si="12"/>
        <v>5.8999999999999999E-3</v>
      </c>
      <c r="Z11" s="2024">
        <f t="shared" ref="Z11:AC11" si="89">IF(E11=0,0,ROUND(AVERAGE(E11:E24)/100,4))</f>
        <v>3.5999999999999999E-3</v>
      </c>
      <c r="AA11" s="2024">
        <f t="shared" si="89"/>
        <v>5.9999999999999995E-4</v>
      </c>
      <c r="AB11" s="2024">
        <f t="shared" si="89"/>
        <v>6.0000000000000001E-3</v>
      </c>
      <c r="AC11" s="2024">
        <f t="shared" si="89"/>
        <v>6.0000000000000001E-3</v>
      </c>
      <c r="AD11" s="2024">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101.66774737139357</v>
      </c>
      <c r="AN11" s="3150">
        <f t="shared" si="49"/>
        <v>101.53556484918946</v>
      </c>
      <c r="AO11" s="3150">
        <f t="shared" si="50"/>
        <v>101.9664064194815</v>
      </c>
      <c r="AP11" s="3150">
        <f t="shared" si="51"/>
        <v>100.68687678746028</v>
      </c>
      <c r="AQ11" s="3150">
        <f t="shared" si="52"/>
        <v>99.711549151486338</v>
      </c>
      <c r="AR11" s="3150">
        <f t="shared" si="53"/>
        <v>101.9664064194815</v>
      </c>
    </row>
    <row r="12" spans="1:44" s="2041" customFormat="1" ht="12.75">
      <c r="A12" s="2902" t="s">
        <v>3364</v>
      </c>
      <c r="B12" s="2027">
        <v>2024</v>
      </c>
      <c r="C12" s="2038">
        <v>1</v>
      </c>
      <c r="D12" s="2003">
        <v>0.08</v>
      </c>
      <c r="E12" s="2003">
        <v>0.46</v>
      </c>
      <c r="F12" s="2003">
        <v>-0.16</v>
      </c>
      <c r="G12" s="2003">
        <v>0.26</v>
      </c>
      <c r="H12" s="2914">
        <v>0.59</v>
      </c>
      <c r="I12" s="2004">
        <f t="shared" si="87"/>
        <v>-0.16</v>
      </c>
      <c r="J12" s="2903"/>
      <c r="K12" s="2039">
        <f t="shared" ref="K12" si="91">D12/100</f>
        <v>8.0000000000000004E-4</v>
      </c>
      <c r="L12" s="2024">
        <f t="shared" ref="L12" si="92">E12/100</f>
        <v>4.5999999999999999E-3</v>
      </c>
      <c r="M12" s="2024">
        <f t="shared" ref="M12" si="93">F12/100</f>
        <v>-1.6000000000000001E-3</v>
      </c>
      <c r="N12" s="2024">
        <f t="shared" ref="N12" si="94">G12/100</f>
        <v>2.5999999999999999E-3</v>
      </c>
      <c r="O12" s="2024">
        <f t="shared" ref="O12" si="95">H12/100</f>
        <v>5.8999999999999999E-3</v>
      </c>
      <c r="P12" s="2024">
        <f t="shared" ref="P12" si="96">M12</f>
        <v>-1.6000000000000001E-3</v>
      </c>
      <c r="Q12" s="2903"/>
      <c r="R12" s="2023">
        <f>ROUND(IF(项目基本情况!$B$8="出让",SUMPRODUCT(PRODUCT(1+K12:$K$24)),SUMPRODUCT(PRODUCT(1+K12:$K$23))),4)</f>
        <v>1.0811999999999999</v>
      </c>
      <c r="S12" s="2023">
        <f>ROUND(IF(项目基本情况!$B$8="出让",SUMPRODUCT(PRODUCT(1+L12:$L$24)),SUMPRODUCT(PRODUCT(1+L12:$L$23))),4)</f>
        <v>1.052</v>
      </c>
      <c r="T12" s="2023">
        <f>ROUND(IF(项目基本情况!$B$8="出让",SUMPRODUCT(PRODUCT(1+M12:$M$24)),SUMPRODUCT(PRODUCT(1+M12:$M$23))),4)</f>
        <v>1.0249999999999999</v>
      </c>
      <c r="U12" s="2023">
        <f>ROUND(IF(项目基本情况!$B$8="出让",SUMPRODUCT(PRODUCT(1+N12:$N$24)),SUMPRODUCT(PRODUCT(1+N12:$N$23))),4)</f>
        <v>1.0888</v>
      </c>
      <c r="V12" s="2023">
        <f>ROUND(IF(项目基本情况!$B$8="出让",SUMPRODUCT(PRODUCT(1+O12:$O$24)),SUMPRODUCT(PRODUCT(1+O12:$O$23))),4)</f>
        <v>1.0804</v>
      </c>
      <c r="W12" s="2023">
        <f t="shared" ref="W12" si="97">T12</f>
        <v>1.0249999999999999</v>
      </c>
      <c r="X12" s="2903"/>
      <c r="Y12" s="2024"/>
      <c r="Z12" s="2024"/>
      <c r="AA12" s="2024"/>
      <c r="AB12" s="2024"/>
      <c r="AC12" s="2024"/>
      <c r="AD12" s="2024"/>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102.27114713951673</v>
      </c>
      <c r="AN12" s="3150">
        <f t="shared" si="49"/>
        <v>101.74923824951344</v>
      </c>
      <c r="AO12" s="3150">
        <f t="shared" si="50"/>
        <v>103.3932330353696</v>
      </c>
      <c r="AP12" s="3150">
        <f t="shared" si="51"/>
        <v>101.95107005615662</v>
      </c>
      <c r="AQ12" s="3150">
        <f t="shared" si="52"/>
        <v>99.373678644096401</v>
      </c>
      <c r="AR12" s="3150">
        <f t="shared" si="53"/>
        <v>103.3932330353696</v>
      </c>
    </row>
    <row r="13" spans="1:44" s="2041" customFormat="1" ht="12.75">
      <c r="A13" s="2902" t="s">
        <v>3360</v>
      </c>
      <c r="B13" s="2027">
        <v>2023</v>
      </c>
      <c r="C13" s="2038">
        <v>4</v>
      </c>
      <c r="D13" s="2003">
        <v>0.19</v>
      </c>
      <c r="E13" s="2003">
        <v>0.24</v>
      </c>
      <c r="F13" s="2003">
        <v>-0.16</v>
      </c>
      <c r="G13" s="2003">
        <v>0.17</v>
      </c>
      <c r="H13" s="2914">
        <v>0.61</v>
      </c>
      <c r="I13" s="2004">
        <f>F13</f>
        <v>-0.16</v>
      </c>
      <c r="J13" s="2903"/>
      <c r="K13" s="2039">
        <f t="shared" si="88"/>
        <v>1.9E-3</v>
      </c>
      <c r="L13" s="2024">
        <f t="shared" si="88"/>
        <v>2.3999999999999998E-3</v>
      </c>
      <c r="M13" s="2024">
        <f t="shared" si="88"/>
        <v>-1.6000000000000001E-3</v>
      </c>
      <c r="N13" s="2024">
        <f t="shared" si="88"/>
        <v>1.7000000000000001E-3</v>
      </c>
      <c r="O13" s="2024">
        <f t="shared" si="88"/>
        <v>6.0999999999999995E-3</v>
      </c>
      <c r="P13" s="2024">
        <f t="shared" ref="P13" si="98">M13</f>
        <v>-1.6000000000000001E-3</v>
      </c>
      <c r="Q13" s="2903"/>
      <c r="R13" s="2023">
        <f>ROUND(IF(项目基本情况!$B$8="出让",SUMPRODUCT(PRODUCT(1+K13:$K$24)),SUMPRODUCT(PRODUCT(1+K13:$K$23))),4)</f>
        <v>1.0804</v>
      </c>
      <c r="S13" s="2023">
        <f>ROUND(IF(项目基本情况!$B$8="出让",SUMPRODUCT(PRODUCT(1+L13:$L$24)),SUMPRODUCT(PRODUCT(1+L13:$L$23))),4)</f>
        <v>1.0471999999999999</v>
      </c>
      <c r="T13" s="2023">
        <f>ROUND(IF(项目基本情况!$B$8="出让",SUMPRODUCT(PRODUCT(1+M13:$M$24)),SUMPRODUCT(PRODUCT(1+M13:$M$23))),4)</f>
        <v>1.0266</v>
      </c>
      <c r="U13" s="2023">
        <f>ROUND(IF(项目基本情况!$B$8="出让",SUMPRODUCT(PRODUCT(1+N13:$N$24)),SUMPRODUCT(PRODUCT(1+N13:$N$23))),4)</f>
        <v>1.0859000000000001</v>
      </c>
      <c r="V13" s="2023">
        <f>ROUND(IF(项目基本情况!$B$8="出让",SUMPRODUCT(PRODUCT(1+O13:$O$24)),SUMPRODUCT(PRODUCT(1+O13:$O$23))),4)</f>
        <v>1.0741000000000001</v>
      </c>
      <c r="W13" s="2023">
        <f t="shared" ref="W13" si="99">T13</f>
        <v>1.0266</v>
      </c>
      <c r="X13" s="2903"/>
      <c r="Y13" s="2024"/>
      <c r="Z13" s="2024"/>
      <c r="AA13" s="2024"/>
      <c r="AB13" s="2024"/>
      <c r="AC13" s="2024"/>
      <c r="AD13" s="2024"/>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102.18939562301833</v>
      </c>
      <c r="AN13" s="3150">
        <f t="shared" si="49"/>
        <v>101.28333490893236</v>
      </c>
      <c r="AO13" s="3150">
        <f t="shared" si="50"/>
        <v>103.55892731908014</v>
      </c>
      <c r="AP13" s="3150">
        <f t="shared" si="51"/>
        <v>101.68668467599903</v>
      </c>
      <c r="AQ13" s="3150">
        <f t="shared" si="52"/>
        <v>98.79081284829148</v>
      </c>
      <c r="AR13" s="3150">
        <f t="shared" si="53"/>
        <v>103.55892731908014</v>
      </c>
    </row>
    <row r="14" spans="1:44" s="2041" customFormat="1" ht="12.75">
      <c r="A14" s="2902" t="s">
        <v>3359</v>
      </c>
      <c r="B14" s="2027">
        <v>2023</v>
      </c>
      <c r="C14" s="2038">
        <v>3</v>
      </c>
      <c r="D14" s="2003">
        <v>0.25</v>
      </c>
      <c r="E14" s="2003">
        <v>0.5</v>
      </c>
      <c r="F14" s="2003">
        <v>0.31</v>
      </c>
      <c r="G14" s="2003">
        <v>0.21</v>
      </c>
      <c r="H14" s="2914">
        <v>0.43</v>
      </c>
      <c r="I14" s="2004">
        <f t="shared" si="87"/>
        <v>0.31</v>
      </c>
      <c r="J14" s="2903"/>
      <c r="K14" s="2039">
        <f t="shared" ref="K14:K16" si="100">D14/100</f>
        <v>2.5000000000000001E-3</v>
      </c>
      <c r="L14" s="2024">
        <f t="shared" ref="L14:L16" si="101">E14/100</f>
        <v>5.0000000000000001E-3</v>
      </c>
      <c r="M14" s="2024">
        <f t="shared" ref="M14:M16" si="102">F14/100</f>
        <v>3.0999999999999999E-3</v>
      </c>
      <c r="N14" s="2024">
        <f t="shared" ref="N14:N16" si="103">G14/100</f>
        <v>2.0999999999999999E-3</v>
      </c>
      <c r="O14" s="2024">
        <f t="shared" ref="O14:O16" si="104">H14/100</f>
        <v>4.3E-3</v>
      </c>
      <c r="P14" s="2024">
        <f t="shared" ref="P14:P16" si="105">M14</f>
        <v>3.0999999999999999E-3</v>
      </c>
      <c r="Q14" s="2903"/>
      <c r="R14" s="2023">
        <f>ROUND(IF(项目基本情况!$B$8="出让",SUMPRODUCT(PRODUCT(1+K14:$K$24)),SUMPRODUCT(PRODUCT(1+K14:$K$23))),4)</f>
        <v>1.0783</v>
      </c>
      <c r="S14" s="2023">
        <f>ROUND(IF(项目基本情况!$B$8="出让",SUMPRODUCT(PRODUCT(1+L14:$L$24)),SUMPRODUCT(PRODUCT(1+L14:$L$23))),4)</f>
        <v>1.0447</v>
      </c>
      <c r="T14" s="2023">
        <f>ROUND(IF(项目基本情况!$B$8="出让",SUMPRODUCT(PRODUCT(1+M14:$M$24)),SUMPRODUCT(PRODUCT(1+M14:$M$23))),4)</f>
        <v>1.0282</v>
      </c>
      <c r="U14" s="2023">
        <f>ROUND(IF(项目基本情况!$B$8="出让",SUMPRODUCT(PRODUCT(1+N14:$N$24)),SUMPRODUCT(PRODUCT(1+N14:$N$23))),4)</f>
        <v>1.0841000000000001</v>
      </c>
      <c r="V14" s="2023">
        <f>ROUND(IF(项目基本情况!$B$8="出让",SUMPRODUCT(PRODUCT(1+O14:$O$24)),SUMPRODUCT(PRODUCT(1+O14:$O$23))),4)</f>
        <v>1.0674999999999999</v>
      </c>
      <c r="W14" s="2023">
        <f t="shared" ref="W14:W15" si="106">T14</f>
        <v>1.0282</v>
      </c>
      <c r="X14" s="2903"/>
      <c r="Y14" s="2024"/>
      <c r="Z14" s="2024"/>
      <c r="AA14" s="2024"/>
      <c r="AB14" s="2024"/>
      <c r="AC14" s="2024"/>
      <c r="AD14" s="2024"/>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101.99560397546495</v>
      </c>
      <c r="AN14" s="3150">
        <f t="shared" si="49"/>
        <v>101.04083690037147</v>
      </c>
      <c r="AO14" s="3150">
        <f t="shared" si="50"/>
        <v>103.72488713850174</v>
      </c>
      <c r="AP14" s="3150">
        <f t="shared" si="51"/>
        <v>101.51411068782971</v>
      </c>
      <c r="AQ14" s="3150">
        <f t="shared" si="52"/>
        <v>98.191842608380355</v>
      </c>
      <c r="AR14" s="3150">
        <f t="shared" si="53"/>
        <v>103.72488713850174</v>
      </c>
    </row>
    <row r="15" spans="1:44" s="2041" customFormat="1" ht="12.75">
      <c r="A15" s="2902" t="s">
        <v>3357</v>
      </c>
      <c r="B15" s="2027">
        <v>2023</v>
      </c>
      <c r="C15" s="2038">
        <v>2</v>
      </c>
      <c r="D15" s="2003">
        <v>0.91</v>
      </c>
      <c r="E15" s="2003">
        <v>0.66</v>
      </c>
      <c r="F15" s="2003">
        <v>0.47</v>
      </c>
      <c r="G15" s="2003">
        <v>0.96</v>
      </c>
      <c r="H15" s="2914">
        <v>0.71</v>
      </c>
      <c r="I15" s="2004">
        <f t="shared" si="87"/>
        <v>0.47</v>
      </c>
      <c r="J15" s="2903"/>
      <c r="K15" s="2039">
        <f t="shared" si="100"/>
        <v>9.1000000000000004E-3</v>
      </c>
      <c r="L15" s="2024">
        <f t="shared" si="101"/>
        <v>6.6E-3</v>
      </c>
      <c r="M15" s="2024">
        <f t="shared" si="102"/>
        <v>4.6999999999999993E-3</v>
      </c>
      <c r="N15" s="2024">
        <f t="shared" si="103"/>
        <v>9.5999999999999992E-3</v>
      </c>
      <c r="O15" s="2024">
        <f t="shared" si="104"/>
        <v>7.0999999999999995E-3</v>
      </c>
      <c r="P15" s="2024">
        <f t="shared" si="105"/>
        <v>4.6999999999999993E-3</v>
      </c>
      <c r="Q15" s="2903"/>
      <c r="R15" s="2023">
        <f>ROUND(IF(项目基本情况!$B$8="出让",SUMPRODUCT(PRODUCT(1+K15:$K$24)),SUMPRODUCT(PRODUCT(1+K15:$K$23))),4)</f>
        <v>1.0755999999999999</v>
      </c>
      <c r="S15" s="2023">
        <f>ROUND(IF(项目基本情况!$B$8="出让",SUMPRODUCT(PRODUCT(1+L15:$L$24)),SUMPRODUCT(PRODUCT(1+L15:$L$23))),4)</f>
        <v>1.0395000000000001</v>
      </c>
      <c r="T15" s="2023">
        <f>ROUND(IF(项目基本情况!$B$8="出让",SUMPRODUCT(PRODUCT(1+M15:$M$24)),SUMPRODUCT(PRODUCT(1+M15:$M$23))),4)</f>
        <v>1.0250999999999999</v>
      </c>
      <c r="U15" s="2023">
        <f>ROUND(IF(项目基本情况!$B$8="出让",SUMPRODUCT(PRODUCT(1+N15:$N$24)),SUMPRODUCT(PRODUCT(1+N15:$N$23))),4)</f>
        <v>1.0818000000000001</v>
      </c>
      <c r="V15" s="2023">
        <f>ROUND(IF(项目基本情况!$B$8="出让",SUMPRODUCT(PRODUCT(1+O15:$O$24)),SUMPRODUCT(PRODUCT(1+O15:$O$23))),4)</f>
        <v>1.0629999999999999</v>
      </c>
      <c r="W15" s="2023">
        <f t="shared" si="106"/>
        <v>1.0250999999999999</v>
      </c>
      <c r="X15" s="2903"/>
      <c r="Y15" s="2024"/>
      <c r="Z15" s="2024"/>
      <c r="AA15" s="2024"/>
      <c r="AB15" s="2024"/>
      <c r="AC15" s="2024"/>
      <c r="AD15" s="2024"/>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101.74125084834409</v>
      </c>
      <c r="AN15" s="3150">
        <f t="shared" si="49"/>
        <v>100.53814616952387</v>
      </c>
      <c r="AO15" s="3150">
        <f t="shared" si="50"/>
        <v>103.40433370401927</v>
      </c>
      <c r="AP15" s="3150">
        <f t="shared" si="51"/>
        <v>101.30137779446135</v>
      </c>
      <c r="AQ15" s="3150">
        <f t="shared" si="52"/>
        <v>97.771425478821428</v>
      </c>
      <c r="AR15" s="3150">
        <f t="shared" si="53"/>
        <v>103.40433370401927</v>
      </c>
    </row>
    <row r="16" spans="1:44" s="2041" customFormat="1" ht="12.75">
      <c r="A16" s="2902" t="s">
        <v>3356</v>
      </c>
      <c r="B16" s="2027">
        <v>2023</v>
      </c>
      <c r="C16" s="2038">
        <v>1</v>
      </c>
      <c r="D16" s="2003">
        <v>0.89</v>
      </c>
      <c r="E16" s="2003">
        <v>0.74</v>
      </c>
      <c r="F16" s="2003">
        <v>0.56999999999999995</v>
      </c>
      <c r="G16" s="2003">
        <v>0.92</v>
      </c>
      <c r="H16" s="2914">
        <v>0.5</v>
      </c>
      <c r="I16" s="2004">
        <f t="shared" si="87"/>
        <v>0.56999999999999995</v>
      </c>
      <c r="J16" s="2903"/>
      <c r="K16" s="2039">
        <f t="shared" si="100"/>
        <v>8.8999999999999999E-3</v>
      </c>
      <c r="L16" s="2024">
        <f t="shared" si="101"/>
        <v>7.4000000000000003E-3</v>
      </c>
      <c r="M16" s="2024">
        <f t="shared" si="102"/>
        <v>5.6999999999999993E-3</v>
      </c>
      <c r="N16" s="2024">
        <f t="shared" si="103"/>
        <v>9.1999999999999998E-3</v>
      </c>
      <c r="O16" s="2024">
        <f t="shared" si="104"/>
        <v>5.0000000000000001E-3</v>
      </c>
      <c r="P16" s="2024">
        <f t="shared" si="105"/>
        <v>5.6999999999999993E-3</v>
      </c>
      <c r="Q16" s="2903"/>
      <c r="R16" s="2023">
        <f>ROUND(IF(项目基本情况!$B$8="出让",SUMPRODUCT(PRODUCT(1+K16:$K$24)),SUMPRODUCT(PRODUCT(1+K16:$K$23))),4)</f>
        <v>1.0659000000000001</v>
      </c>
      <c r="S16" s="2023">
        <f>ROUND(IF(项目基本情况!$B$8="出让",SUMPRODUCT(PRODUCT(1+L16:$L$24)),SUMPRODUCT(PRODUCT(1+L16:$L$23))),4)</f>
        <v>1.0326</v>
      </c>
      <c r="T16" s="2023">
        <f>ROUND(IF(项目基本情况!$B$8="出让",SUMPRODUCT(PRODUCT(1+M16:$M$24)),SUMPRODUCT(PRODUCT(1+M16:$M$23))),4)</f>
        <v>1.0203</v>
      </c>
      <c r="U16" s="2023">
        <f>ROUND(IF(项目基本情况!$B$8="出让",SUMPRODUCT(PRODUCT(1+N16:$N$24)),SUMPRODUCT(PRODUCT(1+N16:$N$23))),4)</f>
        <v>1.0714999999999999</v>
      </c>
      <c r="V16" s="2023">
        <f>ROUND(IF(项目基本情况!$B$8="出让",SUMPRODUCT(PRODUCT(1+O16:$O$24)),SUMPRODUCT(PRODUCT(1+O16:$O$23))),4)</f>
        <v>1.0555000000000001</v>
      </c>
      <c r="W16" s="2023">
        <f t="shared" ref="W16:W23" si="107">T16</f>
        <v>1.0203</v>
      </c>
      <c r="X16" s="2903"/>
      <c r="Y16" s="2024"/>
      <c r="Z16" s="2024"/>
      <c r="AA16" s="2024"/>
      <c r="AB16" s="2024"/>
      <c r="AC16" s="2024"/>
      <c r="AD16" s="2024"/>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100.82375468074926</v>
      </c>
      <c r="AN16" s="3150">
        <f t="shared" si="49"/>
        <v>99.878945131654959</v>
      </c>
      <c r="AO16" s="3150">
        <f t="shared" si="50"/>
        <v>102.92060685181573</v>
      </c>
      <c r="AP16" s="3150">
        <f t="shared" si="51"/>
        <v>100.33813172985474</v>
      </c>
      <c r="AQ16" s="3150">
        <f t="shared" si="52"/>
        <v>97.082142268713554</v>
      </c>
      <c r="AR16" s="3150">
        <f t="shared" si="53"/>
        <v>102.92060685181573</v>
      </c>
    </row>
    <row r="17" spans="1:44" s="2041" customFormat="1" ht="12.75">
      <c r="A17" s="2902" t="s">
        <v>3355</v>
      </c>
      <c r="B17" s="2027">
        <v>2022</v>
      </c>
      <c r="C17" s="2038">
        <v>4</v>
      </c>
      <c r="D17" s="2003">
        <v>0.62</v>
      </c>
      <c r="E17" s="2003">
        <v>0.2</v>
      </c>
      <c r="F17" s="2003">
        <v>0.11</v>
      </c>
      <c r="G17" s="2003">
        <v>0.69</v>
      </c>
      <c r="H17" s="2914">
        <v>0.53</v>
      </c>
      <c r="I17" s="2004">
        <f t="shared" si="87"/>
        <v>0.11</v>
      </c>
      <c r="J17" s="2903"/>
      <c r="K17" s="2039">
        <f t="shared" si="88"/>
        <v>6.1999999999999998E-3</v>
      </c>
      <c r="L17" s="2024">
        <f t="shared" si="88"/>
        <v>2E-3</v>
      </c>
      <c r="M17" s="2024">
        <f t="shared" si="88"/>
        <v>1.1000000000000001E-3</v>
      </c>
      <c r="N17" s="2024">
        <f t="shared" si="88"/>
        <v>6.8999999999999999E-3</v>
      </c>
      <c r="O17" s="2024">
        <f t="shared" si="88"/>
        <v>5.3E-3</v>
      </c>
      <c r="P17" s="2024">
        <f t="shared" ref="P17:P24" si="108">M17</f>
        <v>1.1000000000000001E-3</v>
      </c>
      <c r="Q17" s="2903"/>
      <c r="R17" s="2023">
        <f>ROUND(IF(项目基本情况!$B$8="出让",SUMPRODUCT(PRODUCT(1+K17:$K$24)),SUMPRODUCT(PRODUCT(1+K17:$K$23))),4)</f>
        <v>1.0565</v>
      </c>
      <c r="S17" s="2023">
        <f>ROUND(IF(项目基本情况!$B$8="出让",SUMPRODUCT(PRODUCT(1+L17:$L$24)),SUMPRODUCT(PRODUCT(1+L17:$L$23))),4)</f>
        <v>1.0250999999999999</v>
      </c>
      <c r="T17" s="2023">
        <f>ROUND(IF(项目基本情况!$B$8="出让",SUMPRODUCT(PRODUCT(1+M17:$M$24)),SUMPRODUCT(PRODUCT(1+M17:$M$23))),4)</f>
        <v>1.0145</v>
      </c>
      <c r="U17" s="2023">
        <f>ROUND(IF(项目基本情况!$B$8="出让",SUMPRODUCT(PRODUCT(1+N17:$N$24)),SUMPRODUCT(PRODUCT(1+N17:$N$23))),4)</f>
        <v>1.0618000000000001</v>
      </c>
      <c r="V17" s="2023">
        <f>ROUND(IF(项目基本情况!$B$8="出让",SUMPRODUCT(PRODUCT(1+O17:$O$24)),SUMPRODUCT(PRODUCT(1+O17:$O$23))),4)</f>
        <v>1.0502</v>
      </c>
      <c r="W17" s="2023">
        <f t="shared" si="107"/>
        <v>1.0145</v>
      </c>
      <c r="X17" s="2903"/>
      <c r="Y17" s="2024">
        <f>IF(D17=0,0,ROUND(AVERAGE(D17:D25)/100,4))</f>
        <v>8.0999999999999996E-3</v>
      </c>
      <c r="Z17" s="2024">
        <f t="shared" ref="Z17:AC17" si="109">IF(E17=0,0,ROUND(AVERAGE(E17:E24)/100,4))</f>
        <v>3.3E-3</v>
      </c>
      <c r="AA17" s="2024">
        <f t="shared" si="109"/>
        <v>1.5E-3</v>
      </c>
      <c r="AB17" s="2024">
        <f t="shared" si="109"/>
        <v>8.8999999999999999E-3</v>
      </c>
      <c r="AC17" s="2024">
        <f t="shared" si="109"/>
        <v>6.6E-3</v>
      </c>
      <c r="AD17" s="2024">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99.934339063087791</v>
      </c>
      <c r="AN17" s="3150">
        <f t="shared" si="49"/>
        <v>99.145270132673176</v>
      </c>
      <c r="AO17" s="3150">
        <f t="shared" si="50"/>
        <v>102.3372843311283</v>
      </c>
      <c r="AP17" s="3150">
        <f t="shared" si="51"/>
        <v>99.423436117573061</v>
      </c>
      <c r="AQ17" s="3150">
        <f t="shared" si="52"/>
        <v>96.599146536033402</v>
      </c>
      <c r="AR17" s="3150">
        <f t="shared" si="53"/>
        <v>102.3372843311283</v>
      </c>
    </row>
    <row r="18" spans="1:44" s="2041" customFormat="1" ht="12.75">
      <c r="A18" s="2902" t="s">
        <v>3353</v>
      </c>
      <c r="B18" s="2027">
        <v>2022</v>
      </c>
      <c r="C18" s="2038">
        <v>3</v>
      </c>
      <c r="D18" s="2003">
        <v>0.66</v>
      </c>
      <c r="E18" s="2003">
        <v>0.32</v>
      </c>
      <c r="F18" s="2003">
        <v>0.23</v>
      </c>
      <c r="G18" s="2003">
        <v>0.72</v>
      </c>
      <c r="H18" s="2914">
        <v>0.63</v>
      </c>
      <c r="I18" s="2004">
        <f t="shared" si="87"/>
        <v>0.23</v>
      </c>
      <c r="J18" s="2903"/>
      <c r="K18" s="2039">
        <f t="shared" si="88"/>
        <v>6.6E-3</v>
      </c>
      <c r="L18" s="2024">
        <f t="shared" si="88"/>
        <v>3.2000000000000002E-3</v>
      </c>
      <c r="M18" s="2024">
        <f t="shared" si="88"/>
        <v>2.3E-3</v>
      </c>
      <c r="N18" s="2024">
        <f t="shared" si="88"/>
        <v>7.1999999999999998E-3</v>
      </c>
      <c r="O18" s="2024">
        <f t="shared" si="88"/>
        <v>6.3E-3</v>
      </c>
      <c r="P18" s="2024">
        <f t="shared" si="108"/>
        <v>2.3E-3</v>
      </c>
      <c r="Q18" s="2903"/>
      <c r="R18" s="2023">
        <f>ROUND(IF(项目基本情况!$B$8="出让",SUMPRODUCT(PRODUCT(1+K18:$K$24)),SUMPRODUCT(PRODUCT(1+K18:$K$23))),4)</f>
        <v>1.05</v>
      </c>
      <c r="S18" s="2023">
        <f>ROUND(IF(项目基本情况!$B$8="出让",SUMPRODUCT(PRODUCT(1+L18:$L$24)),SUMPRODUCT(PRODUCT(1+L18:$L$23))),4)</f>
        <v>1.0229999999999999</v>
      </c>
      <c r="T18" s="2023">
        <f>ROUND(IF(项目基本情况!$B$8="出让",SUMPRODUCT(PRODUCT(1+M18:$M$24)),SUMPRODUCT(PRODUCT(1+M18:$M$23))),4)</f>
        <v>1.0134000000000001</v>
      </c>
      <c r="U18" s="2023">
        <f>ROUND(IF(项目基本情况!$B$8="出让",SUMPRODUCT(PRODUCT(1+N18:$N$24)),SUMPRODUCT(PRODUCT(1+N18:$N$23))),4)</f>
        <v>1.0545</v>
      </c>
      <c r="V18" s="2023">
        <f>ROUND(IF(项目基本情况!$B$8="出让",SUMPRODUCT(PRODUCT(1+O18:$O$24)),SUMPRODUCT(PRODUCT(1+O18:$O$23))),4)</f>
        <v>1.0447</v>
      </c>
      <c r="W18" s="2023">
        <f t="shared" si="107"/>
        <v>1.0134000000000001</v>
      </c>
      <c r="X18" s="2903"/>
      <c r="Y18" s="2024">
        <f>IF(D18=0,0,ROUND(AVERAGE(D18:D24)/100,4))</f>
        <v>8.3999999999999995E-3</v>
      </c>
      <c r="Z18" s="2024">
        <f t="shared" ref="Z18:AC18" si="110">IF(E18=0,0,ROUND(AVERAGE(E18:E24)/100,4))</f>
        <v>3.5000000000000001E-3</v>
      </c>
      <c r="AA18" s="2024">
        <f t="shared" si="110"/>
        <v>1.5E-3</v>
      </c>
      <c r="AB18" s="2024">
        <f t="shared" si="110"/>
        <v>9.1999999999999998E-3</v>
      </c>
      <c r="AC18" s="2024">
        <f t="shared" si="110"/>
        <v>6.7999999999999996E-3</v>
      </c>
      <c r="AD18" s="2024">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99.318563966495518</v>
      </c>
      <c r="AN18" s="3150">
        <f t="shared" si="49"/>
        <v>98.947375381909353</v>
      </c>
      <c r="AO18" s="3150">
        <f t="shared" si="50"/>
        <v>102.22483701041683</v>
      </c>
      <c r="AP18" s="3150">
        <f t="shared" si="51"/>
        <v>98.742115520481747</v>
      </c>
      <c r="AQ18" s="3150">
        <f t="shared" si="52"/>
        <v>96.089870223847001</v>
      </c>
      <c r="AR18" s="3150">
        <f t="shared" si="53"/>
        <v>102.22483701041683</v>
      </c>
    </row>
    <row r="19" spans="1:44" s="2041" customFormat="1" ht="12.75">
      <c r="A19" s="2902" t="s">
        <v>3344</v>
      </c>
      <c r="B19" s="2027">
        <v>2022</v>
      </c>
      <c r="C19" s="2038">
        <v>2</v>
      </c>
      <c r="D19" s="2003">
        <v>0.93</v>
      </c>
      <c r="E19" s="2003">
        <v>0.15</v>
      </c>
      <c r="F19" s="2003">
        <v>0.01</v>
      </c>
      <c r="G19" s="2003">
        <v>1.05</v>
      </c>
      <c r="H19" s="2914">
        <v>1.08</v>
      </c>
      <c r="I19" s="2004">
        <f t="shared" si="87"/>
        <v>0.01</v>
      </c>
      <c r="J19" s="2903"/>
      <c r="K19" s="2039">
        <f t="shared" si="88"/>
        <v>9.300000000000001E-3</v>
      </c>
      <c r="L19" s="2024">
        <f t="shared" si="88"/>
        <v>1.5E-3</v>
      </c>
      <c r="M19" s="2024">
        <f t="shared" si="88"/>
        <v>1E-4</v>
      </c>
      <c r="N19" s="2024">
        <f t="shared" si="88"/>
        <v>1.0500000000000001E-2</v>
      </c>
      <c r="O19" s="2024">
        <f t="shared" si="88"/>
        <v>1.0800000000000001E-2</v>
      </c>
      <c r="P19" s="2024">
        <f t="shared" si="108"/>
        <v>1E-4</v>
      </c>
      <c r="Q19" s="2903"/>
      <c r="R19" s="2023">
        <f>ROUND(IF(项目基本情况!$B$8="出让",SUMPRODUCT(PRODUCT(1+K19:$K$24)),SUMPRODUCT(PRODUCT(1+K19:$K$23))),4)</f>
        <v>1.0430999999999999</v>
      </c>
      <c r="S19" s="2023">
        <f>ROUND(IF(项目基本情况!$B$8="出让",SUMPRODUCT(PRODUCT(1+L19:$L$24)),SUMPRODUCT(PRODUCT(1+L19:$L$23))),4)</f>
        <v>1.0197000000000001</v>
      </c>
      <c r="T19" s="2023">
        <f>ROUND(IF(项目基本情况!$B$8="出让",SUMPRODUCT(PRODUCT(1+M19:$M$24)),SUMPRODUCT(PRODUCT(1+M19:$M$23))),4)</f>
        <v>1.0109999999999999</v>
      </c>
      <c r="U19" s="2023">
        <f>ROUND(IF(项目基本情况!$B$8="出让",SUMPRODUCT(PRODUCT(1+N19:$N$24)),SUMPRODUCT(PRODUCT(1+N19:$N$23))),4)</f>
        <v>1.0468999999999999</v>
      </c>
      <c r="V19" s="2023">
        <f>ROUND(IF(项目基本情况!$B$8="出让",SUMPRODUCT(PRODUCT(1+O19:$O$24)),SUMPRODUCT(PRODUCT(1+O19:$O$23))),4)</f>
        <v>1.0382</v>
      </c>
      <c r="W19" s="2023">
        <f t="shared" si="107"/>
        <v>1.0109999999999999</v>
      </c>
      <c r="X19" s="2903"/>
      <c r="Y19" s="2024">
        <f>IF(D19=0,0,ROUND(AVERAGE(D19:D24)/100,4))</f>
        <v>8.6999999999999994E-3</v>
      </c>
      <c r="Z19" s="2024">
        <f t="shared" ref="Z19:AC19" si="111">IF(E19=0,0,ROUND(AVERAGE(E19:E24)/100,4))</f>
        <v>3.5000000000000001E-3</v>
      </c>
      <c r="AA19" s="2024">
        <f t="shared" si="111"/>
        <v>1.4E-3</v>
      </c>
      <c r="AB19" s="2024">
        <f t="shared" si="111"/>
        <v>9.4999999999999998E-3</v>
      </c>
      <c r="AC19" s="2024">
        <f t="shared" si="111"/>
        <v>6.8999999999999999E-3</v>
      </c>
      <c r="AD19" s="2024">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98.667359394491882</v>
      </c>
      <c r="AN19" s="3150">
        <f t="shared" si="49"/>
        <v>98.631753769845844</v>
      </c>
      <c r="AO19" s="3150">
        <f t="shared" si="50"/>
        <v>101.99025941376517</v>
      </c>
      <c r="AP19" s="3150">
        <f t="shared" si="51"/>
        <v>98.036254488166932</v>
      </c>
      <c r="AQ19" s="3150">
        <f t="shared" si="52"/>
        <v>95.488293971824504</v>
      </c>
      <c r="AR19" s="3150">
        <f t="shared" si="53"/>
        <v>101.99025941376517</v>
      </c>
    </row>
    <row r="20" spans="1:44" s="2041" customFormat="1" ht="12.75">
      <c r="A20" s="2902" t="s">
        <v>2810</v>
      </c>
      <c r="B20" s="2027">
        <v>2022</v>
      </c>
      <c r="C20" s="2038">
        <v>1</v>
      </c>
      <c r="D20" s="2003">
        <v>0.89</v>
      </c>
      <c r="E20" s="2003">
        <v>0.44</v>
      </c>
      <c r="F20" s="2003">
        <v>0.37</v>
      </c>
      <c r="G20" s="2003">
        <v>0.96</v>
      </c>
      <c r="H20" s="2914">
        <v>0.64</v>
      </c>
      <c r="I20" s="2004">
        <f t="shared" si="87"/>
        <v>0.37</v>
      </c>
      <c r="J20" s="2903"/>
      <c r="K20" s="2039">
        <f t="shared" si="88"/>
        <v>8.8999999999999999E-3</v>
      </c>
      <c r="L20" s="2024">
        <f t="shared" si="88"/>
        <v>4.4000000000000003E-3</v>
      </c>
      <c r="M20" s="2024">
        <f t="shared" si="88"/>
        <v>3.7000000000000002E-3</v>
      </c>
      <c r="N20" s="2024">
        <f t="shared" si="88"/>
        <v>9.5999999999999992E-3</v>
      </c>
      <c r="O20" s="2024">
        <f t="shared" si="88"/>
        <v>6.4000000000000003E-3</v>
      </c>
      <c r="P20" s="2024">
        <f t="shared" si="108"/>
        <v>3.7000000000000002E-3</v>
      </c>
      <c r="Q20" s="2903"/>
      <c r="R20" s="2023">
        <f>ROUND(IF(项目基本情况!$B$8="出让",SUMPRODUCT(PRODUCT(1+K20:$K$24)),SUMPRODUCT(PRODUCT(1+K20:$K$23))),4)</f>
        <v>1.0335000000000001</v>
      </c>
      <c r="S20" s="2023">
        <f>ROUND(IF(项目基本情况!$B$8="出让",SUMPRODUCT(PRODUCT(1+L20:$L$24)),SUMPRODUCT(PRODUCT(1+L20:$L$23))),4)</f>
        <v>1.0182</v>
      </c>
      <c r="T20" s="2023">
        <f>ROUND(IF(项目基本情况!$B$8="出让",SUMPRODUCT(PRODUCT(1+M20:$M$24)),SUMPRODUCT(PRODUCT(1+M20:$M$23))),4)</f>
        <v>1.0108999999999999</v>
      </c>
      <c r="U20" s="2023">
        <f>ROUND(IF(项目基本情况!$B$8="出让",SUMPRODUCT(PRODUCT(1+N20:$N$24)),SUMPRODUCT(PRODUCT(1+N20:$N$23))),4)</f>
        <v>1.0361</v>
      </c>
      <c r="V20" s="2023">
        <f>ROUND(IF(项目基本情况!$B$8="出让",SUMPRODUCT(PRODUCT(1+O20:$O$24)),SUMPRODUCT(PRODUCT(1+O20:$O$23))),4)</f>
        <v>1.0270999999999999</v>
      </c>
      <c r="W20" s="2023">
        <f t="shared" si="107"/>
        <v>1.0108999999999999</v>
      </c>
      <c r="X20" s="2903"/>
      <c r="Y20" s="2024">
        <f>IF(D20=0,0,ROUND(AVERAGE(D20:D24)/100,4))</f>
        <v>8.6E-3</v>
      </c>
      <c r="Z20" s="2024">
        <f t="shared" ref="Z20:AC20" si="112">IF(E20=0,0,ROUND(AVERAGE(E20:E24)/100,4))</f>
        <v>3.8999999999999998E-3</v>
      </c>
      <c r="AA20" s="2024">
        <f t="shared" si="112"/>
        <v>1.6999999999999999E-3</v>
      </c>
      <c r="AB20" s="2024">
        <f t="shared" si="112"/>
        <v>9.2999999999999992E-3</v>
      </c>
      <c r="AC20" s="2024">
        <f t="shared" si="112"/>
        <v>6.1000000000000004E-3</v>
      </c>
      <c r="AD20" s="2024">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97.758208059538163</v>
      </c>
      <c r="AN20" s="3150">
        <f t="shared" si="49"/>
        <v>98.484027728253452</v>
      </c>
      <c r="AO20" s="3150">
        <f t="shared" si="50"/>
        <v>101.98006140762442</v>
      </c>
      <c r="AP20" s="3150">
        <f t="shared" si="51"/>
        <v>97.017570003134026</v>
      </c>
      <c r="AQ20" s="3150">
        <f t="shared" si="52"/>
        <v>94.468039149015155</v>
      </c>
      <c r="AR20" s="3150">
        <f t="shared" si="53"/>
        <v>101.98006140762442</v>
      </c>
    </row>
    <row r="21" spans="1:44" s="2041" customFormat="1" ht="12.75">
      <c r="A21" s="2902" t="s">
        <v>2811</v>
      </c>
      <c r="B21" s="2027">
        <v>2021</v>
      </c>
      <c r="C21" s="2038">
        <v>4</v>
      </c>
      <c r="D21" s="2003">
        <v>1.03</v>
      </c>
      <c r="E21" s="2003">
        <v>0.24</v>
      </c>
      <c r="F21" s="2003">
        <v>7.0000000000000007E-2</v>
      </c>
      <c r="G21" s="2003">
        <v>1.17</v>
      </c>
      <c r="H21" s="2914">
        <v>0.55000000000000004</v>
      </c>
      <c r="I21" s="2004">
        <f t="shared" si="87"/>
        <v>7.0000000000000007E-2</v>
      </c>
      <c r="J21" s="2903"/>
      <c r="K21" s="2039">
        <f t="shared" si="88"/>
        <v>1.03E-2</v>
      </c>
      <c r="L21" s="2024">
        <f t="shared" si="88"/>
        <v>2.3999999999999998E-3</v>
      </c>
      <c r="M21" s="2024">
        <f t="shared" si="88"/>
        <v>7.000000000000001E-4</v>
      </c>
      <c r="N21" s="2024">
        <f t="shared" si="88"/>
        <v>1.1699999999999999E-2</v>
      </c>
      <c r="O21" s="2024">
        <f t="shared" si="88"/>
        <v>5.5000000000000005E-3</v>
      </c>
      <c r="P21" s="2024">
        <f t="shared" si="108"/>
        <v>7.000000000000001E-4</v>
      </c>
      <c r="Q21" s="2903"/>
      <c r="R21" s="2023">
        <f>ROUND(IF(项目基本情况!$B$8="出让",SUMPRODUCT(PRODUCT(1+K21:$K$24)),SUMPRODUCT(PRODUCT(1+K21:$K$23))),4)</f>
        <v>1.0244</v>
      </c>
      <c r="S21" s="2023">
        <f>ROUND(IF(项目基本情况!$B$8="出让",SUMPRODUCT(PRODUCT(1+L21:$L$24)),SUMPRODUCT(PRODUCT(1+L21:$L$23))),4)</f>
        <v>1.0138</v>
      </c>
      <c r="T21" s="2023">
        <f>ROUND(IF(项目基本情况!$B$8="出让",SUMPRODUCT(PRODUCT(1+M21:$M$24)),SUMPRODUCT(PRODUCT(1+M21:$M$23))),4)</f>
        <v>1.0072000000000001</v>
      </c>
      <c r="U21" s="2023">
        <f>ROUND(IF(项目基本情况!$B$8="出让",SUMPRODUCT(PRODUCT(1+N21:$N$24)),SUMPRODUCT(PRODUCT(1+N21:$N$23))),4)</f>
        <v>1.0262</v>
      </c>
      <c r="V21" s="2023">
        <f>ROUND(IF(项目基本情况!$B$8="出让",SUMPRODUCT(PRODUCT(1+O21:$O$24)),SUMPRODUCT(PRODUCT(1+O21:$O$23))),4)</f>
        <v>1.0205</v>
      </c>
      <c r="W21" s="2023">
        <f t="shared" si="107"/>
        <v>1.0072000000000001</v>
      </c>
      <c r="X21" s="2903"/>
      <c r="Y21" s="2024">
        <f>IF(D21=0,0,ROUND(AVERAGE(D21:D24)/100,4))</f>
        <v>8.5000000000000006E-3</v>
      </c>
      <c r="Z21" s="2024">
        <f t="shared" ref="Z21:AC21" si="113">IF(E21=0,0,ROUND(AVERAGE(E21:E24)/100,4))</f>
        <v>3.8E-3</v>
      </c>
      <c r="AA21" s="2024">
        <f t="shared" si="113"/>
        <v>1.1999999999999999E-3</v>
      </c>
      <c r="AB21" s="2024">
        <f t="shared" si="113"/>
        <v>9.2999999999999992E-3</v>
      </c>
      <c r="AC21" s="2024">
        <f t="shared" si="113"/>
        <v>6.0000000000000001E-3</v>
      </c>
      <c r="AD21" s="2024">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96.895835126908679</v>
      </c>
      <c r="AN21" s="3150">
        <f t="shared" si="49"/>
        <v>98.0525963045136</v>
      </c>
      <c r="AO21" s="3150">
        <f t="shared" si="50"/>
        <v>101.60412614090308</v>
      </c>
      <c r="AP21" s="3150">
        <f t="shared" si="51"/>
        <v>96.095057451598677</v>
      </c>
      <c r="AQ21" s="3150">
        <f t="shared" si="52"/>
        <v>93.867288502598527</v>
      </c>
      <c r="AR21" s="3150">
        <f t="shared" si="53"/>
        <v>101.60412614090308</v>
      </c>
    </row>
    <row r="22" spans="1:44" s="2041" customFormat="1" ht="12.75">
      <c r="A22" s="2902" t="s">
        <v>2812</v>
      </c>
      <c r="B22" s="2027">
        <v>2021</v>
      </c>
      <c r="C22" s="2038">
        <v>3</v>
      </c>
      <c r="D22" s="2003">
        <v>0.47</v>
      </c>
      <c r="E22" s="2003">
        <v>0.41</v>
      </c>
      <c r="F22" s="2003">
        <v>0.24</v>
      </c>
      <c r="G22" s="2003">
        <v>0.48</v>
      </c>
      <c r="H22" s="2914">
        <v>0.48</v>
      </c>
      <c r="I22" s="2004">
        <f t="shared" si="87"/>
        <v>0.24</v>
      </c>
      <c r="J22" s="2903"/>
      <c r="K22" s="2039">
        <f t="shared" si="88"/>
        <v>4.6999999999999993E-3</v>
      </c>
      <c r="L22" s="2024">
        <f t="shared" si="88"/>
        <v>4.0999999999999995E-3</v>
      </c>
      <c r="M22" s="2024">
        <f t="shared" si="88"/>
        <v>2.3999999999999998E-3</v>
      </c>
      <c r="N22" s="2024">
        <f t="shared" si="88"/>
        <v>4.7999999999999996E-3</v>
      </c>
      <c r="O22" s="2024">
        <f t="shared" si="88"/>
        <v>4.7999999999999996E-3</v>
      </c>
      <c r="P22" s="2024">
        <f t="shared" si="108"/>
        <v>2.3999999999999998E-3</v>
      </c>
      <c r="Q22" s="2903"/>
      <c r="R22" s="2023">
        <f>ROUND(IF(项目基本情况!$B$8="出让",SUMPRODUCT(PRODUCT(1+K22:$K$24)),SUMPRODUCT(PRODUCT(1+K22:$K$23))),4)</f>
        <v>1.0139</v>
      </c>
      <c r="S22" s="2023">
        <f>ROUND(IF(项目基本情况!$B$8="出让",SUMPRODUCT(PRODUCT(1+L22:$L$24)),SUMPRODUCT(PRODUCT(1+L22:$L$23))),4)</f>
        <v>1.0113000000000001</v>
      </c>
      <c r="T22" s="2023">
        <f>ROUND(IF(项目基本情况!$B$8="出让",SUMPRODUCT(PRODUCT(1+M22:$M$24)),SUMPRODUCT(PRODUCT(1+M22:$M$23))),4)</f>
        <v>1.0065</v>
      </c>
      <c r="U22" s="2023">
        <f>ROUND(IF(项目基本情况!$B$8="出让",SUMPRODUCT(PRODUCT(1+N22:$N$24)),SUMPRODUCT(PRODUCT(1+N22:$N$23))),4)</f>
        <v>1.0143</v>
      </c>
      <c r="V22" s="2023">
        <f>ROUND(IF(项目基本情况!$B$8="出让",SUMPRODUCT(PRODUCT(1+O22:$O$24)),SUMPRODUCT(PRODUCT(1+O22:$O$23))),4)</f>
        <v>1.0148999999999999</v>
      </c>
      <c r="W22" s="2023">
        <f t="shared" si="107"/>
        <v>1.0065</v>
      </c>
      <c r="X22" s="2903"/>
      <c r="Y22" s="2024">
        <f>IF(D22=0,0,ROUND(AVERAGE(D22:D24)/100,4))</f>
        <v>7.9000000000000008E-3</v>
      </c>
      <c r="Z22" s="2024">
        <f>IF(E22=0,0,ROUND(AVERAGE(E22:E24)/100,4))</f>
        <v>4.3E-3</v>
      </c>
      <c r="AA22" s="2024">
        <f>IF(F22=0,0,ROUND(AVERAGE(F22:F24)/100,4))</f>
        <v>1.2999999999999999E-3</v>
      </c>
      <c r="AB22" s="2024">
        <f>IF(G22=0,0,ROUND(AVERAGE(G22:G24)/100,4))</f>
        <v>8.5000000000000006E-3</v>
      </c>
      <c r="AC22" s="2024">
        <f>IF(H22=0,0,ROUND(AVERAGE(H22:H24)/100,4))</f>
        <v>6.1999999999999998E-3</v>
      </c>
      <c r="AD22" s="2024">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95.907982903007706</v>
      </c>
      <c r="AN22" s="3150">
        <f t="shared" si="49"/>
        <v>97.81783350410376</v>
      </c>
      <c r="AO22" s="3150">
        <f t="shared" si="50"/>
        <v>101.53305300380042</v>
      </c>
      <c r="AP22" s="3150">
        <f t="shared" si="51"/>
        <v>94.983747604624568</v>
      </c>
      <c r="AQ22" s="3150">
        <f t="shared" si="52"/>
        <v>93.353842369565911</v>
      </c>
      <c r="AR22" s="3150">
        <f t="shared" si="53"/>
        <v>101.53305300380042</v>
      </c>
    </row>
    <row r="23" spans="1:44" s="2041" customFormat="1" ht="12.75">
      <c r="A23" s="2902" t="s">
        <v>2813</v>
      </c>
      <c r="B23" s="2027">
        <v>2021</v>
      </c>
      <c r="C23" s="2038">
        <v>2</v>
      </c>
      <c r="D23" s="2003">
        <v>0.92</v>
      </c>
      <c r="E23" s="2003">
        <v>0.72</v>
      </c>
      <c r="F23" s="2003">
        <v>0.41</v>
      </c>
      <c r="G23" s="2003">
        <v>0.95</v>
      </c>
      <c r="H23" s="2914">
        <v>1.01</v>
      </c>
      <c r="I23" s="2004">
        <f t="shared" si="87"/>
        <v>0.41</v>
      </c>
      <c r="J23" s="2903"/>
      <c r="K23" s="2039">
        <f t="shared" si="88"/>
        <v>9.1999999999999998E-3</v>
      </c>
      <c r="L23" s="2024">
        <f t="shared" si="88"/>
        <v>7.1999999999999998E-3</v>
      </c>
      <c r="M23" s="2024">
        <f t="shared" si="88"/>
        <v>4.0999999999999995E-3</v>
      </c>
      <c r="N23" s="2024">
        <f t="shared" si="88"/>
        <v>9.4999999999999998E-3</v>
      </c>
      <c r="O23" s="2024">
        <f t="shared" si="88"/>
        <v>1.01E-2</v>
      </c>
      <c r="P23" s="2024">
        <f t="shared" si="108"/>
        <v>4.0999999999999995E-3</v>
      </c>
      <c r="Q23" s="2903"/>
      <c r="R23" s="2023">
        <f>ROUND(IF(项目基本情况!$B$8="出让",SUMPRODUCT(PRODUCT(1+K23:$K$24)),SUMPRODUCT(PRODUCT(1+K23:$K$23))),4)</f>
        <v>1.0092000000000001</v>
      </c>
      <c r="S23" s="2023">
        <f>ROUND(IF(项目基本情况!$B$8="出让",SUMPRODUCT(PRODUCT(1+L23:$L$24)),SUMPRODUCT(PRODUCT(1+L23:$L$23))),4)</f>
        <v>1.0072000000000001</v>
      </c>
      <c r="T23" s="2023">
        <f>ROUND(IF(项目基本情况!$B$8="出让",SUMPRODUCT(PRODUCT(1+M23:$M$24)),SUMPRODUCT(PRODUCT(1+M23:$M$23))),4)</f>
        <v>1.0041</v>
      </c>
      <c r="U23" s="2023">
        <f>ROUND(IF(项目基本情况!$B$8="出让",SUMPRODUCT(PRODUCT(1+N23:$N$24)),SUMPRODUCT(PRODUCT(1+N23:$N$23))),4)</f>
        <v>1.0095000000000001</v>
      </c>
      <c r="V23" s="2023">
        <f>ROUND(IF(项目基本情况!$B$8="出让",SUMPRODUCT(PRODUCT(1+O23:$O$24)),SUMPRODUCT(PRODUCT(1+O23:$O$23))),4)</f>
        <v>1.0101</v>
      </c>
      <c r="W23" s="2023">
        <f t="shared" si="107"/>
        <v>1.0041</v>
      </c>
      <c r="X23" s="2903"/>
      <c r="Y23" s="2024">
        <f>IF(D23=0,0,ROUND(AVERAGE(D23:D24)/100,4))</f>
        <v>9.4999999999999998E-3</v>
      </c>
      <c r="Z23" s="2024">
        <f>IF(E23=0,0,ROUND(AVERAGE(E23:E24)/100,4))</f>
        <v>4.4000000000000003E-3</v>
      </c>
      <c r="AA23" s="2024">
        <f>IF(F23=0,0,ROUND(AVERAGE(F23:F24)/100,4))</f>
        <v>8.0000000000000004E-4</v>
      </c>
      <c r="AB23" s="2024">
        <f>IF(G23=0,0,ROUND(AVERAGE(G23:G24)/100,4))</f>
        <v>1.03E-2</v>
      </c>
      <c r="AC23" s="2024">
        <f>IF(H23=0,0,ROUND(AVERAGE(H23:H24)/100,4))</f>
        <v>6.8999999999999999E-3</v>
      </c>
      <c r="AD23" s="2024">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95.459324079832498</v>
      </c>
      <c r="AN23" s="3150">
        <f t="shared" si="49"/>
        <v>97.418417990343357</v>
      </c>
      <c r="AO23" s="3150">
        <f t="shared" si="50"/>
        <v>101.28995710674424</v>
      </c>
      <c r="AP23" s="3150">
        <f t="shared" si="51"/>
        <v>94.530003587405034</v>
      </c>
      <c r="AQ23" s="3150">
        <f t="shared" si="52"/>
        <v>92.907884523851436</v>
      </c>
      <c r="AR23" s="3150">
        <f t="shared" si="53"/>
        <v>101.28995710674424</v>
      </c>
    </row>
    <row r="24" spans="1:44" s="2925" customFormat="1" ht="14.25" thickBot="1">
      <c r="A24" s="2915" t="s">
        <v>2814</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94.589104320087685</v>
      </c>
      <c r="AN24" s="3157">
        <f t="shared" si="49"/>
        <v>96.722019450301175</v>
      </c>
      <c r="AO24" s="3157">
        <f t="shared" si="50"/>
        <v>100.87636401428567</v>
      </c>
      <c r="AP24" s="3157">
        <f t="shared" si="51"/>
        <v>93.640419601193685</v>
      </c>
      <c r="AQ24" s="3157">
        <f t="shared" si="52"/>
        <v>91.978897657510586</v>
      </c>
      <c r="AR24" s="3157">
        <f t="shared" si="53"/>
        <v>100.87636401428567</v>
      </c>
    </row>
    <row r="25" spans="1:44" ht="14.25" thickTop="1"/>
    <row r="26" spans="1:44">
      <c r="A26" s="3140" t="s">
        <v>3370</v>
      </c>
    </row>
    <row r="27" spans="1:44">
      <c r="I27" s="1403" t="s">
        <v>2815</v>
      </c>
    </row>
    <row r="29" spans="1:44" s="2005" customFormat="1" ht="12.75">
      <c r="B29" s="2926" t="s">
        <v>3368</v>
      </c>
      <c r="C29" s="2927"/>
      <c r="D29" s="2927"/>
      <c r="E29" s="2927"/>
      <c r="F29" s="2927"/>
      <c r="G29" s="2927"/>
      <c r="H29" s="2927"/>
      <c r="I29" s="2927"/>
      <c r="J29" s="2893"/>
      <c r="K29" s="2927" t="s">
        <v>2816</v>
      </c>
      <c r="L29" s="2927"/>
      <c r="M29" s="2927"/>
      <c r="N29" s="2927"/>
      <c r="O29" s="2927"/>
      <c r="P29" s="2927"/>
      <c r="Q29" s="2893"/>
      <c r="R29" s="3514" t="s">
        <v>2817</v>
      </c>
      <c r="S29" s="3515"/>
      <c r="T29" s="3515"/>
      <c r="U29" s="3515"/>
      <c r="V29" s="3515"/>
      <c r="W29" s="3515"/>
      <c r="X29" s="2893"/>
      <c r="Y29" s="3514" t="s">
        <v>2818</v>
      </c>
      <c r="Z29" s="3515"/>
      <c r="AA29" s="3515"/>
      <c r="AB29" s="3515"/>
      <c r="AC29" s="3515"/>
      <c r="AD29" s="3515"/>
    </row>
    <row r="30" spans="1:44" s="2006" customFormat="1" ht="14.25" thickBot="1">
      <c r="B30" s="2878"/>
      <c r="C30" s="2879"/>
      <c r="D30" s="2007" t="s">
        <v>2819</v>
      </c>
      <c r="E30" s="2008" t="s">
        <v>2820</v>
      </c>
      <c r="F30" s="2008" t="s">
        <v>2821</v>
      </c>
      <c r="G30" s="2008" t="s">
        <v>2822</v>
      </c>
      <c r="H30" s="2008"/>
      <c r="I30" s="2008" t="s">
        <v>2823</v>
      </c>
      <c r="J30" s="2880"/>
      <c r="K30" s="2007" t="s">
        <v>2819</v>
      </c>
      <c r="L30" s="2008" t="s">
        <v>2820</v>
      </c>
      <c r="M30" s="2008" t="s">
        <v>2821</v>
      </c>
      <c r="N30" s="2008" t="s">
        <v>2822</v>
      </c>
      <c r="O30" s="2008"/>
      <c r="P30" s="2008" t="s">
        <v>2823</v>
      </c>
      <c r="Q30" s="2880"/>
      <c r="R30" s="2007" t="s">
        <v>2819</v>
      </c>
      <c r="S30" s="2008" t="s">
        <v>2820</v>
      </c>
      <c r="T30" s="2008" t="s">
        <v>2821</v>
      </c>
      <c r="U30" s="2008" t="s">
        <v>2822</v>
      </c>
      <c r="V30" s="2008"/>
      <c r="W30" s="2008" t="s">
        <v>2823</v>
      </c>
      <c r="X30" s="2880"/>
      <c r="Y30" s="2007" t="s">
        <v>2819</v>
      </c>
      <c r="Z30" s="2008" t="s">
        <v>2820</v>
      </c>
      <c r="AA30" s="2008" t="s">
        <v>2821</v>
      </c>
      <c r="AB30" s="2008" t="s">
        <v>2822</v>
      </c>
      <c r="AC30" s="2008"/>
      <c r="AD30" s="2008" t="s">
        <v>2823</v>
      </c>
      <c r="AG30" t="s">
        <v>673</v>
      </c>
      <c r="AH30" t="s">
        <v>21</v>
      </c>
      <c r="AI30" t="s">
        <v>3395</v>
      </c>
      <c r="AJ30"/>
      <c r="AK30" t="s">
        <v>3396</v>
      </c>
      <c r="AN30" t="s">
        <v>673</v>
      </c>
      <c r="AO30" t="s">
        <v>21</v>
      </c>
      <c r="AP30" t="s">
        <v>3395</v>
      </c>
      <c r="AQ30"/>
      <c r="AR30" t="s">
        <v>3396</v>
      </c>
    </row>
    <row r="31" spans="1:44" s="2883" customFormat="1" ht="12.75">
      <c r="A31" s="2881" t="s">
        <v>2824</v>
      </c>
      <c r="B31" s="2882"/>
      <c r="E31" s="2883">
        <f t="shared" ref="E31:G31" si="115">ROUND(AVERAGEIF(E32:E52,"&lt;&gt;0"),2)</f>
        <v>0.11</v>
      </c>
      <c r="F31" s="2883">
        <f t="shared" si="115"/>
        <v>7.0000000000000007E-2</v>
      </c>
      <c r="G31" s="2883">
        <f t="shared" si="115"/>
        <v>0.26</v>
      </c>
      <c r="I31" s="2883">
        <f>F31</f>
        <v>7.0000000000000007E-2</v>
      </c>
      <c r="J31" s="2884"/>
      <c r="K31" s="2885"/>
      <c r="L31" s="2886">
        <f t="shared" ref="L31:N31" si="116">ROUND(AVERAGEIF(L32:L52,"&lt;&gt;0"),4)</f>
        <v>1.1000000000000001E-3</v>
      </c>
      <c r="M31" s="2886">
        <f t="shared" si="116"/>
        <v>6.9999999999999999E-4</v>
      </c>
      <c r="N31" s="2886">
        <f t="shared" si="116"/>
        <v>2.5999999999999999E-3</v>
      </c>
      <c r="O31" s="2886"/>
      <c r="P31" s="2886">
        <f>M31</f>
        <v>6.9999999999999999E-4</v>
      </c>
      <c r="Q31" s="2884"/>
      <c r="R31" s="2887"/>
      <c r="S31" s="2888">
        <f>ROUND(SUMPRODUCT(PRODUCT(1+L32:L52)),4)</f>
        <v>1.0185</v>
      </c>
      <c r="T31" s="2888">
        <f t="shared" ref="T31:U31" si="117">ROUND(SUMPRODUCT(PRODUCT(1+M32:M52)),4)</f>
        <v>1.012</v>
      </c>
      <c r="U31" s="2888">
        <f t="shared" si="117"/>
        <v>1.0436000000000001</v>
      </c>
      <c r="V31" s="2888"/>
      <c r="W31" s="2887">
        <f>T31</f>
        <v>1.012</v>
      </c>
      <c r="X31" s="2884"/>
      <c r="Y31" s="2889"/>
      <c r="Z31" s="2890">
        <f t="shared" ref="Z31:AB31" si="118">ROUND(AVERAGEIF(Z32:Z52,"&lt;&gt;0"),4)</f>
        <v>3.5999999999999999E-3</v>
      </c>
      <c r="AA31" s="2891">
        <f t="shared" si="118"/>
        <v>3.0000000000000001E-3</v>
      </c>
      <c r="AB31" s="2889">
        <f t="shared" si="118"/>
        <v>7.0000000000000001E-3</v>
      </c>
      <c r="AC31" s="2892"/>
      <c r="AD31" s="2889">
        <f>AA31</f>
        <v>3.0000000000000001E-3</v>
      </c>
    </row>
    <row r="32" spans="1:44" s="2005" customFormat="1" ht="12.75">
      <c r="B32" s="2021"/>
      <c r="J32" s="2893"/>
      <c r="K32" s="2894"/>
      <c r="L32" s="2895"/>
      <c r="M32" s="2895"/>
      <c r="N32" s="2895"/>
      <c r="O32" s="2895"/>
      <c r="P32" s="2895"/>
      <c r="Q32" s="2893"/>
      <c r="R32" s="2023"/>
      <c r="S32" s="2896"/>
      <c r="T32" s="2897"/>
      <c r="U32" s="2023"/>
      <c r="V32" s="2898"/>
      <c r="W32" s="2023"/>
      <c r="X32" s="2893"/>
      <c r="Y32" s="2024"/>
      <c r="Z32" s="2899"/>
      <c r="AA32" s="2900"/>
      <c r="AB32" s="2024"/>
      <c r="AC32" s="2901"/>
      <c r="AD32" s="2024"/>
    </row>
    <row r="33" spans="1:44" s="2041" customFormat="1">
      <c r="A33" s="2036" t="s">
        <v>3393</v>
      </c>
      <c r="B33" s="2027">
        <v>2025</v>
      </c>
      <c r="C33" s="2038">
        <v>4</v>
      </c>
      <c r="D33" s="2003"/>
      <c r="E33" s="2003">
        <v>0</v>
      </c>
      <c r="F33" s="2003">
        <v>0</v>
      </c>
      <c r="G33" s="2003">
        <v>0</v>
      </c>
      <c r="H33" s="2003"/>
      <c r="I33" s="2004">
        <f t="shared" ref="I33" si="119">F33</f>
        <v>0</v>
      </c>
      <c r="J33" s="2903"/>
      <c r="K33" s="2039"/>
      <c r="L33" s="2024">
        <f t="shared" ref="L33" si="120">E33/100</f>
        <v>0</v>
      </c>
      <c r="M33" s="2024">
        <f t="shared" ref="M33" si="121">F33/100</f>
        <v>0</v>
      </c>
      <c r="N33" s="2024">
        <f t="shared" ref="N33" si="122">G33/100</f>
        <v>0</v>
      </c>
      <c r="O33" s="2024"/>
      <c r="P33" s="2024">
        <f t="shared" ref="P33:P39" si="123">M33</f>
        <v>0</v>
      </c>
      <c r="Q33" s="2903"/>
      <c r="R33" s="2023"/>
      <c r="S33" s="2023">
        <f>ROUND(IF(项目基本情况!$B$8="出让",SUMPRODUCT(PRODUCT(1+L33:L$52)),SUMPRODUCT(PRODUCT(1+L33:L$51))),4)</f>
        <v>1.0148999999999999</v>
      </c>
      <c r="T33" s="2023">
        <f>ROUND(IF(项目基本情况!$B$8="出让",SUMPRODUCT(PRODUCT(1+M33:M$52)),SUMPRODUCT(PRODUCT(1+M33:M$51))),4)</f>
        <v>1.0072000000000001</v>
      </c>
      <c r="U33" s="2023">
        <f>ROUND(IF(项目基本情况!$B$8="出让",SUMPRODUCT(PRODUCT(1+N33:N$52)),SUMPRODUCT(PRODUCT(1+N33:N$51))),4)</f>
        <v>1.0335000000000001</v>
      </c>
      <c r="V33" s="2023"/>
      <c r="W33" s="2023">
        <f t="shared" ref="W33:W39" si="124">T33</f>
        <v>1.0072000000000001</v>
      </c>
      <c r="X33" s="2903"/>
      <c r="Y33" s="2024"/>
      <c r="Z33" s="2899">
        <f t="shared" ref="Z33" si="125">IF(E33=0,0,ROUND(AVERAGE(E33:E46)/100,4))</f>
        <v>0</v>
      </c>
      <c r="AA33" s="2899">
        <f t="shared" ref="AA33" si="126">IF(F33=0,0,ROUND(AVERAGE(F33:F46)/100,4))</f>
        <v>0</v>
      </c>
      <c r="AB33" s="2899">
        <f t="shared" ref="AB33" si="127">IF(G33=0,0,ROUND(AVERAGE(G33:G46)/100,4))</f>
        <v>0</v>
      </c>
      <c r="AC33" s="2901"/>
      <c r="AD33" s="2024">
        <f t="shared" ref="AD33:AD39" si="128">IF(I33=0,0,ROUND(AVERAGE(I33:I46)/100,4))</f>
        <v>0</v>
      </c>
      <c r="AG33" s="3150">
        <f t="shared" ref="AG33:AG50" si="129">$AG$52*S33</f>
        <v>101.49</v>
      </c>
      <c r="AH33" s="3150">
        <f t="shared" ref="AH33:AH50" si="130">$AG$52*T33</f>
        <v>100.72000000000001</v>
      </c>
      <c r="AI33" s="3150">
        <f t="shared" ref="AI33:AI50" si="131">$AG$52*U33</f>
        <v>103.35000000000001</v>
      </c>
      <c r="AJ33" s="3152"/>
      <c r="AK33" s="3150">
        <f t="shared" ref="AK33:AK50" si="132">$AG$52*W33</f>
        <v>100.72000000000001</v>
      </c>
      <c r="AN33" s="3155">
        <v>100</v>
      </c>
      <c r="AO33" s="3155">
        <v>100</v>
      </c>
      <c r="AP33" s="3155">
        <v>100</v>
      </c>
      <c r="AQ33" s="3155"/>
      <c r="AR33" s="3155">
        <v>100</v>
      </c>
    </row>
    <row r="34" spans="1:44" s="2041" customFormat="1" ht="12.75">
      <c r="A34" s="2036" t="s">
        <v>3392</v>
      </c>
      <c r="B34" s="2027">
        <v>2025</v>
      </c>
      <c r="C34" s="2038">
        <v>3</v>
      </c>
      <c r="D34" s="2003"/>
      <c r="E34" s="2003">
        <v>0</v>
      </c>
      <c r="F34" s="2003">
        <v>0</v>
      </c>
      <c r="G34" s="2003">
        <v>0</v>
      </c>
      <c r="H34" s="2003"/>
      <c r="I34" s="2004">
        <f t="shared" ref="I34" si="133">F34</f>
        <v>0</v>
      </c>
      <c r="J34" s="2903"/>
      <c r="K34" s="2039"/>
      <c r="L34" s="2024">
        <f t="shared" ref="L34" si="134">E34/100</f>
        <v>0</v>
      </c>
      <c r="M34" s="2024">
        <f t="shared" ref="M34" si="135">F34/100</f>
        <v>0</v>
      </c>
      <c r="N34" s="2024">
        <f t="shared" ref="N34" si="136">G34/100</f>
        <v>0</v>
      </c>
      <c r="O34" s="2024"/>
      <c r="P34" s="2024">
        <f t="shared" si="123"/>
        <v>0</v>
      </c>
      <c r="Q34" s="2903"/>
      <c r="R34" s="2023"/>
      <c r="S34" s="2023">
        <f>ROUND(IF(项目基本情况!$B$8="出让",SUMPRODUCT(PRODUCT(1+L34:L$52)),SUMPRODUCT(PRODUCT(1+L34:L$51))),4)</f>
        <v>1.0148999999999999</v>
      </c>
      <c r="T34" s="2023">
        <f>ROUND(IF(项目基本情况!$B$8="出让",SUMPRODUCT(PRODUCT(1+M34:M$52)),SUMPRODUCT(PRODUCT(1+M34:M$51))),4)</f>
        <v>1.0072000000000001</v>
      </c>
      <c r="U34" s="2023">
        <f>ROUND(IF(项目基本情况!$B$8="出让",SUMPRODUCT(PRODUCT(1+N34:N$52)),SUMPRODUCT(PRODUCT(1+N34:N$51))),4)</f>
        <v>1.0335000000000001</v>
      </c>
      <c r="V34" s="2023"/>
      <c r="W34" s="2023">
        <f t="shared" si="124"/>
        <v>1.0072000000000001</v>
      </c>
      <c r="X34" s="2903"/>
      <c r="Y34" s="2024"/>
      <c r="Z34" s="2899">
        <f t="shared" ref="Z34" si="137">IF(E34=0,0,ROUND(AVERAGE(E34:E47)/100,4))</f>
        <v>0</v>
      </c>
      <c r="AA34" s="2899">
        <f t="shared" ref="AA34" si="138">IF(F34=0,0,ROUND(AVERAGE(F34:F47)/100,4))</f>
        <v>0</v>
      </c>
      <c r="AB34" s="2899">
        <f t="shared" ref="AB34" si="139">IF(G34=0,0,ROUND(AVERAGE(G34:G47)/100,4))</f>
        <v>0</v>
      </c>
      <c r="AC34" s="2901"/>
      <c r="AD34" s="2024">
        <f t="shared" si="128"/>
        <v>0</v>
      </c>
      <c r="AG34" s="3150">
        <f t="shared" si="129"/>
        <v>101.49</v>
      </c>
      <c r="AH34" s="3150">
        <f t="shared" si="130"/>
        <v>100.72000000000001</v>
      </c>
      <c r="AI34" s="3150">
        <f t="shared" si="131"/>
        <v>103.35000000000001</v>
      </c>
      <c r="AJ34" s="3152"/>
      <c r="AK34" s="3150">
        <f t="shared" si="132"/>
        <v>100.72000000000001</v>
      </c>
      <c r="AN34" s="3150">
        <f>AN33/(1+E33/100)</f>
        <v>100</v>
      </c>
      <c r="AO34" s="3150">
        <f t="shared" ref="AO34:AR34" si="140">AO33/(1+F33/100)</f>
        <v>100</v>
      </c>
      <c r="AP34" s="3150">
        <f t="shared" si="140"/>
        <v>100</v>
      </c>
      <c r="AQ34" s="3150"/>
      <c r="AR34" s="3150">
        <f t="shared" si="140"/>
        <v>100</v>
      </c>
    </row>
    <row r="35" spans="1:44" s="2913" customFormat="1" ht="12.75">
      <c r="A35" s="2904" t="s">
        <v>3400</v>
      </c>
      <c r="B35" s="2905">
        <v>2025</v>
      </c>
      <c r="C35" s="2906">
        <v>2</v>
      </c>
      <c r="D35" s="2907"/>
      <c r="E35" s="2907">
        <v>0</v>
      </c>
      <c r="F35" s="2907">
        <v>0</v>
      </c>
      <c r="G35" s="2907">
        <v>0</v>
      </c>
      <c r="H35" s="2908"/>
      <c r="I35" s="2909">
        <f t="shared" ref="I35" si="141">F35</f>
        <v>0</v>
      </c>
      <c r="J35" s="2910"/>
      <c r="K35" s="2911"/>
      <c r="L35" s="2912">
        <f t="shared" ref="L35" si="142">E35/100</f>
        <v>0</v>
      </c>
      <c r="M35" s="2912">
        <f t="shared" ref="M35" si="143">F35/100</f>
        <v>0</v>
      </c>
      <c r="N35" s="2912">
        <f t="shared" ref="N35" si="144">G35/100</f>
        <v>0</v>
      </c>
      <c r="O35" s="2912"/>
      <c r="P35" s="2912">
        <f t="shared" si="123"/>
        <v>0</v>
      </c>
      <c r="Q35" s="2910"/>
      <c r="R35" s="2910"/>
      <c r="S35" s="2910">
        <f>ROUND(IF(项目基本情况!$B$8="出让",SUMPRODUCT(PRODUCT(1+L35:L$52)),SUMPRODUCT(PRODUCT(1+L35:L$51))),4)</f>
        <v>1.0148999999999999</v>
      </c>
      <c r="T35" s="2910">
        <f>ROUND(IF(项目基本情况!$B$8="出让",SUMPRODUCT(PRODUCT(1+M35:M$52)),SUMPRODUCT(PRODUCT(1+M35:M$51))),4)</f>
        <v>1.0072000000000001</v>
      </c>
      <c r="U35" s="2910">
        <f>ROUND(IF(项目基本情况!$B$8="出让",SUMPRODUCT(PRODUCT(1+N35:N$52)),SUMPRODUCT(PRODUCT(1+N35:N$51))),4)</f>
        <v>1.0335000000000001</v>
      </c>
      <c r="V35" s="2910"/>
      <c r="W35" s="2910">
        <f t="shared" si="124"/>
        <v>1.0072000000000001</v>
      </c>
      <c r="X35" s="2910"/>
      <c r="Y35" s="2912"/>
      <c r="Z35" s="2928">
        <f t="shared" ref="Z35" si="145">IF(E35=0,0,ROUND(AVERAGE(E35:E48)/100,4))</f>
        <v>0</v>
      </c>
      <c r="AA35" s="2929">
        <f t="shared" ref="AA35" si="146">IF(F35=0,0,ROUND(AVERAGE(F35:F48)/100,4))</f>
        <v>0</v>
      </c>
      <c r="AB35" s="2912">
        <f t="shared" ref="AB35" si="147">IF(G35=0,0,ROUND(AVERAGE(G35:G48)/100,4))</f>
        <v>0</v>
      </c>
      <c r="AC35" s="2930"/>
      <c r="AD35" s="2912">
        <f t="shared" si="128"/>
        <v>0</v>
      </c>
      <c r="AG35" s="3151">
        <f t="shared" si="129"/>
        <v>101.49</v>
      </c>
      <c r="AH35" s="3151">
        <f t="shared" si="130"/>
        <v>100.72000000000001</v>
      </c>
      <c r="AI35" s="3151">
        <f t="shared" si="131"/>
        <v>103.35000000000001</v>
      </c>
      <c r="AJ35" s="3153"/>
      <c r="AK35" s="3151">
        <f t="shared" si="132"/>
        <v>100.72000000000001</v>
      </c>
      <c r="AN35" s="3151">
        <f t="shared" ref="AN35:AN52" si="148">AN34/(1+E34/100)</f>
        <v>100</v>
      </c>
      <c r="AO35" s="3151">
        <f t="shared" ref="AO35" si="149">AO34/(1+F34/100)</f>
        <v>100</v>
      </c>
      <c r="AP35" s="3151">
        <f t="shared" ref="AP35" si="150">AP34/(1+G34/100)</f>
        <v>100</v>
      </c>
      <c r="AQ35" s="3151"/>
      <c r="AR35" s="3151">
        <f t="shared" ref="AR35" si="151">AR34/(1+I34/100)</f>
        <v>100</v>
      </c>
    </row>
    <row r="36" spans="1:44" s="2041" customFormat="1" ht="12.75">
      <c r="A36" s="2036" t="s">
        <v>3397</v>
      </c>
      <c r="B36" s="2027">
        <v>2025</v>
      </c>
      <c r="C36" s="2038">
        <v>1</v>
      </c>
      <c r="D36" s="2003"/>
      <c r="E36" s="2003">
        <v>-1.47</v>
      </c>
      <c r="F36" s="2003">
        <v>-0.98</v>
      </c>
      <c r="G36" s="2003">
        <v>-0.51</v>
      </c>
      <c r="H36" s="2003"/>
      <c r="I36" s="2004">
        <f t="shared" ref="I36" si="152">F36</f>
        <v>-0.98</v>
      </c>
      <c r="J36" s="2903"/>
      <c r="K36" s="2039"/>
      <c r="L36" s="2024">
        <f t="shared" ref="L36" si="153">E36/100</f>
        <v>-1.47E-2</v>
      </c>
      <c r="M36" s="2024">
        <f t="shared" ref="M36" si="154">F36/100</f>
        <v>-9.7999999999999997E-3</v>
      </c>
      <c r="N36" s="2024">
        <f t="shared" ref="N36" si="155">G36/100</f>
        <v>-5.1000000000000004E-3</v>
      </c>
      <c r="O36" s="2024"/>
      <c r="P36" s="2024">
        <f t="shared" si="123"/>
        <v>-9.7999999999999997E-3</v>
      </c>
      <c r="Q36" s="2903"/>
      <c r="R36" s="2023"/>
      <c r="S36" s="2023">
        <f>ROUND(IF(项目基本情况!$B$8="出让",SUMPRODUCT(PRODUCT(1+L36:L$52)),SUMPRODUCT(PRODUCT(1+L36:L$51))),4)</f>
        <v>1.0148999999999999</v>
      </c>
      <c r="T36" s="2023">
        <f>ROUND(IF(项目基本情况!$B$8="出让",SUMPRODUCT(PRODUCT(1+M36:M$52)),SUMPRODUCT(PRODUCT(1+M36:M$51))),4)</f>
        <v>1.0072000000000001</v>
      </c>
      <c r="U36" s="2023">
        <f>ROUND(IF(项目基本情况!$B$8="出让",SUMPRODUCT(PRODUCT(1+N36:N$52)),SUMPRODUCT(PRODUCT(1+N36:N$51))),4)</f>
        <v>1.0335000000000001</v>
      </c>
      <c r="V36" s="2023"/>
      <c r="W36" s="2023">
        <f t="shared" si="124"/>
        <v>1.0072000000000001</v>
      </c>
      <c r="X36" s="2903"/>
      <c r="Y36" s="2024"/>
      <c r="Z36" s="2899">
        <f t="shared" ref="Z36" si="156">IF(E36=0,0,ROUND(AVERAGE(E36:E49)/100,4))</f>
        <v>4.0000000000000002E-4</v>
      </c>
      <c r="AA36" s="2899">
        <f t="shared" ref="AA36" si="157">IF(F36=0,0,ROUND(AVERAGE(F36:F49)/100,4))</f>
        <v>0</v>
      </c>
      <c r="AB36" s="2899">
        <f t="shared" ref="AB36" si="158">IF(G36=0,0,ROUND(AVERAGE(G36:G49)/100,4))</f>
        <v>1E-3</v>
      </c>
      <c r="AC36" s="2901"/>
      <c r="AD36" s="2024">
        <f t="shared" si="128"/>
        <v>0</v>
      </c>
      <c r="AG36" s="3150">
        <f t="shared" si="129"/>
        <v>101.49</v>
      </c>
      <c r="AH36" s="3150">
        <f t="shared" si="130"/>
        <v>100.72000000000001</v>
      </c>
      <c r="AI36" s="3150">
        <f t="shared" si="131"/>
        <v>103.35000000000001</v>
      </c>
      <c r="AJ36" s="3152"/>
      <c r="AK36" s="3150">
        <f t="shared" si="132"/>
        <v>100.72000000000001</v>
      </c>
      <c r="AN36" s="3150">
        <f t="shared" si="148"/>
        <v>100</v>
      </c>
      <c r="AO36" s="3150">
        <f t="shared" ref="AO36:AO52" si="159">AO35/(1+F35/100)</f>
        <v>100</v>
      </c>
      <c r="AP36" s="3150">
        <f t="shared" ref="AP36:AP52" si="160">AP35/(1+G35/100)</f>
        <v>100</v>
      </c>
      <c r="AQ36" s="3150"/>
      <c r="AR36" s="3150">
        <f t="shared" ref="AR36:AR52" si="161">AR35/(1+I35/100)</f>
        <v>100</v>
      </c>
    </row>
    <row r="37" spans="1:44" s="2041" customFormat="1" ht="12.75">
      <c r="A37" s="2036" t="s">
        <v>3398</v>
      </c>
      <c r="B37" s="2027">
        <v>2024</v>
      </c>
      <c r="C37" s="2038">
        <v>4</v>
      </c>
      <c r="D37" s="2003"/>
      <c r="E37" s="2003">
        <v>-0.61</v>
      </c>
      <c r="F37" s="2003">
        <v>-0.71</v>
      </c>
      <c r="G37" s="2003">
        <v>-0.88</v>
      </c>
      <c r="H37" s="2003"/>
      <c r="I37" s="2004">
        <f t="shared" ref="I37" si="162">F37</f>
        <v>-0.71</v>
      </c>
      <c r="J37" s="2903"/>
      <c r="K37" s="2039"/>
      <c r="L37" s="2024">
        <f t="shared" ref="L37" si="163">E37/100</f>
        <v>-6.0999999999999995E-3</v>
      </c>
      <c r="M37" s="2024">
        <f t="shared" ref="M37" si="164">F37/100</f>
        <v>-7.0999999999999995E-3</v>
      </c>
      <c r="N37" s="2024">
        <f t="shared" ref="N37" si="165">G37/100</f>
        <v>-8.8000000000000005E-3</v>
      </c>
      <c r="O37" s="2024"/>
      <c r="P37" s="2024">
        <f t="shared" si="123"/>
        <v>-7.0999999999999995E-3</v>
      </c>
      <c r="Q37" s="2903"/>
      <c r="R37" s="2023"/>
      <c r="S37" s="2023">
        <f>ROUND(IF(项目基本情况!$B$8="出让",SUMPRODUCT(PRODUCT(1+L37:L$52)),SUMPRODUCT(PRODUCT(1+L37:L$51))),4)</f>
        <v>1.0301</v>
      </c>
      <c r="T37" s="2023">
        <f>ROUND(IF(项目基本情况!$B$8="出让",SUMPRODUCT(PRODUCT(1+M37:M$52)),SUMPRODUCT(PRODUCT(1+M37:M$51))),4)</f>
        <v>1.0170999999999999</v>
      </c>
      <c r="U37" s="2023">
        <f>ROUND(IF(项目基本情况!$B$8="出让",SUMPRODUCT(PRODUCT(1+N37:N$52)),SUMPRODUCT(PRODUCT(1+N37:N$51))),4)</f>
        <v>1.0387999999999999</v>
      </c>
      <c r="V37" s="2023"/>
      <c r="W37" s="2023">
        <f t="shared" si="124"/>
        <v>1.0170999999999999</v>
      </c>
      <c r="X37" s="2903"/>
      <c r="Y37" s="2024"/>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4">
        <f t="shared" si="128"/>
        <v>8.9999999999999998E-4</v>
      </c>
      <c r="AG37" s="3150">
        <f t="shared" si="129"/>
        <v>103.01</v>
      </c>
      <c r="AH37" s="3150">
        <f t="shared" si="130"/>
        <v>101.71</v>
      </c>
      <c r="AI37" s="3150">
        <f t="shared" si="131"/>
        <v>103.88</v>
      </c>
      <c r="AJ37" s="3152"/>
      <c r="AK37" s="3150">
        <f t="shared" si="132"/>
        <v>101.71</v>
      </c>
      <c r="AN37" s="3150">
        <f t="shared" si="148"/>
        <v>101.49193139145439</v>
      </c>
      <c r="AO37" s="3150">
        <f t="shared" si="159"/>
        <v>100.98969905069683</v>
      </c>
      <c r="AP37" s="3150">
        <f t="shared" si="160"/>
        <v>100.51261433309881</v>
      </c>
      <c r="AQ37" s="3150"/>
      <c r="AR37" s="3150">
        <f t="shared" si="161"/>
        <v>100.98969905069683</v>
      </c>
    </row>
    <row r="38" spans="1:44" s="2041" customFormat="1" ht="12.75">
      <c r="A38" s="2036" t="s">
        <v>3362</v>
      </c>
      <c r="B38" s="2027">
        <v>2024</v>
      </c>
      <c r="C38" s="2038">
        <v>3</v>
      </c>
      <c r="D38" s="2003"/>
      <c r="E38" s="2003">
        <v>-0.66</v>
      </c>
      <c r="F38" s="2003">
        <v>-0.52</v>
      </c>
      <c r="G38" s="2003">
        <v>-2.87</v>
      </c>
      <c r="H38" s="2003"/>
      <c r="I38" s="2004">
        <f t="shared" ref="I38" si="169">F38</f>
        <v>-0.52</v>
      </c>
      <c r="J38" s="2903"/>
      <c r="K38" s="2039"/>
      <c r="L38" s="2024">
        <f t="shared" ref="L38" si="170">E38/100</f>
        <v>-6.6E-3</v>
      </c>
      <c r="M38" s="2024">
        <f t="shared" ref="M38" si="171">F38/100</f>
        <v>-5.1999999999999998E-3</v>
      </c>
      <c r="N38" s="2024">
        <f t="shared" ref="N38" si="172">G38/100</f>
        <v>-2.87E-2</v>
      </c>
      <c r="O38" s="2024"/>
      <c r="P38" s="2024">
        <f t="shared" si="123"/>
        <v>-5.1999999999999998E-3</v>
      </c>
      <c r="Q38" s="2903"/>
      <c r="R38" s="2023"/>
      <c r="S38" s="2023">
        <f>ROUND(IF(项目基本情况!$B$8="出让",SUMPRODUCT(PRODUCT(1+L38:L$52)),SUMPRODUCT(PRODUCT(1+L38:L$51))),4)</f>
        <v>1.0364</v>
      </c>
      <c r="T38" s="2023">
        <f>ROUND(IF(项目基本情况!$B$8="出让",SUMPRODUCT(PRODUCT(1+M38:M$52)),SUMPRODUCT(PRODUCT(1+M38:M$51))),4)</f>
        <v>1.0244</v>
      </c>
      <c r="U38" s="2023">
        <f>ROUND(IF(项目基本情况!$B$8="出让",SUMPRODUCT(PRODUCT(1+N38:N$52)),SUMPRODUCT(PRODUCT(1+N38:N$51))),4)</f>
        <v>1.048</v>
      </c>
      <c r="V38" s="2023"/>
      <c r="W38" s="2023">
        <f t="shared" si="124"/>
        <v>1.0244</v>
      </c>
      <c r="X38" s="2903"/>
      <c r="Y38" s="2024"/>
      <c r="Z38" s="2899">
        <f t="shared" ref="Z38:AB39" si="173">IF(E38=0,0,ROUND(AVERAGE(E38:E51)/100,4))</f>
        <v>2.5999999999999999E-3</v>
      </c>
      <c r="AA38" s="2899">
        <f t="shared" si="173"/>
        <v>1.6999999999999999E-3</v>
      </c>
      <c r="AB38" s="2899">
        <f t="shared" si="173"/>
        <v>3.3999999999999998E-3</v>
      </c>
      <c r="AC38" s="2901"/>
      <c r="AD38" s="2024">
        <f t="shared" si="128"/>
        <v>1.6999999999999999E-3</v>
      </c>
      <c r="AG38" s="3150">
        <f t="shared" si="129"/>
        <v>103.64</v>
      </c>
      <c r="AH38" s="3150">
        <f t="shared" si="130"/>
        <v>102.44</v>
      </c>
      <c r="AI38" s="3150">
        <f t="shared" si="131"/>
        <v>104.80000000000001</v>
      </c>
      <c r="AJ38" s="3152"/>
      <c r="AK38" s="3150">
        <f t="shared" si="132"/>
        <v>102.44</v>
      </c>
      <c r="AN38" s="3150">
        <f t="shared" si="148"/>
        <v>102.11483186583598</v>
      </c>
      <c r="AO38" s="3150">
        <f t="shared" si="159"/>
        <v>101.71185320847701</v>
      </c>
      <c r="AP38" s="3150">
        <f t="shared" si="160"/>
        <v>101.4049781407373</v>
      </c>
      <c r="AQ38" s="3150"/>
      <c r="AR38" s="3150">
        <f t="shared" si="161"/>
        <v>101.71185320847701</v>
      </c>
    </row>
    <row r="39" spans="1:44" s="2041" customFormat="1" ht="12.75">
      <c r="A39" s="2902" t="s">
        <v>3366</v>
      </c>
      <c r="B39" s="2027">
        <v>2024</v>
      </c>
      <c r="C39" s="2038">
        <v>2</v>
      </c>
      <c r="D39" s="2003"/>
      <c r="E39" s="2003">
        <v>-0.31</v>
      </c>
      <c r="F39" s="2003">
        <v>-0.39</v>
      </c>
      <c r="G39" s="2003">
        <v>1.23</v>
      </c>
      <c r="H39" s="2914"/>
      <c r="I39" s="2004">
        <f t="shared" ref="I39:I52" si="174">F39</f>
        <v>-0.39</v>
      </c>
      <c r="J39" s="2903"/>
      <c r="K39" s="2039"/>
      <c r="L39" s="2024">
        <f t="shared" ref="L39:N52" si="175">E39/100</f>
        <v>-3.0999999999999999E-3</v>
      </c>
      <c r="M39" s="2024">
        <f t="shared" si="175"/>
        <v>-3.9000000000000003E-3</v>
      </c>
      <c r="N39" s="2024">
        <f t="shared" si="175"/>
        <v>1.23E-2</v>
      </c>
      <c r="O39" s="2024"/>
      <c r="P39" s="2024">
        <f t="shared" si="123"/>
        <v>-3.9000000000000003E-3</v>
      </c>
      <c r="Q39" s="2903"/>
      <c r="R39" s="2023"/>
      <c r="S39" s="2023">
        <f>ROUND(IF(项目基本情况!$B$8="出让",SUMPRODUCT(PRODUCT(1+L39:L$52)),SUMPRODUCT(PRODUCT(1+L39:L$51))),4)</f>
        <v>1.0432999999999999</v>
      </c>
      <c r="T39" s="2023">
        <f>ROUND(IF(项目基本情况!$B$8="出让",SUMPRODUCT(PRODUCT(1+M39:M$52)),SUMPRODUCT(PRODUCT(1+M39:M$51))),4)</f>
        <v>1.0298</v>
      </c>
      <c r="U39" s="2023">
        <f>ROUND(IF(项目基本情况!$B$8="出让",SUMPRODUCT(PRODUCT(1+N39:N$52)),SUMPRODUCT(PRODUCT(1+N39:N$51))),4)</f>
        <v>1.079</v>
      </c>
      <c r="V39" s="2023"/>
      <c r="W39" s="2023">
        <f t="shared" si="124"/>
        <v>1.0298</v>
      </c>
      <c r="X39" s="2903"/>
      <c r="Y39" s="2024"/>
      <c r="Z39" s="2899">
        <f t="shared" si="173"/>
        <v>3.3E-3</v>
      </c>
      <c r="AA39" s="2900">
        <f t="shared" si="173"/>
        <v>2.3999999999999998E-3</v>
      </c>
      <c r="AB39" s="2024">
        <f t="shared" si="173"/>
        <v>6.1999999999999998E-3</v>
      </c>
      <c r="AC39" s="2901"/>
      <c r="AD39" s="2024">
        <f t="shared" si="128"/>
        <v>2.3999999999999998E-3</v>
      </c>
      <c r="AG39" s="3150">
        <f t="shared" si="129"/>
        <v>104.32999999999998</v>
      </c>
      <c r="AH39" s="3150">
        <f t="shared" si="130"/>
        <v>102.98</v>
      </c>
      <c r="AI39" s="3150">
        <f t="shared" si="131"/>
        <v>107.89999999999999</v>
      </c>
      <c r="AJ39" s="3152"/>
      <c r="AK39" s="3150">
        <f t="shared" si="132"/>
        <v>102.98</v>
      </c>
      <c r="AN39" s="3150">
        <f t="shared" si="148"/>
        <v>102.79326743087979</v>
      </c>
      <c r="AO39" s="3150">
        <f t="shared" si="159"/>
        <v>102.24351950992863</v>
      </c>
      <c r="AP39" s="3150">
        <f t="shared" si="160"/>
        <v>104.40129531631555</v>
      </c>
      <c r="AQ39" s="3150"/>
      <c r="AR39" s="3150">
        <f t="shared" si="161"/>
        <v>102.24351950992863</v>
      </c>
    </row>
    <row r="40" spans="1:44" s="2041" customFormat="1" ht="12.75">
      <c r="A40" s="2902" t="s">
        <v>3363</v>
      </c>
      <c r="B40" s="2027">
        <v>2024</v>
      </c>
      <c r="C40" s="2038">
        <v>1</v>
      </c>
      <c r="D40" s="2003"/>
      <c r="E40" s="2003">
        <v>0.25</v>
      </c>
      <c r="F40" s="2003">
        <v>0.4</v>
      </c>
      <c r="G40" s="2003">
        <v>-0.63</v>
      </c>
      <c r="H40" s="2914"/>
      <c r="I40" s="2004">
        <f t="shared" ref="I40:I41" si="176">F40</f>
        <v>0.4</v>
      </c>
      <c r="J40" s="2903"/>
      <c r="K40" s="2039"/>
      <c r="L40" s="2024">
        <f t="shared" ref="L40" si="177">E40/100</f>
        <v>2.5000000000000001E-3</v>
      </c>
      <c r="M40" s="2024">
        <f t="shared" ref="M40" si="178">F40/100</f>
        <v>4.0000000000000001E-3</v>
      </c>
      <c r="N40" s="2024">
        <f t="shared" ref="N40" si="179">G40/100</f>
        <v>-6.3E-3</v>
      </c>
      <c r="O40" s="2024"/>
      <c r="P40" s="2024">
        <f t="shared" ref="P40" si="180">M40</f>
        <v>4.0000000000000001E-3</v>
      </c>
      <c r="Q40" s="2903"/>
      <c r="R40" s="2023"/>
      <c r="S40" s="2023">
        <f>ROUND(IF(项目基本情况!$B$8="出让",SUMPRODUCT(PRODUCT(1+L40:L$52)),SUMPRODUCT(PRODUCT(1+L40:L$51))),4)</f>
        <v>1.0465</v>
      </c>
      <c r="T40" s="2023">
        <f>ROUND(IF(项目基本情况!$B$8="出让",SUMPRODUCT(PRODUCT(1+M40:M$52)),SUMPRODUCT(PRODUCT(1+M40:M$51))),4)</f>
        <v>1.0338000000000001</v>
      </c>
      <c r="U40" s="2023">
        <f>ROUND(IF(项目基本情况!$B$8="出让",SUMPRODUCT(PRODUCT(1+N40:N$52)),SUMPRODUCT(PRODUCT(1+N40:N$51))),4)</f>
        <v>1.0659000000000001</v>
      </c>
      <c r="V40" s="2023"/>
      <c r="W40" s="2023">
        <f t="shared" ref="W40" si="181">T40</f>
        <v>1.0338000000000001</v>
      </c>
      <c r="X40" s="2903"/>
      <c r="Y40" s="2024"/>
      <c r="Z40" s="2899"/>
      <c r="AA40" s="2900"/>
      <c r="AB40" s="2024"/>
      <c r="AC40" s="2901"/>
      <c r="AD40" s="2024"/>
      <c r="AG40" s="3150">
        <f t="shared" si="129"/>
        <v>104.65</v>
      </c>
      <c r="AH40" s="3150">
        <f t="shared" si="130"/>
        <v>103.38000000000001</v>
      </c>
      <c r="AI40" s="3150">
        <f t="shared" si="131"/>
        <v>106.59</v>
      </c>
      <c r="AJ40" s="3152"/>
      <c r="AK40" s="3150">
        <f t="shared" si="132"/>
        <v>103.38000000000001</v>
      </c>
      <c r="AN40" s="3150">
        <f t="shared" si="148"/>
        <v>103.11291747505246</v>
      </c>
      <c r="AO40" s="3150">
        <f t="shared" si="159"/>
        <v>102.64383044867849</v>
      </c>
      <c r="AP40" s="3150">
        <f t="shared" si="160"/>
        <v>103.13276233953923</v>
      </c>
      <c r="AQ40" s="3150"/>
      <c r="AR40" s="3150">
        <f t="shared" si="161"/>
        <v>102.64383044867849</v>
      </c>
    </row>
    <row r="41" spans="1:44" s="2041" customFormat="1" ht="12.75">
      <c r="A41" s="2902" t="s">
        <v>3361</v>
      </c>
      <c r="B41" s="2027">
        <v>2023</v>
      </c>
      <c r="C41" s="2038">
        <v>4</v>
      </c>
      <c r="D41" s="2003"/>
      <c r="E41" s="2003">
        <v>7.0000000000000007E-2</v>
      </c>
      <c r="F41" s="2003">
        <v>0.09</v>
      </c>
      <c r="G41" s="2003">
        <v>0.03</v>
      </c>
      <c r="H41" s="2914"/>
      <c r="I41" s="2004">
        <f t="shared" si="176"/>
        <v>0.09</v>
      </c>
      <c r="J41" s="2903"/>
      <c r="K41" s="2039"/>
      <c r="L41" s="2024">
        <f t="shared" si="175"/>
        <v>7.000000000000001E-4</v>
      </c>
      <c r="M41" s="2024">
        <f t="shared" si="175"/>
        <v>8.9999999999999998E-4</v>
      </c>
      <c r="N41" s="2024">
        <f t="shared" si="175"/>
        <v>2.9999999999999997E-4</v>
      </c>
      <c r="O41" s="2024"/>
      <c r="P41" s="2024">
        <f t="shared" ref="P41" si="182">M41</f>
        <v>8.9999999999999998E-4</v>
      </c>
      <c r="Q41" s="2903"/>
      <c r="R41" s="2023"/>
      <c r="S41" s="2023">
        <f>ROUND(IF(项目基本情况!$B$8="出让",SUMPRODUCT(PRODUCT(1+L41:L$52)),SUMPRODUCT(PRODUCT(1+L41:L$51))),4)</f>
        <v>1.0439000000000001</v>
      </c>
      <c r="T41" s="2023">
        <f>ROUND(IF(项目基本情况!$B$8="出让",SUMPRODUCT(PRODUCT(1+M41:M$52)),SUMPRODUCT(PRODUCT(1+M41:M$51))),4)</f>
        <v>1.0297000000000001</v>
      </c>
      <c r="U41" s="2023">
        <f>ROUND(IF(项目基本情况!$B$8="出让",SUMPRODUCT(PRODUCT(1+N41:N$52)),SUMPRODUCT(PRODUCT(1+N41:N$51))),4)</f>
        <v>1.0727</v>
      </c>
      <c r="V41" s="2023"/>
      <c r="W41" s="2023">
        <f t="shared" ref="W41" si="183">T41</f>
        <v>1.0297000000000001</v>
      </c>
      <c r="X41" s="2903"/>
      <c r="Y41" s="2024"/>
      <c r="Z41" s="2899"/>
      <c r="AA41" s="2900"/>
      <c r="AB41" s="2024"/>
      <c r="AC41" s="2901"/>
      <c r="AD41" s="2024"/>
      <c r="AG41" s="3150">
        <f t="shared" si="129"/>
        <v>104.39</v>
      </c>
      <c r="AH41" s="3150">
        <f t="shared" si="130"/>
        <v>102.97</v>
      </c>
      <c r="AI41" s="3150">
        <f t="shared" si="131"/>
        <v>107.27</v>
      </c>
      <c r="AJ41" s="3152"/>
      <c r="AK41" s="3150">
        <f t="shared" si="132"/>
        <v>102.97</v>
      </c>
      <c r="AN41" s="3150">
        <f t="shared" si="148"/>
        <v>102.85577802997751</v>
      </c>
      <c r="AO41" s="3150">
        <f t="shared" si="159"/>
        <v>102.23489088513793</v>
      </c>
      <c r="AP41" s="3150">
        <f t="shared" si="160"/>
        <v>103.78661803314806</v>
      </c>
      <c r="AQ41" s="3150"/>
      <c r="AR41" s="3150">
        <f t="shared" si="161"/>
        <v>102.23489088513793</v>
      </c>
    </row>
    <row r="42" spans="1:44" s="2041" customFormat="1" ht="12.75">
      <c r="A42" s="2902" t="s">
        <v>3359</v>
      </c>
      <c r="B42" s="2027">
        <v>2023</v>
      </c>
      <c r="C42" s="2038">
        <v>3</v>
      </c>
      <c r="D42" s="2003"/>
      <c r="E42" s="2003">
        <v>0.35</v>
      </c>
      <c r="F42" s="2003">
        <v>0.17</v>
      </c>
      <c r="G42" s="2003">
        <v>0.52</v>
      </c>
      <c r="H42" s="2914"/>
      <c r="I42" s="2004">
        <f t="shared" si="174"/>
        <v>0.17</v>
      </c>
      <c r="J42" s="2903"/>
      <c r="K42" s="2039"/>
      <c r="L42" s="2024">
        <f t="shared" ref="L42:L44" si="184">E42/100</f>
        <v>3.4999999999999996E-3</v>
      </c>
      <c r="M42" s="2024">
        <f t="shared" ref="M42:M44" si="185">F42/100</f>
        <v>1.7000000000000001E-3</v>
      </c>
      <c r="N42" s="2024">
        <f t="shared" ref="N42:N44" si="186">G42/100</f>
        <v>5.1999999999999998E-3</v>
      </c>
      <c r="O42" s="2024"/>
      <c r="P42" s="2024">
        <f t="shared" ref="P42:P44" si="187">M42</f>
        <v>1.7000000000000001E-3</v>
      </c>
      <c r="Q42" s="2903"/>
      <c r="R42" s="2023"/>
      <c r="S42" s="2023">
        <f>ROUND(IF(项目基本情况!$B$8="出让",SUMPRODUCT(PRODUCT(1+L42:L$52)),SUMPRODUCT(PRODUCT(1+L42:L$51))),4)</f>
        <v>1.0431999999999999</v>
      </c>
      <c r="T42" s="2023">
        <f>ROUND(IF(项目基本情况!$B$8="出让",SUMPRODUCT(PRODUCT(1+M42:M$52)),SUMPRODUCT(PRODUCT(1+M42:M$51))),4)</f>
        <v>1.0286999999999999</v>
      </c>
      <c r="U42" s="2023">
        <f>ROUND(IF(项目基本情况!$B$8="出让",SUMPRODUCT(PRODUCT(1+N42:N$52)),SUMPRODUCT(PRODUCT(1+N42:N$51))),4)</f>
        <v>1.0723</v>
      </c>
      <c r="V42" s="2023"/>
      <c r="W42" s="2023">
        <f t="shared" ref="W42:W44" si="188">T42</f>
        <v>1.0286999999999999</v>
      </c>
      <c r="X42" s="2903"/>
      <c r="Y42" s="2024"/>
      <c r="Z42" s="2899"/>
      <c r="AA42" s="2900"/>
      <c r="AB42" s="2024"/>
      <c r="AC42" s="2901"/>
      <c r="AD42" s="2024"/>
      <c r="AG42" s="3150">
        <f t="shared" si="129"/>
        <v>104.32</v>
      </c>
      <c r="AH42" s="3150">
        <f t="shared" si="130"/>
        <v>102.86999999999999</v>
      </c>
      <c r="AI42" s="3150">
        <f t="shared" si="131"/>
        <v>107.23</v>
      </c>
      <c r="AJ42" s="3152"/>
      <c r="AK42" s="3150">
        <f t="shared" si="132"/>
        <v>102.86999999999999</v>
      </c>
      <c r="AN42" s="3150">
        <f t="shared" si="148"/>
        <v>102.78382934943292</v>
      </c>
      <c r="AO42" s="3150">
        <f t="shared" si="159"/>
        <v>102.14296221914071</v>
      </c>
      <c r="AP42" s="3150">
        <f t="shared" si="160"/>
        <v>103.75549138573234</v>
      </c>
      <c r="AQ42" s="3150"/>
      <c r="AR42" s="3150">
        <f t="shared" si="161"/>
        <v>102.14296221914071</v>
      </c>
    </row>
    <row r="43" spans="1:44" s="2041" customFormat="1" ht="12.75">
      <c r="A43" s="2902" t="s">
        <v>3358</v>
      </c>
      <c r="B43" s="2027">
        <v>2023</v>
      </c>
      <c r="C43" s="2038">
        <v>2</v>
      </c>
      <c r="D43" s="2003"/>
      <c r="E43" s="2003">
        <v>0.5</v>
      </c>
      <c r="F43" s="2003">
        <v>0.45</v>
      </c>
      <c r="G43" s="2003">
        <v>0.89</v>
      </c>
      <c r="H43" s="2914"/>
      <c r="I43" s="2004">
        <f t="shared" si="174"/>
        <v>0.45</v>
      </c>
      <c r="J43" s="2903"/>
      <c r="K43" s="2039"/>
      <c r="L43" s="2024">
        <f t="shared" si="184"/>
        <v>5.0000000000000001E-3</v>
      </c>
      <c r="M43" s="2024">
        <f t="shared" si="185"/>
        <v>4.5000000000000005E-3</v>
      </c>
      <c r="N43" s="2024">
        <f t="shared" si="186"/>
        <v>8.8999999999999999E-3</v>
      </c>
      <c r="O43" s="2024"/>
      <c r="P43" s="2024">
        <f t="shared" si="187"/>
        <v>4.5000000000000005E-3</v>
      </c>
      <c r="Q43" s="2903"/>
      <c r="R43" s="2023"/>
      <c r="S43" s="2023">
        <f>ROUND(IF(项目基本情况!$B$8="出让",SUMPRODUCT(PRODUCT(1+L43:L$52)),SUMPRODUCT(PRODUCT(1+L43:L$51))),4)</f>
        <v>1.0396000000000001</v>
      </c>
      <c r="T43" s="2023">
        <f>ROUND(IF(项目基本情况!$B$8="出让",SUMPRODUCT(PRODUCT(1+M43:M$52)),SUMPRODUCT(PRODUCT(1+M43:M$51))),4)</f>
        <v>1.0269999999999999</v>
      </c>
      <c r="U43" s="2023">
        <f>ROUND(IF(项目基本情况!$B$8="出让",SUMPRODUCT(PRODUCT(1+N43:N$52)),SUMPRODUCT(PRODUCT(1+N43:N$51))),4)</f>
        <v>1.0668</v>
      </c>
      <c r="V43" s="2023"/>
      <c r="W43" s="2023">
        <f t="shared" si="188"/>
        <v>1.0269999999999999</v>
      </c>
      <c r="X43" s="2903"/>
      <c r="Y43" s="2024"/>
      <c r="Z43" s="2899"/>
      <c r="AA43" s="2900"/>
      <c r="AB43" s="2024"/>
      <c r="AC43" s="2901"/>
      <c r="AD43" s="2024"/>
      <c r="AG43" s="3150">
        <f t="shared" si="129"/>
        <v>103.96000000000001</v>
      </c>
      <c r="AH43" s="3150">
        <f t="shared" si="130"/>
        <v>102.69999999999999</v>
      </c>
      <c r="AI43" s="3150">
        <f t="shared" si="131"/>
        <v>106.67999999999999</v>
      </c>
      <c r="AJ43" s="3152"/>
      <c r="AK43" s="3150">
        <f t="shared" si="132"/>
        <v>102.69999999999999</v>
      </c>
      <c r="AN43" s="3150">
        <f t="shared" si="148"/>
        <v>102.42534065713295</v>
      </c>
      <c r="AO43" s="3150">
        <f t="shared" si="159"/>
        <v>101.96961387555227</v>
      </c>
      <c r="AP43" s="3150">
        <f t="shared" si="160"/>
        <v>103.21875386563104</v>
      </c>
      <c r="AQ43" s="3150"/>
      <c r="AR43" s="3150">
        <f t="shared" si="161"/>
        <v>101.96961387555227</v>
      </c>
    </row>
    <row r="44" spans="1:44" s="2041" customFormat="1" ht="12.75">
      <c r="A44" s="2902" t="s">
        <v>3356</v>
      </c>
      <c r="B44" s="2027">
        <v>2023</v>
      </c>
      <c r="C44" s="2038">
        <v>1</v>
      </c>
      <c r="D44" s="2003"/>
      <c r="E44" s="2003">
        <v>0.55000000000000004</v>
      </c>
      <c r="F44" s="2003">
        <v>0.59</v>
      </c>
      <c r="G44" s="2003">
        <v>0.64</v>
      </c>
      <c r="H44" s="2914"/>
      <c r="I44" s="2004">
        <f t="shared" si="174"/>
        <v>0.59</v>
      </c>
      <c r="J44" s="2903"/>
      <c r="K44" s="2039"/>
      <c r="L44" s="2024">
        <f t="shared" si="184"/>
        <v>5.5000000000000005E-3</v>
      </c>
      <c r="M44" s="2024">
        <f t="shared" si="185"/>
        <v>5.8999999999999999E-3</v>
      </c>
      <c r="N44" s="2024">
        <f t="shared" si="186"/>
        <v>6.4000000000000003E-3</v>
      </c>
      <c r="O44" s="2024"/>
      <c r="P44" s="2024">
        <f t="shared" si="187"/>
        <v>5.8999999999999999E-3</v>
      </c>
      <c r="Q44" s="2903"/>
      <c r="R44" s="2023"/>
      <c r="S44" s="2023">
        <f>ROUND(IF(项目基本情况!$B$8="出让",SUMPRODUCT(PRODUCT(1+L44:L$52)),SUMPRODUCT(PRODUCT(1+L44:L$51))),4)</f>
        <v>1.0344</v>
      </c>
      <c r="T44" s="2023">
        <f>ROUND(IF(项目基本情况!$B$8="出让",SUMPRODUCT(PRODUCT(1+M44:M$52)),SUMPRODUCT(PRODUCT(1+M44:M$51))),4)</f>
        <v>1.0224</v>
      </c>
      <c r="U44" s="2023">
        <f>ROUND(IF(项目基本情况!$B$8="出让",SUMPRODUCT(PRODUCT(1+N44:N$52)),SUMPRODUCT(PRODUCT(1+N44:N$51))),4)</f>
        <v>1.0573999999999999</v>
      </c>
      <c r="V44" s="2023"/>
      <c r="W44" s="2023">
        <f t="shared" si="188"/>
        <v>1.0224</v>
      </c>
      <c r="X44" s="2903"/>
      <c r="Y44" s="2024"/>
      <c r="Z44" s="2899"/>
      <c r="AA44" s="2900"/>
      <c r="AB44" s="2024"/>
      <c r="AC44" s="2901"/>
      <c r="AD44" s="2024"/>
      <c r="AG44" s="3150">
        <f t="shared" si="129"/>
        <v>103.44</v>
      </c>
      <c r="AH44" s="3150">
        <f t="shared" si="130"/>
        <v>102.24</v>
      </c>
      <c r="AI44" s="3150">
        <f t="shared" si="131"/>
        <v>105.74</v>
      </c>
      <c r="AJ44" s="3152"/>
      <c r="AK44" s="3150">
        <f t="shared" si="132"/>
        <v>102.24</v>
      </c>
      <c r="AN44" s="3150">
        <f t="shared" si="148"/>
        <v>101.91576184789349</v>
      </c>
      <c r="AO44" s="3150">
        <f t="shared" si="159"/>
        <v>101.5128062474388</v>
      </c>
      <c r="AP44" s="3150">
        <f t="shared" si="160"/>
        <v>102.30821078960358</v>
      </c>
      <c r="AQ44" s="3150"/>
      <c r="AR44" s="3150">
        <f t="shared" si="161"/>
        <v>101.5128062474388</v>
      </c>
    </row>
    <row r="45" spans="1:44" s="2041" customFormat="1" ht="12.75">
      <c r="A45" s="2902" t="s">
        <v>3355</v>
      </c>
      <c r="B45" s="2027">
        <v>2022</v>
      </c>
      <c r="C45" s="2038">
        <v>4</v>
      </c>
      <c r="D45" s="2003"/>
      <c r="E45" s="2003">
        <v>0.45</v>
      </c>
      <c r="F45" s="2003">
        <v>0.2</v>
      </c>
      <c r="G45" s="2003">
        <v>0.38</v>
      </c>
      <c r="H45" s="2914"/>
      <c r="I45" s="2004">
        <f t="shared" si="174"/>
        <v>0.2</v>
      </c>
      <c r="J45" s="2903"/>
      <c r="K45" s="2039"/>
      <c r="L45" s="2024">
        <f t="shared" si="175"/>
        <v>4.5000000000000005E-3</v>
      </c>
      <c r="M45" s="2024">
        <f t="shared" si="175"/>
        <v>2E-3</v>
      </c>
      <c r="N45" s="2024">
        <f t="shared" si="175"/>
        <v>3.8E-3</v>
      </c>
      <c r="O45" s="2024"/>
      <c r="P45" s="2024">
        <f t="shared" ref="P45:P52" si="189">M45</f>
        <v>2E-3</v>
      </c>
      <c r="Q45" s="2903"/>
      <c r="R45" s="2023"/>
      <c r="S45" s="2023">
        <f>ROUND(IF(项目基本情况!$B$8="出让",SUMPRODUCT(PRODUCT(1+L45:L$52)),SUMPRODUCT(PRODUCT(1+L45:L$51))),4)</f>
        <v>1.0286999999999999</v>
      </c>
      <c r="T45" s="2023">
        <f>ROUND(IF(项目基本情况!$B$8="出让",SUMPRODUCT(PRODUCT(1+M45:M$52)),SUMPRODUCT(PRODUCT(1+M45:M$51))),4)</f>
        <v>1.0164</v>
      </c>
      <c r="U45" s="2023">
        <f>ROUND(IF(项目基本情况!$B$8="出让",SUMPRODUCT(PRODUCT(1+N45:N$52)),SUMPRODUCT(PRODUCT(1+N45:N$51))),4)</f>
        <v>1.0506</v>
      </c>
      <c r="V45" s="2023"/>
      <c r="W45" s="2023">
        <f t="shared" ref="W45:W52" si="190">T45</f>
        <v>1.0164</v>
      </c>
      <c r="X45" s="2903"/>
      <c r="Y45" s="2024"/>
      <c r="Z45" s="2899">
        <f t="shared" ref="Z45:AD52" si="191">IF(E45=0,0,ROUND(AVERAGE(E45:E53)/100,4))</f>
        <v>4.0000000000000001E-3</v>
      </c>
      <c r="AA45" s="2900">
        <f t="shared" si="191"/>
        <v>2.5999999999999999E-3</v>
      </c>
      <c r="AB45" s="2024">
        <f t="shared" si="191"/>
        <v>7.4000000000000003E-3</v>
      </c>
      <c r="AC45" s="2901"/>
      <c r="AD45" s="2024">
        <f t="shared" si="191"/>
        <v>2.5999999999999999E-3</v>
      </c>
      <c r="AG45" s="3150">
        <f t="shared" si="129"/>
        <v>102.86999999999999</v>
      </c>
      <c r="AH45" s="3150">
        <f t="shared" si="130"/>
        <v>101.64</v>
      </c>
      <c r="AI45" s="3150">
        <f t="shared" si="131"/>
        <v>105.06</v>
      </c>
      <c r="AJ45" s="3152"/>
      <c r="AK45" s="3150">
        <f t="shared" si="132"/>
        <v>101.64</v>
      </c>
      <c r="AN45" s="3150">
        <f t="shared" si="148"/>
        <v>101.35829124604027</v>
      </c>
      <c r="AO45" s="3150">
        <f t="shared" si="159"/>
        <v>100.91739362505101</v>
      </c>
      <c r="AP45" s="3150">
        <f t="shared" si="160"/>
        <v>101.6576021359336</v>
      </c>
      <c r="AQ45" s="3150"/>
      <c r="AR45" s="3150">
        <f t="shared" si="161"/>
        <v>100.91739362505101</v>
      </c>
    </row>
    <row r="46" spans="1:44" s="2041" customFormat="1" ht="12.75">
      <c r="A46" s="2902" t="s">
        <v>3354</v>
      </c>
      <c r="B46" s="2027">
        <v>2022</v>
      </c>
      <c r="C46" s="2038">
        <v>3</v>
      </c>
      <c r="D46" s="2003"/>
      <c r="E46" s="2003">
        <v>0.3</v>
      </c>
      <c r="F46" s="2003">
        <v>0.28999999999999998</v>
      </c>
      <c r="G46" s="2003">
        <v>0.83</v>
      </c>
      <c r="H46" s="2914"/>
      <c r="I46" s="2004">
        <f t="shared" si="174"/>
        <v>0.28999999999999998</v>
      </c>
      <c r="J46" s="2903"/>
      <c r="K46" s="2039"/>
      <c r="L46" s="2024">
        <f t="shared" si="175"/>
        <v>3.0000000000000001E-3</v>
      </c>
      <c r="M46" s="2024">
        <f t="shared" si="175"/>
        <v>2.8999999999999998E-3</v>
      </c>
      <c r="N46" s="2024">
        <f t="shared" si="175"/>
        <v>8.3000000000000001E-3</v>
      </c>
      <c r="O46" s="2024"/>
      <c r="P46" s="2024">
        <f t="shared" si="189"/>
        <v>2.8999999999999998E-3</v>
      </c>
      <c r="Q46" s="2903"/>
      <c r="R46" s="2023"/>
      <c r="S46" s="2023">
        <f>ROUND(IF(项目基本情况!$B$8="出让",SUMPRODUCT(PRODUCT(1+L46:L$52)),SUMPRODUCT(PRODUCT(1+L46:L$51))),4)</f>
        <v>1.0241</v>
      </c>
      <c r="T46" s="2023">
        <f>ROUND(IF(项目基本情况!$B$8="出让",SUMPRODUCT(PRODUCT(1+M46:M$52)),SUMPRODUCT(PRODUCT(1+M46:M$51))),4)</f>
        <v>1.0144</v>
      </c>
      <c r="U46" s="2023">
        <f>ROUND(IF(项目基本情况!$B$8="出让",SUMPRODUCT(PRODUCT(1+N46:N$52)),SUMPRODUCT(PRODUCT(1+N46:N$51))),4)</f>
        <v>1.0467</v>
      </c>
      <c r="V46" s="2023"/>
      <c r="W46" s="2023">
        <f t="shared" si="190"/>
        <v>1.0144</v>
      </c>
      <c r="X46" s="2903"/>
      <c r="Y46" s="2024"/>
      <c r="Z46" s="2899">
        <f t="shared" si="191"/>
        <v>3.8999999999999998E-3</v>
      </c>
      <c r="AA46" s="2900">
        <f t="shared" si="191"/>
        <v>2.7000000000000001E-3</v>
      </c>
      <c r="AB46" s="2024">
        <f t="shared" si="191"/>
        <v>7.9000000000000008E-3</v>
      </c>
      <c r="AC46" s="2901"/>
      <c r="AD46" s="2024">
        <f t="shared" si="191"/>
        <v>2.7000000000000001E-3</v>
      </c>
      <c r="AG46" s="3150">
        <f t="shared" si="129"/>
        <v>102.41</v>
      </c>
      <c r="AH46" s="3150">
        <f t="shared" si="130"/>
        <v>101.44</v>
      </c>
      <c r="AI46" s="3150">
        <f t="shared" si="131"/>
        <v>104.67</v>
      </c>
      <c r="AJ46" s="3152"/>
      <c r="AK46" s="3150">
        <f t="shared" si="132"/>
        <v>101.44</v>
      </c>
      <c r="AN46" s="3150">
        <f t="shared" si="148"/>
        <v>100.90422224593357</v>
      </c>
      <c r="AO46" s="3150">
        <f t="shared" si="159"/>
        <v>100.71596170164771</v>
      </c>
      <c r="AP46" s="3150">
        <f t="shared" si="160"/>
        <v>101.2727656265527</v>
      </c>
      <c r="AQ46" s="3150"/>
      <c r="AR46" s="3150">
        <f t="shared" si="161"/>
        <v>100.71596170164771</v>
      </c>
    </row>
    <row r="47" spans="1:44" s="2041" customFormat="1" ht="12.75">
      <c r="A47" s="2902" t="s">
        <v>3344</v>
      </c>
      <c r="B47" s="2027">
        <v>2022</v>
      </c>
      <c r="C47" s="2038">
        <v>2</v>
      </c>
      <c r="D47" s="2003"/>
      <c r="E47" s="2003">
        <v>-0.11</v>
      </c>
      <c r="F47" s="2003">
        <v>-0.13</v>
      </c>
      <c r="G47" s="2003">
        <v>0.53</v>
      </c>
      <c r="H47" s="2914"/>
      <c r="I47" s="2004">
        <f t="shared" si="174"/>
        <v>-0.13</v>
      </c>
      <c r="J47" s="2903"/>
      <c r="K47" s="2039"/>
      <c r="L47" s="2024">
        <f t="shared" si="175"/>
        <v>-1.1000000000000001E-3</v>
      </c>
      <c r="M47" s="2024">
        <f t="shared" si="175"/>
        <v>-1.2999999999999999E-3</v>
      </c>
      <c r="N47" s="2024">
        <f t="shared" si="175"/>
        <v>5.3E-3</v>
      </c>
      <c r="O47" s="2024"/>
      <c r="P47" s="2024">
        <f t="shared" si="189"/>
        <v>-1.2999999999999999E-3</v>
      </c>
      <c r="Q47" s="2903"/>
      <c r="R47" s="2023"/>
      <c r="S47" s="2023">
        <f>ROUND(IF(项目基本情况!$B$8="出让",SUMPRODUCT(PRODUCT(1+L47:L$52)),SUMPRODUCT(PRODUCT(1+L47:L$51))),4)</f>
        <v>1.0210999999999999</v>
      </c>
      <c r="T47" s="2023">
        <f>ROUND(IF(项目基本情况!$B$8="出让",SUMPRODUCT(PRODUCT(1+M47:M$52)),SUMPRODUCT(PRODUCT(1+M47:M$51))),4)</f>
        <v>1.0114000000000001</v>
      </c>
      <c r="U47" s="2023">
        <f>ROUND(IF(项目基本情况!$B$8="出让",SUMPRODUCT(PRODUCT(1+N47:N$52)),SUMPRODUCT(PRODUCT(1+N47:N$51))),4)</f>
        <v>1.0381</v>
      </c>
      <c r="V47" s="2023"/>
      <c r="W47" s="2023">
        <f t="shared" si="190"/>
        <v>1.0114000000000001</v>
      </c>
      <c r="X47" s="2903"/>
      <c r="Y47" s="2024"/>
      <c r="Z47" s="2899">
        <f t="shared" si="191"/>
        <v>4.1000000000000003E-3</v>
      </c>
      <c r="AA47" s="2900">
        <f t="shared" si="191"/>
        <v>2.7000000000000001E-3</v>
      </c>
      <c r="AB47" s="2024">
        <f t="shared" si="191"/>
        <v>7.9000000000000008E-3</v>
      </c>
      <c r="AC47" s="2901"/>
      <c r="AD47" s="2024">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100.60241500093079</v>
      </c>
      <c r="AO47" s="3150">
        <f t="shared" si="159"/>
        <v>100.42472998469212</v>
      </c>
      <c r="AP47" s="3150">
        <f t="shared" si="160"/>
        <v>100.43912092289268</v>
      </c>
      <c r="AQ47" s="3150"/>
      <c r="AR47" s="3150">
        <f t="shared" si="161"/>
        <v>100.42472998469212</v>
      </c>
    </row>
    <row r="48" spans="1:44" s="2041" customFormat="1" ht="12.75">
      <c r="A48" s="2902" t="s">
        <v>2825</v>
      </c>
      <c r="B48" s="2027">
        <v>2022</v>
      </c>
      <c r="C48" s="2038">
        <v>1</v>
      </c>
      <c r="D48" s="2003"/>
      <c r="E48" s="2003">
        <v>0.6</v>
      </c>
      <c r="F48" s="2003">
        <v>0.45</v>
      </c>
      <c r="G48" s="2003">
        <v>0.53</v>
      </c>
      <c r="H48" s="2914"/>
      <c r="I48" s="2004">
        <f t="shared" si="174"/>
        <v>0.45</v>
      </c>
      <c r="J48" s="2903"/>
      <c r="K48" s="2039"/>
      <c r="L48" s="2024">
        <f t="shared" si="175"/>
        <v>6.0000000000000001E-3</v>
      </c>
      <c r="M48" s="2024">
        <f t="shared" si="175"/>
        <v>4.5000000000000005E-3</v>
      </c>
      <c r="N48" s="2024">
        <f t="shared" si="175"/>
        <v>5.3E-3</v>
      </c>
      <c r="O48" s="2024"/>
      <c r="P48" s="2024">
        <f t="shared" si="189"/>
        <v>4.5000000000000005E-3</v>
      </c>
      <c r="Q48" s="2903"/>
      <c r="R48" s="2023"/>
      <c r="S48" s="2023">
        <f>ROUND(IF(项目基本情况!$B$8="出让",SUMPRODUCT(PRODUCT(1+L48:L$52)),SUMPRODUCT(PRODUCT(1+L48:L$51))),4)</f>
        <v>1.0222</v>
      </c>
      <c r="T48" s="2023">
        <f>ROUND(IF(项目基本情况!$B$8="出让",SUMPRODUCT(PRODUCT(1+M48:M$52)),SUMPRODUCT(PRODUCT(1+M48:M$51))),4)</f>
        <v>1.0127999999999999</v>
      </c>
      <c r="U48" s="2023">
        <f>ROUND(IF(项目基本情况!$B$8="出让",SUMPRODUCT(PRODUCT(1+N48:N$52)),SUMPRODUCT(PRODUCT(1+N48:N$51))),4)</f>
        <v>1.0326</v>
      </c>
      <c r="V48" s="2023"/>
      <c r="W48" s="2023">
        <f t="shared" si="190"/>
        <v>1.0127999999999999</v>
      </c>
      <c r="X48" s="2903"/>
      <c r="Y48" s="2024"/>
      <c r="Z48" s="2899">
        <f t="shared" si="191"/>
        <v>5.1000000000000004E-3</v>
      </c>
      <c r="AA48" s="2900">
        <f t="shared" si="191"/>
        <v>3.5000000000000001E-3</v>
      </c>
      <c r="AB48" s="2024">
        <f t="shared" si="191"/>
        <v>8.3999999999999995E-3</v>
      </c>
      <c r="AC48" s="2901"/>
      <c r="AD48" s="2024">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100.71319952040324</v>
      </c>
      <c r="AO48" s="3150">
        <f t="shared" si="159"/>
        <v>100.55545207238622</v>
      </c>
      <c r="AP48" s="3150">
        <f t="shared" si="160"/>
        <v>99.90960004266654</v>
      </c>
      <c r="AQ48" s="3150"/>
      <c r="AR48" s="3150">
        <f t="shared" si="161"/>
        <v>100.55545207238622</v>
      </c>
    </row>
    <row r="49" spans="1:44" s="2041" customFormat="1" ht="12.75">
      <c r="A49" s="2902" t="s">
        <v>2826</v>
      </c>
      <c r="B49" s="2027">
        <v>2021</v>
      </c>
      <c r="C49" s="2038">
        <v>4</v>
      </c>
      <c r="D49" s="2003"/>
      <c r="E49" s="2003">
        <v>0.57999999999999996</v>
      </c>
      <c r="F49" s="2003">
        <v>0.08</v>
      </c>
      <c r="G49" s="2003">
        <v>0.68</v>
      </c>
      <c r="H49" s="2914"/>
      <c r="I49" s="2004">
        <f t="shared" si="174"/>
        <v>0.08</v>
      </c>
      <c r="J49" s="2903"/>
      <c r="K49" s="2039"/>
      <c r="L49" s="2024">
        <f t="shared" si="175"/>
        <v>5.7999999999999996E-3</v>
      </c>
      <c r="M49" s="2024">
        <f t="shared" si="175"/>
        <v>8.0000000000000004E-4</v>
      </c>
      <c r="N49" s="2024">
        <f t="shared" si="175"/>
        <v>6.8000000000000005E-3</v>
      </c>
      <c r="O49" s="2024"/>
      <c r="P49" s="2024">
        <f t="shared" si="189"/>
        <v>8.0000000000000004E-4</v>
      </c>
      <c r="Q49" s="2903"/>
      <c r="R49" s="2023"/>
      <c r="S49" s="2023">
        <f>ROUND(IF(项目基本情况!$B$8="出让",SUMPRODUCT(PRODUCT(1+L49:L$52)),SUMPRODUCT(PRODUCT(1+L49:L$51))),4)</f>
        <v>1.0161</v>
      </c>
      <c r="T49" s="2023">
        <f>ROUND(IF(项目基本情况!$B$8="出让",SUMPRODUCT(PRODUCT(1+M49:M$52)),SUMPRODUCT(PRODUCT(1+M49:M$51))),4)</f>
        <v>1.0082</v>
      </c>
      <c r="U49" s="2023">
        <f>ROUND(IF(项目基本情况!$B$8="出让",SUMPRODUCT(PRODUCT(1+N49:N$52)),SUMPRODUCT(PRODUCT(1+N49:N$51))),4)</f>
        <v>1.0270999999999999</v>
      </c>
      <c r="V49" s="2023"/>
      <c r="W49" s="2023">
        <f t="shared" si="190"/>
        <v>1.0082</v>
      </c>
      <c r="X49" s="2903"/>
      <c r="Y49" s="2024"/>
      <c r="Z49" s="2899">
        <f t="shared" si="191"/>
        <v>4.8999999999999998E-3</v>
      </c>
      <c r="AA49" s="2900">
        <f t="shared" si="191"/>
        <v>3.3E-3</v>
      </c>
      <c r="AB49" s="2024">
        <f t="shared" si="191"/>
        <v>9.1999999999999998E-3</v>
      </c>
      <c r="AC49" s="2901"/>
      <c r="AD49" s="2024">
        <f t="shared" si="191"/>
        <v>3.3E-3</v>
      </c>
      <c r="AG49" s="3150">
        <f t="shared" si="129"/>
        <v>101.61</v>
      </c>
      <c r="AH49" s="3150">
        <f t="shared" si="130"/>
        <v>100.82</v>
      </c>
      <c r="AI49" s="3150">
        <f t="shared" si="131"/>
        <v>102.71</v>
      </c>
      <c r="AJ49" s="3152"/>
      <c r="AK49" s="3150">
        <f t="shared" si="132"/>
        <v>100.82</v>
      </c>
      <c r="AN49" s="3150">
        <f t="shared" si="148"/>
        <v>100.11252437415828</v>
      </c>
      <c r="AO49" s="3150">
        <f t="shared" si="159"/>
        <v>100.10497966389867</v>
      </c>
      <c r="AP49" s="3150">
        <f t="shared" si="160"/>
        <v>99.382870827281934</v>
      </c>
      <c r="AQ49" s="3150"/>
      <c r="AR49" s="3150">
        <f t="shared" si="161"/>
        <v>100.10497966389867</v>
      </c>
    </row>
    <row r="50" spans="1:44" s="2041" customFormat="1" ht="12.75">
      <c r="A50" s="2902" t="s">
        <v>2827</v>
      </c>
      <c r="B50" s="2027">
        <v>2021</v>
      </c>
      <c r="C50" s="2038">
        <v>3</v>
      </c>
      <c r="D50" s="2003"/>
      <c r="E50" s="2003">
        <v>0.47</v>
      </c>
      <c r="F50" s="2003">
        <v>0.28000000000000003</v>
      </c>
      <c r="G50" s="2003">
        <v>0.91</v>
      </c>
      <c r="H50" s="2914"/>
      <c r="I50" s="2004">
        <f t="shared" si="174"/>
        <v>0.28000000000000003</v>
      </c>
      <c r="J50" s="2903"/>
      <c r="K50" s="2039"/>
      <c r="L50" s="2024">
        <f t="shared" si="175"/>
        <v>4.6999999999999993E-3</v>
      </c>
      <c r="M50" s="2024">
        <f t="shared" si="175"/>
        <v>2.8000000000000004E-3</v>
      </c>
      <c r="N50" s="2024">
        <f t="shared" si="175"/>
        <v>9.1000000000000004E-3</v>
      </c>
      <c r="O50" s="2024"/>
      <c r="P50" s="2024">
        <f t="shared" si="189"/>
        <v>2.8000000000000004E-3</v>
      </c>
      <c r="Q50" s="2903"/>
      <c r="R50" s="2023"/>
      <c r="S50" s="2023">
        <f>ROUND(IF(项目基本情况!$B$8="出让",SUMPRODUCT(PRODUCT(1+L50:L$52)),SUMPRODUCT(PRODUCT(1+L50:L$51))),4)</f>
        <v>1.0102</v>
      </c>
      <c r="T50" s="2023">
        <f>ROUND(IF(项目基本情况!$B$8="出让",SUMPRODUCT(PRODUCT(1+M50:M$52)),SUMPRODUCT(PRODUCT(1+M50:M$51))),4)</f>
        <v>1.0074000000000001</v>
      </c>
      <c r="U50" s="2023">
        <f>ROUND(IF(项目基本情况!$B$8="出让",SUMPRODUCT(PRODUCT(1+N50:N$52)),SUMPRODUCT(PRODUCT(1+N50:N$51))),4)</f>
        <v>1.0202</v>
      </c>
      <c r="V50" s="2023"/>
      <c r="W50" s="2023">
        <f t="shared" si="190"/>
        <v>1.0074000000000001</v>
      </c>
      <c r="X50" s="2903"/>
      <c r="Y50" s="2024"/>
      <c r="Z50" s="2899">
        <f t="shared" si="191"/>
        <v>4.5999999999999999E-3</v>
      </c>
      <c r="AA50" s="2900">
        <f t="shared" si="191"/>
        <v>4.1000000000000003E-3</v>
      </c>
      <c r="AB50" s="2024">
        <f t="shared" si="191"/>
        <v>0.01</v>
      </c>
      <c r="AC50" s="2901"/>
      <c r="AD50" s="2024">
        <f t="shared" si="191"/>
        <v>4.1000000000000003E-3</v>
      </c>
      <c r="AG50" s="3150">
        <f t="shared" si="129"/>
        <v>101.02</v>
      </c>
      <c r="AH50" s="3150">
        <f t="shared" si="130"/>
        <v>100.74000000000001</v>
      </c>
      <c r="AI50" s="3150">
        <f t="shared" si="131"/>
        <v>102.02</v>
      </c>
      <c r="AJ50" s="3152"/>
      <c r="AK50" s="3150">
        <f t="shared" si="132"/>
        <v>100.74000000000001</v>
      </c>
      <c r="AN50" s="3150">
        <f t="shared" si="148"/>
        <v>99.535220097592244</v>
      </c>
      <c r="AO50" s="3150">
        <f t="shared" si="159"/>
        <v>100.02495969614176</v>
      </c>
      <c r="AP50" s="3150">
        <f t="shared" si="160"/>
        <v>98.711631731507694</v>
      </c>
      <c r="AQ50" s="3150"/>
      <c r="AR50" s="3150">
        <f t="shared" si="161"/>
        <v>100.02495969614176</v>
      </c>
    </row>
    <row r="51" spans="1:44" s="2041" customFormat="1" ht="12.75">
      <c r="A51" s="2902" t="s">
        <v>2828</v>
      </c>
      <c r="B51" s="2027">
        <v>2021</v>
      </c>
      <c r="C51" s="2038">
        <v>2</v>
      </c>
      <c r="D51" s="2003"/>
      <c r="E51" s="2003">
        <v>0.55000000000000004</v>
      </c>
      <c r="F51" s="2003">
        <v>0.46</v>
      </c>
      <c r="G51" s="2003">
        <v>1.1000000000000001</v>
      </c>
      <c r="H51" s="2914"/>
      <c r="I51" s="2004">
        <f t="shared" si="174"/>
        <v>0.46</v>
      </c>
      <c r="J51" s="2903"/>
      <c r="K51" s="2039"/>
      <c r="L51" s="2024">
        <f t="shared" si="175"/>
        <v>5.5000000000000005E-3</v>
      </c>
      <c r="M51" s="2024">
        <f t="shared" si="175"/>
        <v>4.5999999999999999E-3</v>
      </c>
      <c r="N51" s="2024">
        <f t="shared" si="175"/>
        <v>1.1000000000000001E-2</v>
      </c>
      <c r="O51" s="2024"/>
      <c r="P51" s="2024">
        <f t="shared" si="189"/>
        <v>4.5999999999999999E-3</v>
      </c>
      <c r="Q51" s="2903"/>
      <c r="R51" s="2023"/>
      <c r="S51" s="2023">
        <f>ROUND(IF(项目基本情况!$B$8="出让",SUMPRODUCT(PRODUCT(1+L51:L$52)),SUMPRODUCT(PRODUCT(1+L51:L$51))),4)</f>
        <v>1.0055000000000001</v>
      </c>
      <c r="T51" s="2023">
        <f>ROUND(IF(项目基本情况!$B$8="出让",SUMPRODUCT(PRODUCT(1+M51:M$52)),SUMPRODUCT(PRODUCT(1+M51:M$51))),4)</f>
        <v>1.0045999999999999</v>
      </c>
      <c r="U51" s="2023">
        <f>ROUND(IF(项目基本情况!$B$8="出让",SUMPRODUCT(PRODUCT(1+N51:N$52)),SUMPRODUCT(PRODUCT(1+N51:N$51))),4)</f>
        <v>1.0109999999999999</v>
      </c>
      <c r="V51" s="2023"/>
      <c r="W51" s="2023">
        <f t="shared" si="190"/>
        <v>1.0045999999999999</v>
      </c>
      <c r="X51" s="2903"/>
      <c r="Y51" s="2024"/>
      <c r="Z51" s="2899">
        <f t="shared" si="191"/>
        <v>4.4999999999999997E-3</v>
      </c>
      <c r="AA51" s="2900">
        <f t="shared" si="191"/>
        <v>4.7000000000000002E-3</v>
      </c>
      <c r="AB51" s="2024">
        <f t="shared" si="191"/>
        <v>1.04E-2</v>
      </c>
      <c r="AC51" s="2901"/>
      <c r="AD51" s="2024">
        <f t="shared" si="191"/>
        <v>4.7000000000000002E-3</v>
      </c>
      <c r="AG51" s="3150">
        <f>$AG$52*S51</f>
        <v>100.55000000000001</v>
      </c>
      <c r="AH51" s="3150">
        <f t="shared" ref="AH51:AK51" si="192">$AG$52*T51</f>
        <v>100.46</v>
      </c>
      <c r="AI51" s="3150">
        <f t="shared" si="192"/>
        <v>101.1</v>
      </c>
      <c r="AJ51" s="3152"/>
      <c r="AK51" s="3150">
        <f t="shared" si="192"/>
        <v>100.46</v>
      </c>
      <c r="AN51" s="3150">
        <f t="shared" si="148"/>
        <v>99.069593010443171</v>
      </c>
      <c r="AO51" s="3150">
        <f t="shared" si="159"/>
        <v>99.745671815059609</v>
      </c>
      <c r="AP51" s="3150">
        <f t="shared" si="160"/>
        <v>97.821456477561867</v>
      </c>
      <c r="AQ51" s="3150"/>
      <c r="AR51" s="3150">
        <f t="shared" si="161"/>
        <v>99.745671815059609</v>
      </c>
    </row>
    <row r="52" spans="1:44" s="2925" customFormat="1" ht="14.25" thickBot="1">
      <c r="A52" s="2915" t="s">
        <v>2814</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98.527690711529758</v>
      </c>
      <c r="AO52" s="3157">
        <f t="shared" si="159"/>
        <v>99.288942678737428</v>
      </c>
      <c r="AP52" s="3157">
        <f t="shared" si="160"/>
        <v>96.757128068805017</v>
      </c>
      <c r="AQ52" s="3157"/>
      <c r="AR52" s="3157">
        <f t="shared" si="161"/>
        <v>99.288942678737428</v>
      </c>
    </row>
    <row r="53" spans="1:44" ht="14.2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3352</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3349</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3350</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3351</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17">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17"/>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17"/>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24"/>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20">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17"/>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17"/>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24"/>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20">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17"/>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17"/>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18"/>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16">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17"/>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17"/>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18"/>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16">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17"/>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17"/>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18"/>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21">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22"/>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22"/>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23"/>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16">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17"/>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17"/>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18"/>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16">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17">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17">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18">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16">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17">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17">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18">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16">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17">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17">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18">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16">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17">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17">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18">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16">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17">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17">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18">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16">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17">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17">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18">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16">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17">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17">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18">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16">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17">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17">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18">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16">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17">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17">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18">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16">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17">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17">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18">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27" t="s">
        <v>2829</v>
      </c>
      <c r="B1" s="3527"/>
      <c r="C1" s="3527"/>
      <c r="D1" s="3527"/>
      <c r="E1" s="3527"/>
      <c r="F1" s="3527"/>
      <c r="G1" s="3528"/>
      <c r="I1" s="2935" t="s">
        <v>2830</v>
      </c>
      <c r="J1" s="2936" t="s">
        <v>2831</v>
      </c>
      <c r="K1" s="2936" t="s">
        <v>2832</v>
      </c>
      <c r="L1" s="2936" t="s">
        <v>2833</v>
      </c>
      <c r="M1" s="2936" t="s">
        <v>2834</v>
      </c>
      <c r="N1" s="2936" t="s">
        <v>2835</v>
      </c>
      <c r="O1" s="2936" t="s">
        <v>2836</v>
      </c>
      <c r="P1" s="2936" t="s">
        <v>2837</v>
      </c>
      <c r="Q1" s="2936" t="s">
        <v>2838</v>
      </c>
      <c r="R1" s="2936" t="s">
        <v>2839</v>
      </c>
      <c r="S1" s="2936" t="s">
        <v>2840</v>
      </c>
      <c r="T1" s="2937" t="s">
        <v>2841</v>
      </c>
    </row>
    <row r="2" spans="1:20" ht="12" thickBot="1">
      <c r="A2" s="2938" t="s">
        <v>2842</v>
      </c>
      <c r="B2" s="2938"/>
      <c r="C2" s="2938"/>
      <c r="D2" s="2938"/>
      <c r="E2" s="2938"/>
      <c r="F2" s="2938"/>
      <c r="G2" s="2939" t="s">
        <v>2843</v>
      </c>
      <c r="I2" s="2940" t="s">
        <v>2844</v>
      </c>
      <c r="J2" s="2940" t="s">
        <v>2845</v>
      </c>
      <c r="K2" s="2940" t="s">
        <v>2846</v>
      </c>
      <c r="L2" s="2940" t="s">
        <v>2847</v>
      </c>
      <c r="M2" s="2940" t="s">
        <v>2848</v>
      </c>
      <c r="N2" s="2940" t="s">
        <v>2849</v>
      </c>
      <c r="O2" s="2940" t="s">
        <v>2850</v>
      </c>
      <c r="P2" s="2940" t="s">
        <v>2851</v>
      </c>
      <c r="Q2" s="2940" t="s">
        <v>2852</v>
      </c>
      <c r="R2" s="2940" t="s">
        <v>2853</v>
      </c>
      <c r="S2" s="2940" t="s">
        <v>2854</v>
      </c>
      <c r="T2" s="2940" t="s">
        <v>2855</v>
      </c>
    </row>
    <row r="3" spans="1:20" s="2946" customFormat="1">
      <c r="A3" s="3525" t="s">
        <v>2856</v>
      </c>
      <c r="B3" s="2941"/>
      <c r="C3" s="2942" t="s">
        <v>2801</v>
      </c>
      <c r="D3" s="2942" t="s">
        <v>2857</v>
      </c>
      <c r="E3" s="2942" t="s">
        <v>2803</v>
      </c>
      <c r="F3" s="2942" t="s">
        <v>2858</v>
      </c>
      <c r="G3" s="2942" t="s">
        <v>2621</v>
      </c>
      <c r="H3" s="2943"/>
      <c r="I3" s="2944" t="s">
        <v>2859</v>
      </c>
      <c r="J3" s="2945" t="s">
        <v>128</v>
      </c>
      <c r="K3" s="2945" t="s">
        <v>129</v>
      </c>
      <c r="L3" s="2944" t="s">
        <v>130</v>
      </c>
      <c r="M3" s="2944" t="s">
        <v>131</v>
      </c>
      <c r="N3" s="2944" t="s">
        <v>132</v>
      </c>
      <c r="O3" s="2944" t="s">
        <v>133</v>
      </c>
      <c r="P3" s="2944" t="s">
        <v>134</v>
      </c>
      <c r="Q3" s="2944" t="s">
        <v>135</v>
      </c>
      <c r="R3" s="2944" t="s">
        <v>136</v>
      </c>
      <c r="S3" s="2944" t="s">
        <v>2860</v>
      </c>
      <c r="T3" s="2944" t="s">
        <v>2861</v>
      </c>
    </row>
    <row r="4" spans="1:20" s="2946" customFormat="1" ht="12" thickBot="1">
      <c r="A4" s="3526"/>
      <c r="B4" s="2947" t="s">
        <v>2862</v>
      </c>
      <c r="C4" s="2947" t="s">
        <v>2863</v>
      </c>
      <c r="D4" s="2947" t="s">
        <v>2863</v>
      </c>
      <c r="E4" s="2947" t="s">
        <v>2863</v>
      </c>
      <c r="F4" s="2948" t="s">
        <v>2863</v>
      </c>
      <c r="G4" s="2948" t="s">
        <v>2863</v>
      </c>
      <c r="H4" s="2943"/>
      <c r="I4" s="2945" t="s">
        <v>137</v>
      </c>
      <c r="J4" s="2945" t="s">
        <v>111</v>
      </c>
      <c r="K4" s="2945" t="s">
        <v>138</v>
      </c>
      <c r="L4" s="2944" t="s">
        <v>139</v>
      </c>
      <c r="M4" s="2944" t="s">
        <v>140</v>
      </c>
      <c r="N4" s="2944" t="s">
        <v>141</v>
      </c>
      <c r="O4" s="2944" t="s">
        <v>142</v>
      </c>
      <c r="P4" s="2944" t="s">
        <v>143</v>
      </c>
      <c r="Q4" s="2944" t="s">
        <v>2864</v>
      </c>
      <c r="R4" s="2944" t="s">
        <v>2865</v>
      </c>
      <c r="S4" s="2944" t="s">
        <v>2866</v>
      </c>
      <c r="T4" s="2944" t="s">
        <v>2867</v>
      </c>
    </row>
    <row r="5" spans="1:20">
      <c r="A5" s="2949" t="s">
        <v>2830</v>
      </c>
      <c r="B5" s="2940" t="s">
        <v>2844</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2868</v>
      </c>
      <c r="R5" s="2944" t="s">
        <v>2869</v>
      </c>
      <c r="S5" s="2944" t="s">
        <v>153</v>
      </c>
      <c r="T5" s="2944" t="s">
        <v>2870</v>
      </c>
    </row>
    <row r="6" spans="1:20" ht="12" thickBot="1">
      <c r="A6" s="2944" t="s">
        <v>144</v>
      </c>
      <c r="B6" s="2944" t="s">
        <v>2859</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2871</v>
      </c>
      <c r="Q6" s="2944" t="s">
        <v>2872</v>
      </c>
      <c r="R6" s="2944" t="s">
        <v>161</v>
      </c>
      <c r="S6" s="2944" t="s">
        <v>2873</v>
      </c>
      <c r="T6" s="2944" t="s">
        <v>2874</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2875</v>
      </c>
      <c r="Q7" s="2944" t="s">
        <v>2876</v>
      </c>
      <c r="R7" s="2944" t="s">
        <v>2877</v>
      </c>
      <c r="S7" s="2944" t="s">
        <v>2878</v>
      </c>
      <c r="T7" s="2944" t="s">
        <v>2879</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2880</v>
      </c>
      <c r="Q8" s="2944" t="s">
        <v>174</v>
      </c>
      <c r="R8" s="2944" t="s">
        <v>2881</v>
      </c>
      <c r="S8" s="2944" t="s">
        <v>2882</v>
      </c>
      <c r="T8" s="2951" t="s">
        <v>2883</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2884</v>
      </c>
      <c r="Q9" s="2944" t="s">
        <v>182</v>
      </c>
      <c r="R9" s="2944" t="s">
        <v>183</v>
      </c>
      <c r="S9" s="2944" t="s">
        <v>200</v>
      </c>
    </row>
    <row r="10" spans="1:20">
      <c r="A10" s="2949" t="s">
        <v>184</v>
      </c>
      <c r="B10" s="2940" t="s">
        <v>2845</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2885</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2886</v>
      </c>
      <c r="P11" s="2944" t="s">
        <v>191</v>
      </c>
      <c r="Q11" s="2944" t="s">
        <v>199</v>
      </c>
      <c r="R11" s="2944" t="s">
        <v>2887</v>
      </c>
      <c r="S11" s="2944" t="s">
        <v>2888</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2889</v>
      </c>
      <c r="P12" s="2944" t="s">
        <v>2890</v>
      </c>
      <c r="Q12" s="2944" t="s">
        <v>2891</v>
      </c>
      <c r="R12" s="2944" t="s">
        <v>2892</v>
      </c>
      <c r="S12" s="2944" t="s">
        <v>2893</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2894</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2895</v>
      </c>
      <c r="K14" s="2945" t="s">
        <v>215</v>
      </c>
      <c r="L14" s="2944" t="s">
        <v>216</v>
      </c>
      <c r="M14" s="2944" t="s">
        <v>217</v>
      </c>
      <c r="N14" s="2944" t="s">
        <v>218</v>
      </c>
      <c r="O14" s="2944" t="s">
        <v>240</v>
      </c>
      <c r="P14" s="2944" t="s">
        <v>213</v>
      </c>
      <c r="Q14" s="2944" t="s">
        <v>2896</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2897</v>
      </c>
      <c r="P15" s="2944" t="s">
        <v>2898</v>
      </c>
      <c r="Q15" s="2944" t="s">
        <v>242</v>
      </c>
      <c r="R15" s="2944" t="s">
        <v>2899</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2900</v>
      </c>
      <c r="P16" s="2944" t="s">
        <v>227</v>
      </c>
      <c r="Q16" s="2944" t="s">
        <v>250</v>
      </c>
      <c r="R16" s="2944" t="s">
        <v>207</v>
      </c>
      <c r="S16" s="2944" t="s">
        <v>2901</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2902</v>
      </c>
      <c r="P17" s="2944" t="s">
        <v>2903</v>
      </c>
      <c r="Q17" s="2944" t="s">
        <v>256</v>
      </c>
      <c r="R17" s="2944" t="s">
        <v>2904</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2905</v>
      </c>
      <c r="P18" s="2944" t="s">
        <v>241</v>
      </c>
      <c r="Q18" s="2944" t="s">
        <v>2906</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2907</v>
      </c>
      <c r="P19" s="2944" t="s">
        <v>249</v>
      </c>
      <c r="Q19" s="2944" t="s">
        <v>2908</v>
      </c>
      <c r="R19" s="2944" t="s">
        <v>265</v>
      </c>
      <c r="S19" s="2944" t="s">
        <v>2909</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2910</v>
      </c>
      <c r="P20" s="2944" t="s">
        <v>2911</v>
      </c>
      <c r="Q20" s="2944" t="s">
        <v>290</v>
      </c>
      <c r="R20" s="2944" t="s">
        <v>2912</v>
      </c>
      <c r="S20" s="2944" t="s">
        <v>277</v>
      </c>
    </row>
    <row r="21" spans="1:19" ht="14.25" customHeight="1" thickBot="1">
      <c r="A21" s="2944" t="s">
        <v>184</v>
      </c>
      <c r="B21" s="2945" t="s">
        <v>208</v>
      </c>
      <c r="C21" s="2944">
        <v>32370</v>
      </c>
      <c r="D21" s="2944">
        <v>26730</v>
      </c>
      <c r="E21" s="2944">
        <v>26640</v>
      </c>
      <c r="F21" s="2944"/>
      <c r="G21" s="2944">
        <v>19440</v>
      </c>
      <c r="J21" s="2951" t="s">
        <v>2913</v>
      </c>
      <c r="K21" s="2945" t="s">
        <v>267</v>
      </c>
      <c r="L21" s="2944" t="s">
        <v>268</v>
      </c>
      <c r="M21" s="2944" t="s">
        <v>269</v>
      </c>
      <c r="N21" s="2944" t="s">
        <v>270</v>
      </c>
      <c r="O21" s="2944" t="s">
        <v>264</v>
      </c>
      <c r="P21" s="2944" t="s">
        <v>283</v>
      </c>
      <c r="Q21" s="2944" t="s">
        <v>293</v>
      </c>
      <c r="R21" s="2944" t="s">
        <v>2914</v>
      </c>
      <c r="S21" s="2951" t="s">
        <v>2915</v>
      </c>
    </row>
    <row r="22" spans="1:19" ht="14.25" customHeight="1">
      <c r="A22" s="2944" t="s">
        <v>184</v>
      </c>
      <c r="B22" s="2945" t="s">
        <v>2895</v>
      </c>
      <c r="C22" s="2944">
        <v>29830</v>
      </c>
      <c r="D22" s="2944">
        <v>27600</v>
      </c>
      <c r="E22" s="2944">
        <v>28150</v>
      </c>
      <c r="F22" s="2944"/>
      <c r="G22" s="2944">
        <v>20080</v>
      </c>
      <c r="K22" s="2945" t="s">
        <v>2916</v>
      </c>
      <c r="L22" s="2944" t="s">
        <v>272</v>
      </c>
      <c r="M22" s="2944" t="s">
        <v>273</v>
      </c>
      <c r="N22" s="2944" t="s">
        <v>274</v>
      </c>
      <c r="O22" s="2944" t="s">
        <v>2917</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2918</v>
      </c>
      <c r="L23" s="2944" t="s">
        <v>278</v>
      </c>
      <c r="M23" s="2944" t="s">
        <v>279</v>
      </c>
      <c r="N23" s="2944" t="s">
        <v>2919</v>
      </c>
      <c r="O23" s="2944" t="s">
        <v>2920</v>
      </c>
      <c r="P23" s="2944" t="s">
        <v>289</v>
      </c>
      <c r="Q23" s="2944" t="s">
        <v>298</v>
      </c>
      <c r="R23" s="2944" t="s">
        <v>2921</v>
      </c>
    </row>
    <row r="24" spans="1:19" ht="14.25" customHeight="1">
      <c r="A24" s="2944" t="s">
        <v>184</v>
      </c>
      <c r="B24" s="2945" t="s">
        <v>230</v>
      </c>
      <c r="C24" s="2944">
        <v>27930</v>
      </c>
      <c r="D24" s="2944">
        <v>32260</v>
      </c>
      <c r="E24" s="2944">
        <v>32120</v>
      </c>
      <c r="F24" s="2944"/>
      <c r="G24" s="2944">
        <v>23470</v>
      </c>
      <c r="K24" s="2945" t="s">
        <v>2922</v>
      </c>
      <c r="L24" s="2944" t="s">
        <v>281</v>
      </c>
      <c r="M24" s="2944" t="s">
        <v>282</v>
      </c>
      <c r="N24" s="2944" t="s">
        <v>2923</v>
      </c>
      <c r="O24" s="2944" t="s">
        <v>285</v>
      </c>
      <c r="P24" s="2944" t="s">
        <v>2924</v>
      </c>
      <c r="Q24" s="2953" t="s">
        <v>2925</v>
      </c>
      <c r="R24" s="2944" t="s">
        <v>2926</v>
      </c>
    </row>
    <row r="25" spans="1:19" ht="14.25" customHeight="1">
      <c r="A25" s="2944" t="s">
        <v>184</v>
      </c>
      <c r="B25" s="2945" t="s">
        <v>235</v>
      </c>
      <c r="C25" s="2944">
        <v>32230</v>
      </c>
      <c r="D25" s="2944">
        <v>29640</v>
      </c>
      <c r="E25" s="2944">
        <v>29510</v>
      </c>
      <c r="F25" s="2944"/>
      <c r="G25" s="2944">
        <v>21560</v>
      </c>
      <c r="K25" s="2945" t="s">
        <v>2927</v>
      </c>
      <c r="L25" s="2944" t="s">
        <v>2928</v>
      </c>
      <c r="M25" s="2944" t="s">
        <v>284</v>
      </c>
      <c r="N25" s="2944" t="s">
        <v>292</v>
      </c>
      <c r="O25" s="2944" t="s">
        <v>288</v>
      </c>
      <c r="P25" s="2944" t="s">
        <v>275</v>
      </c>
      <c r="Q25" s="2953" t="s">
        <v>271</v>
      </c>
      <c r="R25" s="2944" t="s">
        <v>2929</v>
      </c>
    </row>
    <row r="26" spans="1:19" ht="14.25" customHeight="1" thickBot="1">
      <c r="A26" s="2944" t="s">
        <v>184</v>
      </c>
      <c r="B26" s="2945" t="s">
        <v>244</v>
      </c>
      <c r="C26" s="2944">
        <v>31690</v>
      </c>
      <c r="D26" s="2944">
        <v>27650</v>
      </c>
      <c r="E26" s="2944">
        <v>28200</v>
      </c>
      <c r="F26" s="2944"/>
      <c r="G26" s="2944">
        <v>20110</v>
      </c>
      <c r="K26" s="2950" t="s">
        <v>2930</v>
      </c>
      <c r="L26" s="2944" t="s">
        <v>2931</v>
      </c>
      <c r="M26" s="2944" t="s">
        <v>287</v>
      </c>
      <c r="N26" s="2944" t="s">
        <v>294</v>
      </c>
      <c r="O26" s="2944" t="s">
        <v>2932</v>
      </c>
      <c r="P26" s="2944" t="s">
        <v>2933</v>
      </c>
      <c r="Q26" s="2953" t="s">
        <v>276</v>
      </c>
      <c r="R26" s="2944" t="s">
        <v>2934</v>
      </c>
    </row>
    <row r="27" spans="1:19" ht="14.25" customHeight="1">
      <c r="A27" s="2944" t="s">
        <v>184</v>
      </c>
      <c r="B27" s="2945" t="s">
        <v>251</v>
      </c>
      <c r="C27" s="2944">
        <v>29610</v>
      </c>
      <c r="D27" s="2944">
        <v>27770</v>
      </c>
      <c r="E27" s="2944">
        <v>28300</v>
      </c>
      <c r="F27" s="2944"/>
      <c r="G27" s="2944">
        <v>20210</v>
      </c>
      <c r="L27" s="2944" t="s">
        <v>2935</v>
      </c>
      <c r="M27" s="2944" t="s">
        <v>291</v>
      </c>
      <c r="N27" s="2944" t="s">
        <v>297</v>
      </c>
      <c r="O27" s="2944" t="s">
        <v>2936</v>
      </c>
      <c r="P27" s="2944" t="s">
        <v>2937</v>
      </c>
      <c r="Q27" s="2944" t="s">
        <v>2938</v>
      </c>
      <c r="R27" s="2944" t="s">
        <v>2939</v>
      </c>
    </row>
    <row r="28" spans="1:19" ht="14.25" customHeight="1">
      <c r="A28" s="2944" t="s">
        <v>184</v>
      </c>
      <c r="B28" s="2945" t="s">
        <v>259</v>
      </c>
      <c r="C28" s="2944"/>
      <c r="D28" s="2944">
        <v>31520</v>
      </c>
      <c r="E28" s="2944">
        <v>31410</v>
      </c>
      <c r="F28" s="2944"/>
      <c r="G28" s="2944">
        <v>22940</v>
      </c>
      <c r="L28" s="2944" t="s">
        <v>2940</v>
      </c>
      <c r="M28" s="2944" t="s">
        <v>2941</v>
      </c>
      <c r="N28" s="2944" t="s">
        <v>2942</v>
      </c>
      <c r="O28" s="2944" t="s">
        <v>2943</v>
      </c>
      <c r="P28" s="2944" t="s">
        <v>2944</v>
      </c>
      <c r="Q28" s="2944" t="s">
        <v>2945</v>
      </c>
      <c r="R28" s="2944" t="s">
        <v>2946</v>
      </c>
    </row>
    <row r="29" spans="1:19" ht="14.25" customHeight="1" thickBot="1">
      <c r="A29" s="2952" t="s">
        <v>184</v>
      </c>
      <c r="B29" s="2954" t="s">
        <v>2913</v>
      </c>
      <c r="C29" s="2955"/>
      <c r="D29" s="2955">
        <v>29460</v>
      </c>
      <c r="E29" s="2955">
        <v>28640</v>
      </c>
      <c r="F29" s="2955"/>
      <c r="G29" s="2955">
        <v>21430</v>
      </c>
      <c r="L29" s="2944" t="s">
        <v>2947</v>
      </c>
      <c r="M29" s="2944" t="s">
        <v>2948</v>
      </c>
      <c r="N29" s="2944" t="s">
        <v>2949</v>
      </c>
      <c r="O29" s="2944" t="s">
        <v>2950</v>
      </c>
      <c r="P29" s="2944" t="s">
        <v>2951</v>
      </c>
      <c r="Q29" s="2944" t="s">
        <v>2952</v>
      </c>
      <c r="R29" s="2944" t="s">
        <v>280</v>
      </c>
    </row>
    <row r="30" spans="1:19" ht="14.25" customHeight="1">
      <c r="A30" s="2949" t="s">
        <v>296</v>
      </c>
      <c r="B30" s="2940" t="s">
        <v>2846</v>
      </c>
      <c r="C30" s="2940">
        <v>26890</v>
      </c>
      <c r="D30" s="2940">
        <v>26770</v>
      </c>
      <c r="E30" s="2940">
        <v>25700</v>
      </c>
      <c r="F30" s="2940">
        <v>8180</v>
      </c>
      <c r="G30" s="2956">
        <v>18740</v>
      </c>
      <c r="L30" s="2944" t="s">
        <v>2953</v>
      </c>
      <c r="M30" s="2944" t="s">
        <v>2954</v>
      </c>
      <c r="N30" s="2944" t="s">
        <v>2955</v>
      </c>
      <c r="O30" s="2944" t="s">
        <v>2956</v>
      </c>
      <c r="P30" s="2944" t="s">
        <v>2957</v>
      </c>
      <c r="Q30" s="2944" t="s">
        <v>2958</v>
      </c>
      <c r="R30" s="2944" t="s">
        <v>2959</v>
      </c>
    </row>
    <row r="31" spans="1:19" ht="14.25" customHeight="1">
      <c r="A31" s="2944" t="s">
        <v>296</v>
      </c>
      <c r="B31" s="2945" t="s">
        <v>129</v>
      </c>
      <c r="C31" s="2944">
        <v>24550</v>
      </c>
      <c r="D31" s="2944">
        <v>23990</v>
      </c>
      <c r="E31" s="2944">
        <v>22930</v>
      </c>
      <c r="F31" s="2944">
        <v>7470</v>
      </c>
      <c r="G31" s="2957">
        <v>16790</v>
      </c>
      <c r="L31" s="2944" t="s">
        <v>2960</v>
      </c>
      <c r="M31" s="2944" t="s">
        <v>2961</v>
      </c>
      <c r="N31" s="2944" t="s">
        <v>2962</v>
      </c>
      <c r="O31" s="2944" t="s">
        <v>2963</v>
      </c>
      <c r="P31" s="2944" t="s">
        <v>2964</v>
      </c>
      <c r="Q31" s="2944" t="s">
        <v>2965</v>
      </c>
      <c r="R31" s="2944" t="s">
        <v>2966</v>
      </c>
    </row>
    <row r="32" spans="1:19" ht="14.25" customHeight="1" thickBot="1">
      <c r="A32" s="2944" t="s">
        <v>296</v>
      </c>
      <c r="B32" s="2945" t="s">
        <v>138</v>
      </c>
      <c r="C32" s="2944">
        <v>27210</v>
      </c>
      <c r="D32" s="2944">
        <v>23240</v>
      </c>
      <c r="E32" s="2944">
        <v>23260</v>
      </c>
      <c r="F32" s="2944">
        <v>7130</v>
      </c>
      <c r="G32" s="2957">
        <v>16270</v>
      </c>
      <c r="L32" s="2944" t="s">
        <v>2967</v>
      </c>
      <c r="M32" s="2944" t="s">
        <v>2968</v>
      </c>
      <c r="N32" s="2944" t="s">
        <v>300</v>
      </c>
      <c r="O32" s="2944" t="s">
        <v>2969</v>
      </c>
      <c r="P32" s="2944" t="s">
        <v>299</v>
      </c>
      <c r="Q32" s="2944" t="s">
        <v>2970</v>
      </c>
      <c r="R32" s="2951" t="s">
        <v>2971</v>
      </c>
    </row>
    <row r="33" spans="1:17" ht="14.25" customHeight="1" thickBot="1">
      <c r="A33" s="2944" t="s">
        <v>296</v>
      </c>
      <c r="B33" s="2945" t="s">
        <v>147</v>
      </c>
      <c r="C33" s="2944">
        <v>27300</v>
      </c>
      <c r="D33" s="2944">
        <v>22980</v>
      </c>
      <c r="E33" s="2944">
        <v>24260</v>
      </c>
      <c r="F33" s="2944">
        <v>5860</v>
      </c>
      <c r="G33" s="2957">
        <v>16090</v>
      </c>
      <c r="L33" s="2951" t="s">
        <v>2972</v>
      </c>
      <c r="M33" s="2944" t="s">
        <v>2973</v>
      </c>
      <c r="N33" s="2944" t="s">
        <v>301</v>
      </c>
      <c r="O33" s="2944" t="s">
        <v>2974</v>
      </c>
      <c r="P33" s="2944" t="s">
        <v>2975</v>
      </c>
      <c r="Q33" s="2944" t="s">
        <v>2976</v>
      </c>
    </row>
    <row r="34" spans="1:17" ht="14.25" customHeight="1">
      <c r="A34" s="2944" t="s">
        <v>296</v>
      </c>
      <c r="B34" s="2945" t="s">
        <v>156</v>
      </c>
      <c r="C34" s="2944">
        <v>23090</v>
      </c>
      <c r="D34" s="2944">
        <v>23390</v>
      </c>
      <c r="E34" s="2944">
        <v>23510</v>
      </c>
      <c r="F34" s="2944">
        <v>6700</v>
      </c>
      <c r="G34" s="2957">
        <v>16370</v>
      </c>
      <c r="M34" s="2944" t="s">
        <v>2977</v>
      </c>
      <c r="N34" s="2944" t="s">
        <v>302</v>
      </c>
      <c r="O34" s="2944" t="s">
        <v>2978</v>
      </c>
      <c r="P34" s="2944" t="s">
        <v>2979</v>
      </c>
      <c r="Q34" s="2944" t="s">
        <v>2980</v>
      </c>
    </row>
    <row r="35" spans="1:17" ht="14.25" customHeight="1">
      <c r="A35" s="2944" t="s">
        <v>296</v>
      </c>
      <c r="B35" s="2945" t="s">
        <v>163</v>
      </c>
      <c r="C35" s="2944">
        <v>27270</v>
      </c>
      <c r="D35" s="2944">
        <v>24270</v>
      </c>
      <c r="E35" s="2944">
        <v>24950</v>
      </c>
      <c r="F35" s="2944">
        <v>6600</v>
      </c>
      <c r="G35" s="2957">
        <v>16990</v>
      </c>
      <c r="M35" s="2944" t="s">
        <v>2981</v>
      </c>
      <c r="N35" s="2944" t="s">
        <v>2982</v>
      </c>
      <c r="O35" s="2944" t="s">
        <v>2983</v>
      </c>
      <c r="P35" s="2944" t="s">
        <v>2984</v>
      </c>
      <c r="Q35" s="2944" t="s">
        <v>2985</v>
      </c>
    </row>
    <row r="36" spans="1:17" ht="14.25" customHeight="1">
      <c r="A36" s="2944" t="s">
        <v>296</v>
      </c>
      <c r="B36" s="2945" t="s">
        <v>169</v>
      </c>
      <c r="C36" s="2944">
        <v>23490</v>
      </c>
      <c r="D36" s="2944">
        <v>23020</v>
      </c>
      <c r="E36" s="2944">
        <v>25230</v>
      </c>
      <c r="F36" s="2944">
        <v>6780</v>
      </c>
      <c r="G36" s="2957">
        <v>16120</v>
      </c>
      <c r="M36" s="2944" t="s">
        <v>2986</v>
      </c>
      <c r="N36" s="2944" t="s">
        <v>2987</v>
      </c>
      <c r="O36" s="2944" t="s">
        <v>2988</v>
      </c>
      <c r="P36" s="2944" t="s">
        <v>2989</v>
      </c>
      <c r="Q36" s="2944" t="s">
        <v>2990</v>
      </c>
    </row>
    <row r="37" spans="1:17" ht="14.25" customHeight="1">
      <c r="A37" s="2944" t="s">
        <v>296</v>
      </c>
      <c r="B37" s="2945" t="s">
        <v>176</v>
      </c>
      <c r="C37" s="2944">
        <v>24380</v>
      </c>
      <c r="D37" s="2944">
        <v>22240</v>
      </c>
      <c r="E37" s="2944">
        <v>25980</v>
      </c>
      <c r="F37" s="2944">
        <v>8160</v>
      </c>
      <c r="G37" s="2957">
        <v>15570</v>
      </c>
      <c r="M37" s="2944" t="s">
        <v>2991</v>
      </c>
      <c r="N37" s="2944" t="s">
        <v>2992</v>
      </c>
      <c r="O37" s="2944" t="s">
        <v>2993</v>
      </c>
      <c r="P37" s="2944" t="s">
        <v>2994</v>
      </c>
      <c r="Q37" s="2944" t="s">
        <v>2995</v>
      </c>
    </row>
    <row r="38" spans="1:17" ht="14.25" customHeight="1">
      <c r="A38" s="2944" t="s">
        <v>296</v>
      </c>
      <c r="B38" s="2945" t="s">
        <v>186</v>
      </c>
      <c r="C38" s="2944">
        <v>23120</v>
      </c>
      <c r="D38" s="2944">
        <v>24630</v>
      </c>
      <c r="E38" s="2944">
        <v>25030</v>
      </c>
      <c r="F38" s="2944">
        <v>7710</v>
      </c>
      <c r="G38" s="2957">
        <v>17240</v>
      </c>
      <c r="M38" s="2944" t="s">
        <v>2996</v>
      </c>
      <c r="N38" s="2944" t="s">
        <v>2997</v>
      </c>
      <c r="O38" s="2944" t="s">
        <v>2998</v>
      </c>
      <c r="P38" s="2944" t="s">
        <v>2999</v>
      </c>
      <c r="Q38" s="2944" t="s">
        <v>3000</v>
      </c>
    </row>
    <row r="39" spans="1:17" ht="14.25" customHeight="1">
      <c r="A39" s="2944" t="s">
        <v>296</v>
      </c>
      <c r="B39" s="2945" t="s">
        <v>195</v>
      </c>
      <c r="C39" s="2944">
        <v>22330</v>
      </c>
      <c r="D39" s="2944">
        <v>21140</v>
      </c>
      <c r="E39" s="2944">
        <v>23970</v>
      </c>
      <c r="F39" s="2944">
        <v>7940</v>
      </c>
      <c r="G39" s="2957">
        <v>14790</v>
      </c>
      <c r="M39" s="2944" t="s">
        <v>3001</v>
      </c>
      <c r="N39" s="2944" t="s">
        <v>3002</v>
      </c>
      <c r="O39" s="2944" t="s">
        <v>3003</v>
      </c>
      <c r="P39" s="2944" t="s">
        <v>3004</v>
      </c>
      <c r="Q39" s="2944" t="s">
        <v>3005</v>
      </c>
    </row>
    <row r="40" spans="1:17" ht="14.25" customHeight="1">
      <c r="A40" s="2944" t="s">
        <v>296</v>
      </c>
      <c r="B40" s="2945" t="s">
        <v>202</v>
      </c>
      <c r="C40" s="2944">
        <v>24740</v>
      </c>
      <c r="D40" s="2944">
        <v>24690</v>
      </c>
      <c r="E40" s="2944">
        <v>22610</v>
      </c>
      <c r="F40" s="2944"/>
      <c r="G40" s="2957">
        <v>17280</v>
      </c>
      <c r="M40" s="2944" t="s">
        <v>3006</v>
      </c>
      <c r="N40" s="2944" t="s">
        <v>3007</v>
      </c>
      <c r="O40" s="2944" t="s">
        <v>3008</v>
      </c>
      <c r="P40" s="2944" t="s">
        <v>3009</v>
      </c>
      <c r="Q40" s="2944" t="s">
        <v>3010</v>
      </c>
    </row>
    <row r="41" spans="1:17" ht="14.25" customHeight="1" thickBot="1">
      <c r="A41" s="2944" t="s">
        <v>296</v>
      </c>
      <c r="B41" s="2945" t="s">
        <v>209</v>
      </c>
      <c r="C41" s="2944">
        <v>21220</v>
      </c>
      <c r="D41" s="2944">
        <v>21120</v>
      </c>
      <c r="E41" s="2944">
        <v>22590</v>
      </c>
      <c r="F41" s="2944"/>
      <c r="G41" s="2957">
        <v>14780</v>
      </c>
      <c r="M41" s="2951" t="s">
        <v>3011</v>
      </c>
      <c r="N41" s="2944" t="s">
        <v>3012</v>
      </c>
      <c r="O41" s="2944" t="s">
        <v>3013</v>
      </c>
      <c r="P41" s="2944" t="s">
        <v>3014</v>
      </c>
      <c r="Q41" s="2944" t="s">
        <v>3015</v>
      </c>
    </row>
    <row r="42" spans="1:17" ht="14.25" customHeight="1">
      <c r="A42" s="2944" t="s">
        <v>296</v>
      </c>
      <c r="B42" s="2945" t="s">
        <v>215</v>
      </c>
      <c r="C42" s="2944">
        <v>24800</v>
      </c>
      <c r="D42" s="2944">
        <v>22280</v>
      </c>
      <c r="E42" s="2944">
        <v>24350</v>
      </c>
      <c r="F42" s="2944"/>
      <c r="G42" s="2957">
        <v>15590</v>
      </c>
      <c r="N42" s="2944" t="s">
        <v>3016</v>
      </c>
      <c r="O42" s="2944" t="s">
        <v>3017</v>
      </c>
      <c r="P42" s="2944" t="s">
        <v>3018</v>
      </c>
      <c r="Q42" s="2944" t="s">
        <v>3019</v>
      </c>
    </row>
    <row r="43" spans="1:17" ht="14.25" customHeight="1">
      <c r="A43" s="2944" t="s">
        <v>3020</v>
      </c>
      <c r="B43" s="2945" t="s">
        <v>223</v>
      </c>
      <c r="C43" s="2944">
        <v>21210</v>
      </c>
      <c r="D43" s="2944">
        <v>21160</v>
      </c>
      <c r="E43" s="2944">
        <v>22650</v>
      </c>
      <c r="F43" s="2944"/>
      <c r="G43" s="2957">
        <v>14800</v>
      </c>
      <c r="N43" s="2944" t="s">
        <v>3021</v>
      </c>
      <c r="O43" s="2944" t="s">
        <v>3022</v>
      </c>
      <c r="P43" s="2944" t="s">
        <v>3023</v>
      </c>
      <c r="Q43" s="2944" t="s">
        <v>3024</v>
      </c>
    </row>
    <row r="44" spans="1:17" ht="14.25" customHeight="1" thickBot="1">
      <c r="A44" s="2944" t="s">
        <v>296</v>
      </c>
      <c r="B44" s="2945" t="s">
        <v>231</v>
      </c>
      <c r="C44" s="2944">
        <v>22370</v>
      </c>
      <c r="D44" s="2944">
        <v>23140</v>
      </c>
      <c r="E44" s="2944">
        <v>25090</v>
      </c>
      <c r="F44" s="2944"/>
      <c r="G44" s="2957">
        <v>16190</v>
      </c>
      <c r="N44" s="2944" t="s">
        <v>3025</v>
      </c>
      <c r="O44" s="2944" t="s">
        <v>3026</v>
      </c>
      <c r="P44" s="2951" t="s">
        <v>3027</v>
      </c>
      <c r="Q44" s="2944" t="s">
        <v>3028</v>
      </c>
    </row>
    <row r="45" spans="1:17" ht="14.25" customHeight="1" thickBot="1">
      <c r="A45" s="2944" t="s">
        <v>296</v>
      </c>
      <c r="B45" s="2945" t="s">
        <v>236</v>
      </c>
      <c r="C45" s="2944">
        <v>21240</v>
      </c>
      <c r="D45" s="2944">
        <v>27050</v>
      </c>
      <c r="E45" s="2944">
        <v>28000</v>
      </c>
      <c r="F45" s="2944"/>
      <c r="G45" s="2957">
        <v>18940</v>
      </c>
      <c r="N45" s="2944" t="s">
        <v>3029</v>
      </c>
      <c r="O45" s="2951" t="s">
        <v>3030</v>
      </c>
      <c r="Q45" s="2944" t="s">
        <v>3031</v>
      </c>
    </row>
    <row r="46" spans="1:17" ht="14.25" customHeight="1">
      <c r="A46" s="2944" t="s">
        <v>296</v>
      </c>
      <c r="B46" s="2945" t="s">
        <v>245</v>
      </c>
      <c r="C46" s="2944">
        <v>23240</v>
      </c>
      <c r="D46" s="2944">
        <v>23000</v>
      </c>
      <c r="E46" s="2944">
        <v>24980</v>
      </c>
      <c r="F46" s="2944"/>
      <c r="G46" s="2957">
        <v>16100</v>
      </c>
      <c r="N46" s="2944" t="s">
        <v>3032</v>
      </c>
      <c r="Q46" s="2944" t="s">
        <v>3033</v>
      </c>
    </row>
    <row r="47" spans="1:17" ht="14.25" customHeight="1">
      <c r="A47" s="2944" t="s">
        <v>296</v>
      </c>
      <c r="B47" s="2945" t="s">
        <v>252</v>
      </c>
      <c r="C47" s="2944">
        <v>27150</v>
      </c>
      <c r="D47" s="2944">
        <v>23310</v>
      </c>
      <c r="E47" s="2944">
        <v>25150</v>
      </c>
      <c r="F47" s="2944"/>
      <c r="G47" s="2957">
        <v>16310</v>
      </c>
      <c r="N47" s="2944" t="s">
        <v>3034</v>
      </c>
      <c r="Q47" s="2944" t="s">
        <v>3035</v>
      </c>
    </row>
    <row r="48" spans="1:17" ht="14.25" customHeight="1">
      <c r="A48" s="2944" t="s">
        <v>296</v>
      </c>
      <c r="B48" s="2945" t="s">
        <v>260</v>
      </c>
      <c r="C48" s="2944">
        <v>23100</v>
      </c>
      <c r="D48" s="2944">
        <v>21110</v>
      </c>
      <c r="E48" s="2944">
        <v>23080</v>
      </c>
      <c r="F48" s="2944"/>
      <c r="G48" s="2957">
        <v>14780</v>
      </c>
      <c r="N48" s="2944" t="s">
        <v>3036</v>
      </c>
      <c r="Q48" s="2944" t="s">
        <v>3037</v>
      </c>
    </row>
    <row r="49" spans="1:17" ht="14.25" customHeight="1">
      <c r="A49" s="2944" t="s">
        <v>296</v>
      </c>
      <c r="B49" s="2945" t="s">
        <v>267</v>
      </c>
      <c r="C49" s="2944">
        <v>23400</v>
      </c>
      <c r="D49" s="2944">
        <v>22920</v>
      </c>
      <c r="E49" s="2944">
        <v>24900</v>
      </c>
      <c r="F49" s="2944"/>
      <c r="G49" s="2957">
        <v>16040</v>
      </c>
      <c r="N49" s="2944" t="s">
        <v>3038</v>
      </c>
      <c r="Q49" s="2944" t="s">
        <v>3039</v>
      </c>
    </row>
    <row r="50" spans="1:17" ht="14.25" customHeight="1">
      <c r="A50" s="2944" t="s">
        <v>296</v>
      </c>
      <c r="B50" s="2945" t="s">
        <v>2916</v>
      </c>
      <c r="C50" s="2944">
        <v>21200</v>
      </c>
      <c r="D50" s="2944">
        <v>26540</v>
      </c>
      <c r="E50" s="2944">
        <v>23200</v>
      </c>
      <c r="F50" s="2944"/>
      <c r="G50" s="2957">
        <v>18580</v>
      </c>
      <c r="N50" s="2944" t="s">
        <v>3040</v>
      </c>
      <c r="Q50" s="2945" t="s">
        <v>3041</v>
      </c>
    </row>
    <row r="51" spans="1:17" ht="14.25" customHeight="1" thickBot="1">
      <c r="A51" s="2944" t="s">
        <v>296</v>
      </c>
      <c r="B51" s="2945" t="s">
        <v>2918</v>
      </c>
      <c r="C51" s="2944">
        <v>23000</v>
      </c>
      <c r="D51" s="2944">
        <v>23460</v>
      </c>
      <c r="E51" s="2944">
        <v>25290</v>
      </c>
      <c r="F51" s="2944"/>
      <c r="G51" s="2957">
        <v>16420</v>
      </c>
      <c r="N51" s="2944" t="s">
        <v>3042</v>
      </c>
      <c r="Q51" s="2951" t="s">
        <v>3043</v>
      </c>
    </row>
    <row r="52" spans="1:17" ht="14.25" customHeight="1">
      <c r="A52" s="2944" t="s">
        <v>296</v>
      </c>
      <c r="B52" s="2945" t="s">
        <v>2922</v>
      </c>
      <c r="C52" s="2944">
        <v>26660</v>
      </c>
      <c r="D52" s="2944">
        <v>22350</v>
      </c>
      <c r="E52" s="2944">
        <v>22920</v>
      </c>
      <c r="F52" s="2944"/>
      <c r="G52" s="2957">
        <v>15640</v>
      </c>
      <c r="N52" s="2944" t="s">
        <v>3044</v>
      </c>
    </row>
    <row r="53" spans="1:17" ht="14.25" customHeight="1">
      <c r="A53" s="2944" t="s">
        <v>296</v>
      </c>
      <c r="B53" s="2945" t="s">
        <v>2927</v>
      </c>
      <c r="C53" s="2944">
        <v>23580</v>
      </c>
      <c r="D53" s="2944"/>
      <c r="E53" s="2944">
        <v>24280</v>
      </c>
      <c r="F53" s="2944"/>
      <c r="G53" s="2957"/>
      <c r="N53" s="2944" t="s">
        <v>3045</v>
      </c>
    </row>
    <row r="54" spans="1:17" ht="14.25" customHeight="1" thickBot="1">
      <c r="A54" s="2958" t="s">
        <v>296</v>
      </c>
      <c r="B54" s="2950" t="s">
        <v>2930</v>
      </c>
      <c r="C54" s="2951">
        <v>22460</v>
      </c>
      <c r="D54" s="2951"/>
      <c r="E54" s="2951"/>
      <c r="F54" s="2951"/>
      <c r="G54" s="2959"/>
      <c r="N54" s="2944" t="s">
        <v>3046</v>
      </c>
    </row>
    <row r="55" spans="1:17" ht="14.25" customHeight="1">
      <c r="A55" s="2949" t="s">
        <v>110</v>
      </c>
      <c r="B55" s="2940" t="s">
        <v>3047</v>
      </c>
      <c r="C55" s="2944">
        <v>21970</v>
      </c>
      <c r="D55" s="2944">
        <v>20370</v>
      </c>
      <c r="E55" s="2944">
        <v>20180</v>
      </c>
      <c r="F55" s="2944">
        <v>5730</v>
      </c>
      <c r="G55" s="2944">
        <v>13820</v>
      </c>
      <c r="N55" s="2944" t="s">
        <v>3048</v>
      </c>
    </row>
    <row r="56" spans="1:17" ht="14.25" customHeight="1">
      <c r="A56" s="2944" t="s">
        <v>110</v>
      </c>
      <c r="B56" s="2944" t="s">
        <v>130</v>
      </c>
      <c r="C56" s="2944">
        <v>20470</v>
      </c>
      <c r="D56" s="2944">
        <v>20700</v>
      </c>
      <c r="E56" s="2944">
        <v>20380</v>
      </c>
      <c r="F56" s="2944">
        <v>4760</v>
      </c>
      <c r="G56" s="2944">
        <v>14050</v>
      </c>
      <c r="N56" s="2944" t="s">
        <v>3049</v>
      </c>
    </row>
    <row r="57" spans="1:17" ht="14.25" customHeight="1">
      <c r="A57" s="2944" t="s">
        <v>110</v>
      </c>
      <c r="B57" s="2944" t="s">
        <v>139</v>
      </c>
      <c r="C57" s="2944">
        <v>20790</v>
      </c>
      <c r="D57" s="2944">
        <v>21370</v>
      </c>
      <c r="E57" s="2944">
        <v>20890</v>
      </c>
      <c r="F57" s="2944">
        <v>4910</v>
      </c>
      <c r="G57" s="2944">
        <v>14510</v>
      </c>
      <c r="N57" s="2944" t="s">
        <v>3050</v>
      </c>
    </row>
    <row r="58" spans="1:17" ht="14.25" customHeight="1">
      <c r="A58" s="2944" t="s">
        <v>110</v>
      </c>
      <c r="B58" s="2944" t="s">
        <v>148</v>
      </c>
      <c r="C58" s="2944">
        <v>21460</v>
      </c>
      <c r="D58" s="2944">
        <v>20920</v>
      </c>
      <c r="E58" s="2944">
        <v>23410</v>
      </c>
      <c r="F58" s="2944">
        <v>5100</v>
      </c>
      <c r="G58" s="2944">
        <v>14200</v>
      </c>
      <c r="N58" s="2944" t="s">
        <v>3051</v>
      </c>
    </row>
    <row r="59" spans="1:17" ht="14.25" customHeight="1">
      <c r="A59" s="2944" t="s">
        <v>110</v>
      </c>
      <c r="B59" s="2944" t="s">
        <v>157</v>
      </c>
      <c r="C59" s="2944">
        <v>21000</v>
      </c>
      <c r="D59" s="2944">
        <v>21550</v>
      </c>
      <c r="E59" s="2944">
        <v>21150</v>
      </c>
      <c r="F59" s="2944">
        <v>5250</v>
      </c>
      <c r="G59" s="2944">
        <v>14630</v>
      </c>
      <c r="N59" s="2944" t="s">
        <v>3052</v>
      </c>
    </row>
    <row r="60" spans="1:17" ht="14.25" customHeight="1">
      <c r="A60" s="2944" t="s">
        <v>110</v>
      </c>
      <c r="B60" s="2944" t="s">
        <v>164</v>
      </c>
      <c r="C60" s="2944">
        <v>21640</v>
      </c>
      <c r="D60" s="2944">
        <v>21260</v>
      </c>
      <c r="E60" s="2944">
        <v>24040</v>
      </c>
      <c r="F60" s="2944">
        <v>4470</v>
      </c>
      <c r="G60" s="2944">
        <v>14430</v>
      </c>
      <c r="N60" s="2944" t="s">
        <v>3053</v>
      </c>
    </row>
    <row r="61" spans="1:17" ht="14.25" customHeight="1">
      <c r="A61" s="2944" t="s">
        <v>110</v>
      </c>
      <c r="B61" s="2944" t="s">
        <v>170</v>
      </c>
      <c r="C61" s="2944">
        <v>21330</v>
      </c>
      <c r="D61" s="2944">
        <v>18640</v>
      </c>
      <c r="E61" s="2944">
        <v>21190</v>
      </c>
      <c r="F61" s="2944">
        <v>4180</v>
      </c>
      <c r="G61" s="2944">
        <v>12650</v>
      </c>
      <c r="N61" s="2944" t="s">
        <v>3054</v>
      </c>
    </row>
    <row r="62" spans="1:17" ht="14.25" customHeight="1">
      <c r="A62" s="2944" t="s">
        <v>110</v>
      </c>
      <c r="B62" s="2944" t="s">
        <v>177</v>
      </c>
      <c r="C62" s="2944">
        <v>18710</v>
      </c>
      <c r="D62" s="2944">
        <v>19400</v>
      </c>
      <c r="E62" s="2944">
        <v>23750</v>
      </c>
      <c r="F62" s="2944">
        <v>4860</v>
      </c>
      <c r="G62" s="2944">
        <v>13170</v>
      </c>
      <c r="N62" s="2944" t="s">
        <v>3055</v>
      </c>
    </row>
    <row r="63" spans="1:17" ht="14.25" customHeight="1">
      <c r="A63" s="2944" t="s">
        <v>110</v>
      </c>
      <c r="B63" s="2944" t="s">
        <v>187</v>
      </c>
      <c r="C63" s="2944">
        <v>19480</v>
      </c>
      <c r="D63" s="2944">
        <v>16830</v>
      </c>
      <c r="E63" s="2944">
        <v>21590</v>
      </c>
      <c r="F63" s="2944">
        <v>4560</v>
      </c>
      <c r="G63" s="2944">
        <v>11420</v>
      </c>
      <c r="N63" s="2944" t="s">
        <v>3056</v>
      </c>
    </row>
    <row r="64" spans="1:17" ht="14.25" customHeight="1" thickBot="1">
      <c r="A64" s="2944" t="s">
        <v>110</v>
      </c>
      <c r="B64" s="2944" t="s">
        <v>196</v>
      </c>
      <c r="C64" s="2944">
        <v>16920</v>
      </c>
      <c r="D64" s="2944">
        <v>19190</v>
      </c>
      <c r="E64" s="2944">
        <v>22200</v>
      </c>
      <c r="F64" s="2944">
        <v>4390</v>
      </c>
      <c r="G64" s="2944">
        <v>13030</v>
      </c>
      <c r="N64" s="2951" t="s">
        <v>3057</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2928</v>
      </c>
      <c r="C78" s="2944">
        <v>19820</v>
      </c>
      <c r="D78" s="2944">
        <v>19780</v>
      </c>
      <c r="E78" s="2944">
        <v>18560</v>
      </c>
      <c r="F78" s="2944"/>
      <c r="G78" s="2944">
        <v>13430</v>
      </c>
    </row>
    <row r="79" spans="1:7" s="2778" customFormat="1" ht="14.25" customHeight="1">
      <c r="A79" s="2944" t="s">
        <v>110</v>
      </c>
      <c r="B79" s="2944" t="s">
        <v>2931</v>
      </c>
      <c r="C79" s="2944">
        <v>21660</v>
      </c>
      <c r="D79" s="2944">
        <v>18000</v>
      </c>
      <c r="E79" s="2944">
        <v>22570</v>
      </c>
      <c r="F79" s="2944"/>
      <c r="G79" s="2944">
        <v>12220</v>
      </c>
    </row>
    <row r="80" spans="1:7" s="2778" customFormat="1" ht="14.25" customHeight="1">
      <c r="A80" s="2944" t="s">
        <v>110</v>
      </c>
      <c r="B80" s="2944" t="s">
        <v>2935</v>
      </c>
      <c r="C80" s="2944">
        <v>19850</v>
      </c>
      <c r="D80" s="2944"/>
      <c r="E80" s="2944">
        <v>21700</v>
      </c>
      <c r="F80" s="2944"/>
      <c r="G80" s="2944"/>
    </row>
    <row r="81" spans="1:7" s="2778" customFormat="1" ht="14.25" customHeight="1">
      <c r="A81" s="2944" t="s">
        <v>110</v>
      </c>
      <c r="B81" s="2944" t="s">
        <v>2940</v>
      </c>
      <c r="C81" s="2944">
        <v>18080</v>
      </c>
      <c r="D81" s="2944"/>
      <c r="E81" s="2944">
        <v>20900</v>
      </c>
      <c r="F81" s="2944"/>
      <c r="G81" s="2944"/>
    </row>
    <row r="82" spans="1:7" s="2778" customFormat="1" ht="14.25" customHeight="1">
      <c r="A82" s="2944" t="s">
        <v>110</v>
      </c>
      <c r="B82" s="2944" t="s">
        <v>2947</v>
      </c>
      <c r="C82" s="2944"/>
      <c r="D82" s="2944"/>
      <c r="E82" s="2944">
        <v>20840</v>
      </c>
      <c r="F82" s="2944"/>
      <c r="G82" s="2944"/>
    </row>
    <row r="83" spans="1:7" s="2778" customFormat="1" ht="14.25" customHeight="1">
      <c r="A83" s="2944" t="s">
        <v>110</v>
      </c>
      <c r="B83" s="2944" t="s">
        <v>3058</v>
      </c>
      <c r="C83" s="2944"/>
      <c r="D83" s="2944"/>
      <c r="E83" s="2944"/>
      <c r="F83" s="2944">
        <v>4770</v>
      </c>
      <c r="G83" s="2944"/>
    </row>
    <row r="84" spans="1:7" s="2778" customFormat="1" ht="14.25" customHeight="1">
      <c r="A84" s="2944" t="s">
        <v>110</v>
      </c>
      <c r="B84" s="2944" t="s">
        <v>3059</v>
      </c>
      <c r="C84" s="2944"/>
      <c r="D84" s="2944"/>
      <c r="E84" s="2944"/>
      <c r="F84" s="2944">
        <v>4600</v>
      </c>
      <c r="G84" s="2944"/>
    </row>
    <row r="85" spans="1:7" s="2778" customFormat="1" ht="14.25" customHeight="1">
      <c r="A85" s="2944" t="s">
        <v>110</v>
      </c>
      <c r="B85" s="2944" t="s">
        <v>3060</v>
      </c>
      <c r="C85" s="2944"/>
      <c r="D85" s="2944"/>
      <c r="E85" s="2944"/>
      <c r="F85" s="2944">
        <v>4680</v>
      </c>
      <c r="G85" s="2944"/>
    </row>
    <row r="86" spans="1:7" s="2778" customFormat="1" ht="14.25" customHeight="1" thickBot="1">
      <c r="A86" s="2952" t="s">
        <v>110</v>
      </c>
      <c r="B86" s="2954" t="s">
        <v>3061</v>
      </c>
      <c r="C86" s="2955">
        <v>16610</v>
      </c>
      <c r="D86" s="2955">
        <v>16540</v>
      </c>
      <c r="E86" s="2955">
        <v>18850</v>
      </c>
      <c r="F86" s="2955"/>
      <c r="G86" s="2955">
        <v>11220</v>
      </c>
    </row>
    <row r="87" spans="1:7" s="2778" customFormat="1" ht="14.25" customHeight="1">
      <c r="A87" s="2949" t="s">
        <v>303</v>
      </c>
      <c r="B87" s="2940" t="s">
        <v>3062</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2941</v>
      </c>
      <c r="C113" s="2944">
        <v>15520</v>
      </c>
      <c r="D113" s="2944">
        <v>15450</v>
      </c>
      <c r="E113" s="2944"/>
      <c r="F113" s="2944"/>
      <c r="G113" s="2957">
        <v>10210</v>
      </c>
    </row>
    <row r="114" spans="1:7" s="2778" customFormat="1" ht="14.25" customHeight="1">
      <c r="A114" s="2944" t="s">
        <v>303</v>
      </c>
      <c r="B114" s="2944" t="s">
        <v>2948</v>
      </c>
      <c r="C114" s="2944">
        <v>13110</v>
      </c>
      <c r="D114" s="2944">
        <v>13050</v>
      </c>
      <c r="E114" s="2944"/>
      <c r="F114" s="2944"/>
      <c r="G114" s="2957">
        <v>8620</v>
      </c>
    </row>
    <row r="115" spans="1:7" s="2778" customFormat="1" ht="14.25" customHeight="1">
      <c r="A115" s="2944" t="s">
        <v>303</v>
      </c>
      <c r="B115" s="2944" t="s">
        <v>2954</v>
      </c>
      <c r="C115" s="2944">
        <v>12460</v>
      </c>
      <c r="D115" s="2944">
        <v>12390</v>
      </c>
      <c r="E115" s="2944"/>
      <c r="F115" s="2944"/>
      <c r="G115" s="2957">
        <v>8190</v>
      </c>
    </row>
    <row r="116" spans="1:7" s="2778" customFormat="1" ht="14.25" customHeight="1">
      <c r="A116" s="2944" t="s">
        <v>303</v>
      </c>
      <c r="B116" s="2944" t="s">
        <v>2961</v>
      </c>
      <c r="C116" s="2944">
        <v>13580</v>
      </c>
      <c r="D116" s="2944">
        <v>13520</v>
      </c>
      <c r="E116" s="2944"/>
      <c r="F116" s="2944"/>
      <c r="G116" s="2957">
        <v>8930</v>
      </c>
    </row>
    <row r="117" spans="1:7" s="2778" customFormat="1" ht="14.25" customHeight="1">
      <c r="A117" s="2944" t="s">
        <v>303</v>
      </c>
      <c r="B117" s="2944" t="s">
        <v>2968</v>
      </c>
      <c r="C117" s="2944">
        <v>17120</v>
      </c>
      <c r="D117" s="2944">
        <v>17040</v>
      </c>
      <c r="E117" s="2944"/>
      <c r="F117" s="2944"/>
      <c r="G117" s="2957">
        <v>11260</v>
      </c>
    </row>
    <row r="118" spans="1:7" s="2778" customFormat="1" ht="14.25" customHeight="1">
      <c r="A118" s="2944" t="s">
        <v>303</v>
      </c>
      <c r="B118" s="2944" t="s">
        <v>2973</v>
      </c>
      <c r="C118" s="2944">
        <v>14860</v>
      </c>
      <c r="D118" s="2944">
        <v>14790</v>
      </c>
      <c r="E118" s="2944"/>
      <c r="F118" s="2944"/>
      <c r="G118" s="2957">
        <v>9780</v>
      </c>
    </row>
    <row r="119" spans="1:7" s="2778" customFormat="1" ht="14.25" customHeight="1">
      <c r="A119" s="2944" t="s">
        <v>303</v>
      </c>
      <c r="B119" s="2944" t="s">
        <v>2977</v>
      </c>
      <c r="C119" s="2944">
        <v>16470</v>
      </c>
      <c r="D119" s="2944">
        <v>16400</v>
      </c>
      <c r="E119" s="2944"/>
      <c r="F119" s="2944"/>
      <c r="G119" s="2957">
        <v>10840</v>
      </c>
    </row>
    <row r="120" spans="1:7" s="2778" customFormat="1" ht="14.25" customHeight="1">
      <c r="A120" s="2944" t="s">
        <v>303</v>
      </c>
      <c r="B120" s="2944" t="s">
        <v>3063</v>
      </c>
      <c r="C120" s="2944"/>
      <c r="D120" s="2944"/>
      <c r="E120" s="2944"/>
      <c r="F120" s="2944">
        <v>4160</v>
      </c>
      <c r="G120" s="2957"/>
    </row>
    <row r="121" spans="1:7" s="2778" customFormat="1" ht="14.25" customHeight="1">
      <c r="A121" s="2944" t="s">
        <v>303</v>
      </c>
      <c r="B121" s="2944" t="s">
        <v>3064</v>
      </c>
      <c r="C121" s="2944"/>
      <c r="D121" s="2944"/>
      <c r="E121" s="2944"/>
      <c r="F121" s="2944">
        <v>3880</v>
      </c>
      <c r="G121" s="2957"/>
    </row>
    <row r="122" spans="1:7" s="2778" customFormat="1" ht="14.25" customHeight="1">
      <c r="A122" s="2944" t="s">
        <v>303</v>
      </c>
      <c r="B122" s="2944" t="s">
        <v>3065</v>
      </c>
      <c r="C122" s="2944">
        <v>13750</v>
      </c>
      <c r="D122" s="2944">
        <v>13680</v>
      </c>
      <c r="E122" s="2944">
        <v>16460</v>
      </c>
      <c r="F122" s="2944">
        <v>2880</v>
      </c>
      <c r="G122" s="2957">
        <v>9040</v>
      </c>
    </row>
    <row r="123" spans="1:7" s="2778" customFormat="1" ht="14.25" customHeight="1">
      <c r="A123" s="2944" t="s">
        <v>303</v>
      </c>
      <c r="B123" s="2944" t="s">
        <v>2996</v>
      </c>
      <c r="C123" s="2944">
        <v>13590</v>
      </c>
      <c r="D123" s="2944">
        <v>13520</v>
      </c>
      <c r="E123" s="2944">
        <v>16290</v>
      </c>
      <c r="F123" s="2944">
        <v>2790</v>
      </c>
      <c r="G123" s="2957">
        <v>8930</v>
      </c>
    </row>
    <row r="124" spans="1:7" s="2778" customFormat="1" ht="14.25" customHeight="1">
      <c r="A124" s="2944" t="s">
        <v>303</v>
      </c>
      <c r="B124" s="2944" t="s">
        <v>3001</v>
      </c>
      <c r="C124" s="2944">
        <v>13400</v>
      </c>
      <c r="D124" s="2944">
        <v>13320</v>
      </c>
      <c r="E124" s="2944">
        <v>16100</v>
      </c>
      <c r="F124" s="2944">
        <v>2320</v>
      </c>
      <c r="G124" s="2957">
        <v>8800</v>
      </c>
    </row>
    <row r="125" spans="1:7" s="2778" customFormat="1" ht="14.25" customHeight="1">
      <c r="A125" s="2944" t="s">
        <v>303</v>
      </c>
      <c r="B125" s="2944" t="s">
        <v>3006</v>
      </c>
      <c r="C125" s="2944">
        <v>12860</v>
      </c>
      <c r="D125" s="2944">
        <v>12790</v>
      </c>
      <c r="E125" s="2944">
        <v>15370</v>
      </c>
      <c r="F125" s="2944">
        <v>2280</v>
      </c>
      <c r="G125" s="2957">
        <v>8450</v>
      </c>
    </row>
    <row r="126" spans="1:7" s="2778" customFormat="1" ht="14.25" customHeight="1" thickBot="1">
      <c r="A126" s="2958" t="s">
        <v>303</v>
      </c>
      <c r="B126" s="2951" t="s">
        <v>3011</v>
      </c>
      <c r="C126" s="2951">
        <v>12960</v>
      </c>
      <c r="D126" s="2951">
        <v>12890</v>
      </c>
      <c r="E126" s="2951">
        <v>15530</v>
      </c>
      <c r="F126" s="2951">
        <v>2910</v>
      </c>
      <c r="G126" s="2959">
        <v>8520</v>
      </c>
    </row>
    <row r="127" spans="1:7" s="2778" customFormat="1" ht="14.25" customHeight="1">
      <c r="A127" s="2949" t="s">
        <v>29</v>
      </c>
      <c r="B127" s="2940" t="s">
        <v>3066</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3067</v>
      </c>
      <c r="C148" s="2944">
        <v>10370</v>
      </c>
      <c r="D148" s="2944">
        <v>10310</v>
      </c>
      <c r="E148" s="2944">
        <v>12970</v>
      </c>
      <c r="F148" s="2944"/>
      <c r="G148" s="2944">
        <v>6630</v>
      </c>
    </row>
    <row r="149" spans="1:7" s="2778" customFormat="1" ht="14.25" customHeight="1">
      <c r="A149" s="2944" t="s">
        <v>29</v>
      </c>
      <c r="B149" s="2944" t="s">
        <v>3068</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2942</v>
      </c>
      <c r="C153" s="2944">
        <v>10880</v>
      </c>
      <c r="D153" s="2944">
        <v>10820</v>
      </c>
      <c r="E153" s="2944">
        <v>13660</v>
      </c>
      <c r="F153" s="2944">
        <v>2260</v>
      </c>
      <c r="G153" s="2944">
        <v>6970</v>
      </c>
    </row>
    <row r="154" spans="1:7" s="2778" customFormat="1" ht="14.25" customHeight="1">
      <c r="A154" s="2944" t="s">
        <v>29</v>
      </c>
      <c r="B154" s="2944" t="s">
        <v>3069</v>
      </c>
      <c r="C154" s="2944">
        <v>11220</v>
      </c>
      <c r="D154" s="2944">
        <v>11160</v>
      </c>
      <c r="E154" s="2944">
        <v>14130</v>
      </c>
      <c r="F154" s="2944">
        <v>2230</v>
      </c>
      <c r="G154" s="2944">
        <v>7180</v>
      </c>
    </row>
    <row r="155" spans="1:7" s="2778" customFormat="1" ht="14.25" customHeight="1">
      <c r="A155" s="2944" t="s">
        <v>29</v>
      </c>
      <c r="B155" s="2944" t="s">
        <v>2955</v>
      </c>
      <c r="C155" s="2944">
        <v>10430</v>
      </c>
      <c r="D155" s="2944">
        <v>10380</v>
      </c>
      <c r="E155" s="2944">
        <v>13140</v>
      </c>
      <c r="F155" s="2944">
        <v>2080</v>
      </c>
      <c r="G155" s="2944">
        <v>6650</v>
      </c>
    </row>
    <row r="156" spans="1:7" s="2778" customFormat="1" ht="14.25" customHeight="1">
      <c r="A156" s="2944" t="s">
        <v>29</v>
      </c>
      <c r="B156" s="2944" t="s">
        <v>3070</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3071</v>
      </c>
      <c r="C160" s="2944">
        <v>11180</v>
      </c>
      <c r="D160" s="2944">
        <v>11140</v>
      </c>
      <c r="E160" s="2944">
        <v>14050</v>
      </c>
      <c r="F160" s="2944">
        <v>2270</v>
      </c>
      <c r="G160" s="2944">
        <v>7170</v>
      </c>
    </row>
    <row r="161" spans="1:7" s="2778" customFormat="1" ht="14.25" customHeight="1">
      <c r="A161" s="2944" t="s">
        <v>29</v>
      </c>
      <c r="B161" s="2944" t="s">
        <v>2987</v>
      </c>
      <c r="C161" s="2944">
        <v>11160</v>
      </c>
      <c r="D161" s="2944">
        <v>11120</v>
      </c>
      <c r="E161" s="2944">
        <v>14020</v>
      </c>
      <c r="F161" s="2944">
        <v>2150</v>
      </c>
      <c r="G161" s="2944">
        <v>7160</v>
      </c>
    </row>
    <row r="162" spans="1:7" s="2778" customFormat="1" ht="14.25" customHeight="1">
      <c r="A162" s="2944" t="s">
        <v>29</v>
      </c>
      <c r="B162" s="2944" t="s">
        <v>2992</v>
      </c>
      <c r="C162" s="2944">
        <v>9620</v>
      </c>
      <c r="D162" s="2944">
        <v>9570</v>
      </c>
      <c r="E162" s="2944">
        <v>12320</v>
      </c>
      <c r="F162" s="2944">
        <v>2010</v>
      </c>
      <c r="G162" s="2944">
        <v>6160</v>
      </c>
    </row>
    <row r="163" spans="1:7" s="2778" customFormat="1" ht="14.25" customHeight="1">
      <c r="A163" s="2944" t="s">
        <v>29</v>
      </c>
      <c r="B163" s="2944" t="s">
        <v>2997</v>
      </c>
      <c r="C163" s="2944">
        <v>9320</v>
      </c>
      <c r="D163" s="2944">
        <v>9270</v>
      </c>
      <c r="E163" s="2944">
        <v>11790</v>
      </c>
      <c r="F163" s="2944">
        <v>1920</v>
      </c>
      <c r="G163" s="2944">
        <v>5960</v>
      </c>
    </row>
    <row r="164" spans="1:7" s="2778" customFormat="1" ht="14.25" customHeight="1">
      <c r="A164" s="2944" t="s">
        <v>29</v>
      </c>
      <c r="B164" s="2944" t="s">
        <v>3002</v>
      </c>
      <c r="C164" s="2944"/>
      <c r="D164" s="2944"/>
      <c r="E164" s="2944"/>
      <c r="F164" s="2944">
        <v>1980</v>
      </c>
      <c r="G164" s="2944"/>
    </row>
    <row r="165" spans="1:7" s="2778" customFormat="1" ht="14.25" customHeight="1">
      <c r="A165" s="2944" t="s">
        <v>29</v>
      </c>
      <c r="B165" s="2944" t="s">
        <v>3072</v>
      </c>
      <c r="C165" s="2944">
        <v>11060</v>
      </c>
      <c r="D165" s="2944">
        <v>11030</v>
      </c>
      <c r="E165" s="2944">
        <v>13850</v>
      </c>
      <c r="F165" s="2944">
        <v>2170</v>
      </c>
      <c r="G165" s="2944">
        <v>7090</v>
      </c>
    </row>
    <row r="166" spans="1:7" s="2778" customFormat="1" ht="14.25" customHeight="1">
      <c r="A166" s="2944" t="s">
        <v>29</v>
      </c>
      <c r="B166" s="2944" t="s">
        <v>3012</v>
      </c>
      <c r="C166" s="2944">
        <v>11050</v>
      </c>
      <c r="D166" s="2944">
        <v>11010</v>
      </c>
      <c r="E166" s="2944">
        <v>13920</v>
      </c>
      <c r="F166" s="2944">
        <v>2140</v>
      </c>
      <c r="G166" s="2944">
        <v>7080</v>
      </c>
    </row>
    <row r="167" spans="1:7" s="2778" customFormat="1" ht="14.25" customHeight="1">
      <c r="A167" s="2944" t="s">
        <v>29</v>
      </c>
      <c r="B167" s="2944" t="s">
        <v>3016</v>
      </c>
      <c r="C167" s="2944">
        <v>10930</v>
      </c>
      <c r="D167" s="2944">
        <v>10890</v>
      </c>
      <c r="E167" s="2944">
        <v>13790</v>
      </c>
      <c r="F167" s="2944">
        <v>2010</v>
      </c>
      <c r="G167" s="2944">
        <v>7000</v>
      </c>
    </row>
    <row r="168" spans="1:7" s="2778" customFormat="1" ht="14.25" customHeight="1">
      <c r="A168" s="2944" t="s">
        <v>29</v>
      </c>
      <c r="B168" s="2944" t="s">
        <v>3021</v>
      </c>
      <c r="C168" s="2944">
        <v>9420</v>
      </c>
      <c r="D168" s="2944">
        <v>9380</v>
      </c>
      <c r="E168" s="2944">
        <v>11970</v>
      </c>
      <c r="F168" s="2944"/>
      <c r="G168" s="2944">
        <v>6040</v>
      </c>
    </row>
    <row r="169" spans="1:7" s="2778" customFormat="1" ht="14.25" customHeight="1">
      <c r="A169" s="2944" t="s">
        <v>29</v>
      </c>
      <c r="B169" s="2944" t="s">
        <v>3073</v>
      </c>
      <c r="C169" s="2944"/>
      <c r="D169" s="2944"/>
      <c r="E169" s="2944"/>
      <c r="F169" s="2944">
        <v>2880</v>
      </c>
      <c r="G169" s="2944"/>
    </row>
    <row r="170" spans="1:7" s="2778" customFormat="1" ht="14.25" customHeight="1">
      <c r="A170" s="2944" t="s">
        <v>29</v>
      </c>
      <c r="B170" s="2944" t="s">
        <v>3029</v>
      </c>
      <c r="C170" s="2944"/>
      <c r="D170" s="2944"/>
      <c r="E170" s="2944"/>
      <c r="F170" s="2944">
        <v>2880</v>
      </c>
      <c r="G170" s="2944"/>
    </row>
    <row r="171" spans="1:7" s="2778" customFormat="1" ht="14.25" customHeight="1">
      <c r="A171" s="2944" t="s">
        <v>29</v>
      </c>
      <c r="B171" s="2944" t="s">
        <v>3032</v>
      </c>
      <c r="C171" s="2944"/>
      <c r="D171" s="2944"/>
      <c r="E171" s="2944"/>
      <c r="F171" s="2944">
        <v>2880</v>
      </c>
      <c r="G171" s="2944"/>
    </row>
    <row r="172" spans="1:7" s="2778" customFormat="1" ht="14.25" customHeight="1">
      <c r="A172" s="2944" t="s">
        <v>29</v>
      </c>
      <c r="B172" s="2944" t="s">
        <v>3034</v>
      </c>
      <c r="C172" s="2944"/>
      <c r="D172" s="2944"/>
      <c r="E172" s="2944"/>
      <c r="F172" s="2944">
        <v>2880</v>
      </c>
      <c r="G172" s="2944"/>
    </row>
    <row r="173" spans="1:7" s="2778" customFormat="1" ht="14.25" customHeight="1">
      <c r="A173" s="2944" t="s">
        <v>29</v>
      </c>
      <c r="B173" s="2944" t="s">
        <v>3036</v>
      </c>
      <c r="C173" s="2944"/>
      <c r="D173" s="2944"/>
      <c r="E173" s="2944"/>
      <c r="F173" s="2944">
        <v>2150</v>
      </c>
      <c r="G173" s="2944"/>
    </row>
    <row r="174" spans="1:7" s="2778" customFormat="1" ht="14.25" customHeight="1">
      <c r="A174" s="2944" t="s">
        <v>29</v>
      </c>
      <c r="B174" s="2944" t="s">
        <v>3038</v>
      </c>
      <c r="C174" s="2944"/>
      <c r="D174" s="2944"/>
      <c r="E174" s="2944"/>
      <c r="F174" s="2944">
        <v>2030</v>
      </c>
      <c r="G174" s="2944"/>
    </row>
    <row r="175" spans="1:7" s="2778" customFormat="1" ht="14.25" customHeight="1">
      <c r="A175" s="2944" t="s">
        <v>29</v>
      </c>
      <c r="B175" s="2944" t="s">
        <v>3040</v>
      </c>
      <c r="C175" s="2944"/>
      <c r="D175" s="2944"/>
      <c r="E175" s="2944"/>
      <c r="F175" s="2944">
        <v>2780</v>
      </c>
      <c r="G175" s="2944"/>
    </row>
    <row r="176" spans="1:7" s="2778" customFormat="1" ht="14.25" customHeight="1">
      <c r="A176" s="2944" t="s">
        <v>29</v>
      </c>
      <c r="B176" s="2944" t="s">
        <v>3042</v>
      </c>
      <c r="C176" s="2944"/>
      <c r="D176" s="2944"/>
      <c r="E176" s="2944"/>
      <c r="F176" s="2944">
        <v>2780</v>
      </c>
      <c r="G176" s="2944"/>
    </row>
    <row r="177" spans="1:7" s="2778" customFormat="1" ht="14.25" customHeight="1">
      <c r="A177" s="2944" t="s">
        <v>29</v>
      </c>
      <c r="B177" s="2944" t="s">
        <v>3074</v>
      </c>
      <c r="C177" s="2944"/>
      <c r="D177" s="2944"/>
      <c r="E177" s="2944"/>
      <c r="F177" s="2944">
        <v>2780</v>
      </c>
      <c r="G177" s="2944"/>
    </row>
    <row r="178" spans="1:7" s="2778" customFormat="1" ht="14.25" customHeight="1">
      <c r="A178" s="2944" t="s">
        <v>29</v>
      </c>
      <c r="B178" s="2944" t="s">
        <v>3075</v>
      </c>
      <c r="C178" s="2944"/>
      <c r="D178" s="2944"/>
      <c r="E178" s="2944"/>
      <c r="F178" s="2944">
        <v>2060</v>
      </c>
      <c r="G178" s="2944"/>
    </row>
    <row r="179" spans="1:7" s="2778" customFormat="1" ht="14.25" customHeight="1">
      <c r="A179" s="2944" t="s">
        <v>29</v>
      </c>
      <c r="B179" s="2944" t="s">
        <v>3076</v>
      </c>
      <c r="C179" s="2944"/>
      <c r="D179" s="2944"/>
      <c r="E179" s="2944"/>
      <c r="F179" s="2944">
        <v>2120</v>
      </c>
      <c r="G179" s="2944"/>
    </row>
    <row r="180" spans="1:7" s="2778" customFormat="1" ht="14.25" customHeight="1">
      <c r="A180" s="2944" t="s">
        <v>29</v>
      </c>
      <c r="B180" s="2944" t="s">
        <v>3048</v>
      </c>
      <c r="C180" s="2944"/>
      <c r="D180" s="2944"/>
      <c r="E180" s="2944"/>
      <c r="F180" s="2944">
        <v>2340</v>
      </c>
      <c r="G180" s="2944"/>
    </row>
    <row r="181" spans="1:7" s="2778" customFormat="1" ht="14.25" customHeight="1">
      <c r="A181" s="2944" t="s">
        <v>29</v>
      </c>
      <c r="B181" s="2944" t="s">
        <v>3049</v>
      </c>
      <c r="C181" s="2944"/>
      <c r="D181" s="2944"/>
      <c r="E181" s="2944"/>
      <c r="F181" s="2944">
        <v>2340</v>
      </c>
      <c r="G181" s="2944"/>
    </row>
    <row r="182" spans="1:7" s="2778" customFormat="1" ht="14.25" customHeight="1">
      <c r="A182" s="2944" t="s">
        <v>29</v>
      </c>
      <c r="B182" s="2944" t="s">
        <v>3050</v>
      </c>
      <c r="C182" s="2944"/>
      <c r="D182" s="2944"/>
      <c r="E182" s="2944"/>
      <c r="F182" s="2944">
        <v>2340</v>
      </c>
      <c r="G182" s="2944"/>
    </row>
    <row r="183" spans="1:7" s="2778" customFormat="1" ht="14.25" customHeight="1">
      <c r="A183" s="2944" t="s">
        <v>29</v>
      </c>
      <c r="B183" s="2944" t="s">
        <v>3051</v>
      </c>
      <c r="C183" s="2944"/>
      <c r="D183" s="2944"/>
      <c r="E183" s="2944"/>
      <c r="F183" s="2944">
        <v>2340</v>
      </c>
      <c r="G183" s="2944"/>
    </row>
    <row r="184" spans="1:7" s="2778" customFormat="1" ht="14.25" customHeight="1">
      <c r="A184" s="2944" t="s">
        <v>29</v>
      </c>
      <c r="B184" s="2944" t="s">
        <v>3052</v>
      </c>
      <c r="C184" s="2944"/>
      <c r="D184" s="2944"/>
      <c r="E184" s="2944"/>
      <c r="F184" s="2944">
        <v>2340</v>
      </c>
      <c r="G184" s="2944"/>
    </row>
    <row r="185" spans="1:7" s="2778" customFormat="1" ht="14.25" customHeight="1">
      <c r="A185" s="2944" t="s">
        <v>29</v>
      </c>
      <c r="B185" s="2944" t="s">
        <v>3053</v>
      </c>
      <c r="C185" s="2944"/>
      <c r="D185" s="2944"/>
      <c r="E185" s="2944"/>
      <c r="F185" s="2944">
        <v>2530</v>
      </c>
      <c r="G185" s="2944"/>
    </row>
    <row r="186" spans="1:7" s="2778" customFormat="1" ht="14.25" customHeight="1">
      <c r="A186" s="2944" t="s">
        <v>29</v>
      </c>
      <c r="B186" s="2944" t="s">
        <v>3054</v>
      </c>
      <c r="C186" s="2944"/>
      <c r="D186" s="2944"/>
      <c r="E186" s="2944"/>
      <c r="F186" s="2944">
        <v>2550</v>
      </c>
      <c r="G186" s="2944"/>
    </row>
    <row r="187" spans="1:7" s="2778" customFormat="1" ht="14.25" customHeight="1">
      <c r="A187" s="2944" t="s">
        <v>29</v>
      </c>
      <c r="B187" s="2944" t="s">
        <v>3055</v>
      </c>
      <c r="C187" s="2944"/>
      <c r="D187" s="2944"/>
      <c r="E187" s="2944"/>
      <c r="F187" s="2944">
        <v>2070</v>
      </c>
      <c r="G187" s="2944"/>
    </row>
    <row r="188" spans="1:7" s="2778" customFormat="1" ht="14.25" customHeight="1">
      <c r="A188" s="2944" t="s">
        <v>29</v>
      </c>
      <c r="B188" s="2944" t="s">
        <v>3056</v>
      </c>
      <c r="C188" s="2944"/>
      <c r="D188" s="2944"/>
      <c r="E188" s="2944"/>
      <c r="F188" s="2944">
        <v>2340</v>
      </c>
      <c r="G188" s="2944"/>
    </row>
    <row r="189" spans="1:7" s="2778" customFormat="1" ht="14.25" customHeight="1" thickBot="1">
      <c r="A189" s="2952" t="s">
        <v>29</v>
      </c>
      <c r="B189" s="2955" t="s">
        <v>3057</v>
      </c>
      <c r="C189" s="2955"/>
      <c r="D189" s="2955"/>
      <c r="E189" s="2955"/>
      <c r="F189" s="2955">
        <v>2050</v>
      </c>
      <c r="G189" s="2955"/>
    </row>
    <row r="190" spans="1:7" s="2778" customFormat="1" ht="14.25" customHeight="1">
      <c r="A190" s="2949" t="s">
        <v>304</v>
      </c>
      <c r="B190" s="2940" t="s">
        <v>3077</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3078</v>
      </c>
      <c r="C199" s="2944">
        <v>8690</v>
      </c>
      <c r="D199" s="2944">
        <v>8630</v>
      </c>
      <c r="E199" s="2944">
        <v>11350</v>
      </c>
      <c r="F199" s="2944">
        <v>1600</v>
      </c>
      <c r="G199" s="2957">
        <v>5450</v>
      </c>
    </row>
    <row r="200" spans="1:7" s="2778" customFormat="1" ht="14.25" customHeight="1">
      <c r="A200" s="2944" t="s">
        <v>304</v>
      </c>
      <c r="B200" s="2944" t="s">
        <v>2889</v>
      </c>
      <c r="C200" s="2944"/>
      <c r="D200" s="2944"/>
      <c r="E200" s="2944"/>
      <c r="F200" s="2944">
        <v>1510</v>
      </c>
      <c r="G200" s="2957"/>
    </row>
    <row r="201" spans="1:7" s="2778" customFormat="1" ht="14.25" customHeight="1">
      <c r="A201" s="2944" t="s">
        <v>304</v>
      </c>
      <c r="B201" s="2944" t="s">
        <v>3079</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3080</v>
      </c>
      <c r="C203" s="2944">
        <v>8130</v>
      </c>
      <c r="D203" s="2944">
        <v>8070</v>
      </c>
      <c r="E203" s="2944">
        <v>10820</v>
      </c>
      <c r="F203" s="2944">
        <v>1690</v>
      </c>
      <c r="G203" s="2957">
        <v>5100</v>
      </c>
    </row>
    <row r="204" spans="1:7" s="2778" customFormat="1" ht="14.25" customHeight="1">
      <c r="A204" s="2944" t="s">
        <v>304</v>
      </c>
      <c r="B204" s="2944" t="s">
        <v>2900</v>
      </c>
      <c r="C204" s="2944">
        <v>8350</v>
      </c>
      <c r="D204" s="2944">
        <v>8290</v>
      </c>
      <c r="E204" s="2944">
        <v>11080</v>
      </c>
      <c r="F204" s="2944">
        <v>1450</v>
      </c>
      <c r="G204" s="2957">
        <v>5240</v>
      </c>
    </row>
    <row r="205" spans="1:7" s="2778" customFormat="1" ht="14.25" customHeight="1">
      <c r="A205" s="2944" t="s">
        <v>304</v>
      </c>
      <c r="B205" s="2944" t="s">
        <v>2902</v>
      </c>
      <c r="C205" s="2944">
        <v>7190</v>
      </c>
      <c r="D205" s="2944">
        <v>7130</v>
      </c>
      <c r="E205" s="2944">
        <v>9490</v>
      </c>
      <c r="F205" s="2944">
        <v>1470</v>
      </c>
      <c r="G205" s="2957">
        <v>4510</v>
      </c>
    </row>
    <row r="206" spans="1:7" s="2778" customFormat="1" ht="14.25" customHeight="1">
      <c r="A206" s="2944" t="s">
        <v>304</v>
      </c>
      <c r="B206" s="2944" t="s">
        <v>2905</v>
      </c>
      <c r="C206" s="2944">
        <v>7000</v>
      </c>
      <c r="D206" s="2944">
        <v>6950</v>
      </c>
      <c r="E206" s="2944">
        <v>9170</v>
      </c>
      <c r="F206" s="2944">
        <v>1400</v>
      </c>
      <c r="G206" s="2957">
        <v>4380</v>
      </c>
    </row>
    <row r="207" spans="1:7" s="2778" customFormat="1" ht="14.25" customHeight="1">
      <c r="A207" s="2944" t="s">
        <v>304</v>
      </c>
      <c r="B207" s="2944" t="s">
        <v>2907</v>
      </c>
      <c r="C207" s="2944">
        <v>6950</v>
      </c>
      <c r="D207" s="2944">
        <v>6900</v>
      </c>
      <c r="E207" s="2944">
        <v>9110</v>
      </c>
      <c r="F207" s="2944">
        <v>1790</v>
      </c>
      <c r="G207" s="2957">
        <v>4360</v>
      </c>
    </row>
    <row r="208" spans="1:7" s="2778" customFormat="1" ht="14.25" customHeight="1">
      <c r="A208" s="2944" t="s">
        <v>304</v>
      </c>
      <c r="B208" s="2944" t="s">
        <v>3081</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2917</v>
      </c>
      <c r="C210" s="2944">
        <v>8710</v>
      </c>
      <c r="D210" s="2944">
        <v>8660</v>
      </c>
      <c r="E210" s="2944">
        <v>11440</v>
      </c>
      <c r="F210" s="2944">
        <v>1740</v>
      </c>
      <c r="G210" s="2957">
        <v>5470</v>
      </c>
    </row>
    <row r="211" spans="1:7" s="2778" customFormat="1" ht="14.25" customHeight="1">
      <c r="A211" s="2944" t="s">
        <v>304</v>
      </c>
      <c r="B211" s="2944" t="s">
        <v>3082</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3083</v>
      </c>
      <c r="C214" s="2944">
        <v>8090</v>
      </c>
      <c r="D214" s="2944">
        <v>8030</v>
      </c>
      <c r="E214" s="2944">
        <v>10780</v>
      </c>
      <c r="F214" s="2944">
        <v>1570</v>
      </c>
      <c r="G214" s="2957">
        <v>5070</v>
      </c>
    </row>
    <row r="215" spans="1:7" s="2778" customFormat="1" ht="14.25" customHeight="1">
      <c r="A215" s="2944" t="s">
        <v>304</v>
      </c>
      <c r="B215" s="2944" t="s">
        <v>3084</v>
      </c>
      <c r="C215" s="2944">
        <v>7950</v>
      </c>
      <c r="D215" s="2944">
        <v>7900</v>
      </c>
      <c r="E215" s="2944">
        <v>10560</v>
      </c>
      <c r="F215" s="2944">
        <v>1630</v>
      </c>
      <c r="G215" s="2957">
        <v>4990</v>
      </c>
    </row>
    <row r="216" spans="1:7" s="2778" customFormat="1" ht="14.25" customHeight="1">
      <c r="A216" s="2944" t="s">
        <v>304</v>
      </c>
      <c r="B216" s="2944" t="s">
        <v>3085</v>
      </c>
      <c r="C216" s="2944">
        <v>8490</v>
      </c>
      <c r="D216" s="2944">
        <v>8440</v>
      </c>
      <c r="E216" s="2944">
        <v>11260</v>
      </c>
      <c r="F216" s="2944">
        <v>1690</v>
      </c>
      <c r="G216" s="2957">
        <v>5330</v>
      </c>
    </row>
    <row r="217" spans="1:7" s="2778" customFormat="1" ht="14.25" customHeight="1">
      <c r="A217" s="2944" t="s">
        <v>304</v>
      </c>
      <c r="B217" s="2944" t="s">
        <v>2950</v>
      </c>
      <c r="C217" s="2944">
        <v>8200</v>
      </c>
      <c r="D217" s="2944">
        <v>8150</v>
      </c>
      <c r="E217" s="2944">
        <v>10910</v>
      </c>
      <c r="F217" s="2944">
        <v>1670</v>
      </c>
      <c r="G217" s="2957">
        <v>5150</v>
      </c>
    </row>
    <row r="218" spans="1:7" s="2778" customFormat="1" ht="14.25" customHeight="1">
      <c r="A218" s="2944" t="s">
        <v>304</v>
      </c>
      <c r="B218" s="2944" t="s">
        <v>3086</v>
      </c>
      <c r="C218" s="2944"/>
      <c r="D218" s="2944"/>
      <c r="E218" s="2944"/>
      <c r="F218" s="2944">
        <v>2040</v>
      </c>
      <c r="G218" s="2957"/>
    </row>
    <row r="219" spans="1:7" s="2778" customFormat="1" ht="14.25" customHeight="1">
      <c r="A219" s="2944" t="s">
        <v>304</v>
      </c>
      <c r="B219" s="2944" t="s">
        <v>3087</v>
      </c>
      <c r="C219" s="2944"/>
      <c r="D219" s="2944"/>
      <c r="E219" s="2944"/>
      <c r="F219" s="2944">
        <v>2040</v>
      </c>
      <c r="G219" s="2957"/>
    </row>
    <row r="220" spans="1:7" s="2778" customFormat="1" ht="14.25" customHeight="1">
      <c r="A220" s="2944" t="s">
        <v>304</v>
      </c>
      <c r="B220" s="2944" t="s">
        <v>3088</v>
      </c>
      <c r="C220" s="2944"/>
      <c r="D220" s="2944"/>
      <c r="E220" s="2944"/>
      <c r="F220" s="2944">
        <v>2040</v>
      </c>
      <c r="G220" s="2957"/>
    </row>
    <row r="221" spans="1:7" s="2778" customFormat="1" ht="14.25" customHeight="1">
      <c r="A221" s="2944" t="s">
        <v>304</v>
      </c>
      <c r="B221" s="2944" t="s">
        <v>3089</v>
      </c>
      <c r="C221" s="2944"/>
      <c r="D221" s="2944"/>
      <c r="E221" s="2944"/>
      <c r="F221" s="2944">
        <v>2040</v>
      </c>
      <c r="G221" s="2957"/>
    </row>
    <row r="222" spans="1:7" s="2778" customFormat="1" ht="14.25" customHeight="1">
      <c r="A222" s="2944" t="s">
        <v>304</v>
      </c>
      <c r="B222" s="2944" t="s">
        <v>3090</v>
      </c>
      <c r="C222" s="2944"/>
      <c r="D222" s="2944"/>
      <c r="E222" s="2944"/>
      <c r="F222" s="2944">
        <v>2040</v>
      </c>
      <c r="G222" s="2957"/>
    </row>
    <row r="223" spans="1:7" s="2778" customFormat="1" ht="14.25" customHeight="1">
      <c r="A223" s="2944" t="s">
        <v>304</v>
      </c>
      <c r="B223" s="2944" t="s">
        <v>3091</v>
      </c>
      <c r="C223" s="2944"/>
      <c r="D223" s="2944"/>
      <c r="E223" s="2944"/>
      <c r="F223" s="2944">
        <v>1930</v>
      </c>
      <c r="G223" s="2957"/>
    </row>
    <row r="224" spans="1:7" s="2778" customFormat="1" ht="14.25" customHeight="1">
      <c r="A224" s="2944" t="s">
        <v>304</v>
      </c>
      <c r="B224" s="2944" t="s">
        <v>3092</v>
      </c>
      <c r="C224" s="2944"/>
      <c r="D224" s="2944"/>
      <c r="E224" s="2944"/>
      <c r="F224" s="2944">
        <v>1930</v>
      </c>
      <c r="G224" s="2957"/>
    </row>
    <row r="225" spans="1:7" s="2778" customFormat="1" ht="14.25" customHeight="1">
      <c r="A225" s="2944" t="s">
        <v>304</v>
      </c>
      <c r="B225" s="2944" t="s">
        <v>3093</v>
      </c>
      <c r="C225" s="2944"/>
      <c r="D225" s="2944"/>
      <c r="E225" s="2944"/>
      <c r="F225" s="2944">
        <v>1930</v>
      </c>
      <c r="G225" s="2957"/>
    </row>
    <row r="226" spans="1:7" s="2778" customFormat="1" ht="14.25" customHeight="1">
      <c r="A226" s="2944" t="s">
        <v>304</v>
      </c>
      <c r="B226" s="2944" t="s">
        <v>3094</v>
      </c>
      <c r="C226" s="2944"/>
      <c r="D226" s="2944"/>
      <c r="E226" s="2944"/>
      <c r="F226" s="2944">
        <v>1700</v>
      </c>
      <c r="G226" s="2957"/>
    </row>
    <row r="227" spans="1:7" s="2778" customFormat="1" ht="14.25" customHeight="1">
      <c r="A227" s="2944" t="s">
        <v>304</v>
      </c>
      <c r="B227" s="2944" t="s">
        <v>3095</v>
      </c>
      <c r="C227" s="2944"/>
      <c r="D227" s="2944"/>
      <c r="E227" s="2944"/>
      <c r="F227" s="2944">
        <v>1520</v>
      </c>
      <c r="G227" s="2957"/>
    </row>
    <row r="228" spans="1:7" s="2778" customFormat="1" ht="14.25" customHeight="1">
      <c r="A228" s="2944" t="s">
        <v>304</v>
      </c>
      <c r="B228" s="2944" t="s">
        <v>3096</v>
      </c>
      <c r="C228" s="2944"/>
      <c r="D228" s="2944"/>
      <c r="E228" s="2944"/>
      <c r="F228" s="2944">
        <v>1520</v>
      </c>
      <c r="G228" s="2957"/>
    </row>
    <row r="229" spans="1:7" s="2778" customFormat="1" ht="14.25" customHeight="1">
      <c r="A229" s="2944" t="s">
        <v>304</v>
      </c>
      <c r="B229" s="2944" t="s">
        <v>3013</v>
      </c>
      <c r="C229" s="2944"/>
      <c r="D229" s="2944"/>
      <c r="E229" s="2944"/>
      <c r="F229" s="2944">
        <v>1520</v>
      </c>
      <c r="G229" s="2957"/>
    </row>
    <row r="230" spans="1:7" s="2778" customFormat="1" ht="14.25" customHeight="1">
      <c r="A230" s="2944" t="s">
        <v>304</v>
      </c>
      <c r="B230" s="2944" t="s">
        <v>3097</v>
      </c>
      <c r="C230" s="2944"/>
      <c r="D230" s="2944"/>
      <c r="E230" s="2944"/>
      <c r="F230" s="2944">
        <v>1820</v>
      </c>
      <c r="G230" s="2957"/>
    </row>
    <row r="231" spans="1:7" s="2778" customFormat="1" ht="14.25" customHeight="1">
      <c r="A231" s="2944" t="s">
        <v>304</v>
      </c>
      <c r="B231" s="2944" t="s">
        <v>3098</v>
      </c>
      <c r="C231" s="2944"/>
      <c r="D231" s="2944"/>
      <c r="E231" s="2944"/>
      <c r="F231" s="2944">
        <v>1760</v>
      </c>
      <c r="G231" s="2957"/>
    </row>
    <row r="232" spans="1:7" s="2778" customFormat="1" ht="14.25" customHeight="1">
      <c r="A232" s="2944" t="s">
        <v>304</v>
      </c>
      <c r="B232" s="2944" t="s">
        <v>3099</v>
      </c>
      <c r="C232" s="2944"/>
      <c r="D232" s="2944"/>
      <c r="E232" s="2944"/>
      <c r="F232" s="2944">
        <v>1840</v>
      </c>
      <c r="G232" s="2957"/>
    </row>
    <row r="233" spans="1:7" s="2778" customFormat="1" ht="14.25" customHeight="1" thickBot="1">
      <c r="A233" s="2958" t="s">
        <v>304</v>
      </c>
      <c r="B233" s="2951" t="s">
        <v>3030</v>
      </c>
      <c r="C233" s="2951"/>
      <c r="D233" s="2951"/>
      <c r="E233" s="2951"/>
      <c r="F233" s="2951">
        <v>1770</v>
      </c>
      <c r="G233" s="2959"/>
    </row>
    <row r="234" spans="1:7" s="2778" customFormat="1" ht="14.25" customHeight="1">
      <c r="A234" s="2949" t="s">
        <v>305</v>
      </c>
      <c r="B234" s="2940" t="s">
        <v>3100</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2871</v>
      </c>
      <c r="C238" s="2944">
        <v>6920</v>
      </c>
      <c r="D238" s="2944">
        <v>6890</v>
      </c>
      <c r="E238" s="2944">
        <v>8640</v>
      </c>
      <c r="F238" s="2944">
        <v>1310</v>
      </c>
      <c r="G238" s="2944">
        <v>4230</v>
      </c>
    </row>
    <row r="239" spans="1:7" s="2778" customFormat="1" ht="14.25" customHeight="1">
      <c r="A239" s="2944" t="s">
        <v>305</v>
      </c>
      <c r="B239" s="2944" t="s">
        <v>3101</v>
      </c>
      <c r="C239" s="2944">
        <v>6780</v>
      </c>
      <c r="D239" s="2944">
        <v>6750</v>
      </c>
      <c r="E239" s="2944">
        <v>8440</v>
      </c>
      <c r="F239" s="2944">
        <v>1160</v>
      </c>
      <c r="G239" s="2944">
        <v>4140</v>
      </c>
    </row>
    <row r="240" spans="1:7" s="2778" customFormat="1" ht="14.25" customHeight="1">
      <c r="A240" s="2944" t="s">
        <v>305</v>
      </c>
      <c r="B240" s="2944" t="s">
        <v>3102</v>
      </c>
      <c r="C240" s="2944">
        <v>5420</v>
      </c>
      <c r="D240" s="2944">
        <v>5380</v>
      </c>
      <c r="E240" s="2944">
        <v>6640</v>
      </c>
      <c r="F240" s="2944">
        <v>1020</v>
      </c>
      <c r="G240" s="2944">
        <v>3300</v>
      </c>
    </row>
    <row r="241" spans="1:7" s="2778" customFormat="1" ht="14.25" customHeight="1">
      <c r="A241" s="2944" t="s">
        <v>305</v>
      </c>
      <c r="B241" s="2944" t="s">
        <v>3103</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3104</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3105</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3106</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3107</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3108</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2933</v>
      </c>
      <c r="C258" s="2944">
        <v>6190</v>
      </c>
      <c r="D258" s="2944">
        <v>6160</v>
      </c>
      <c r="E258" s="2944">
        <v>7680</v>
      </c>
      <c r="F258" s="2944">
        <v>1170</v>
      </c>
      <c r="G258" s="2944">
        <v>3780</v>
      </c>
    </row>
    <row r="259" spans="1:7" s="2778" customFormat="1" ht="14.25" customHeight="1">
      <c r="A259" s="2944" t="s">
        <v>305</v>
      </c>
      <c r="B259" s="2944" t="s">
        <v>3109</v>
      </c>
      <c r="C259" s="2944">
        <v>7610</v>
      </c>
      <c r="D259" s="2944">
        <v>7570</v>
      </c>
      <c r="E259" s="2944">
        <v>9350</v>
      </c>
      <c r="F259" s="2944">
        <v>1350</v>
      </c>
      <c r="G259" s="2944">
        <v>4650</v>
      </c>
    </row>
    <row r="260" spans="1:7" s="2778" customFormat="1" ht="14.25" customHeight="1">
      <c r="A260" s="2944" t="s">
        <v>305</v>
      </c>
      <c r="B260" s="2944" t="s">
        <v>3110</v>
      </c>
      <c r="C260" s="2944">
        <v>6920</v>
      </c>
      <c r="D260" s="2944">
        <v>6880</v>
      </c>
      <c r="E260" s="2944">
        <v>8380</v>
      </c>
      <c r="F260" s="2944">
        <v>1160</v>
      </c>
      <c r="G260" s="2944">
        <v>4220</v>
      </c>
    </row>
    <row r="261" spans="1:7" s="2778" customFormat="1" ht="14.25" customHeight="1">
      <c r="A261" s="2944" t="s">
        <v>305</v>
      </c>
      <c r="B261" s="2944" t="s">
        <v>3111</v>
      </c>
      <c r="C261" s="2944">
        <v>6850</v>
      </c>
      <c r="D261" s="2944">
        <v>6810</v>
      </c>
      <c r="E261" s="2944">
        <v>8290</v>
      </c>
      <c r="F261" s="2944">
        <v>1130</v>
      </c>
      <c r="G261" s="2944">
        <v>4180</v>
      </c>
    </row>
    <row r="262" spans="1:7" s="2778" customFormat="1" ht="14.25" customHeight="1">
      <c r="A262" s="2944" t="s">
        <v>305</v>
      </c>
      <c r="B262" s="2944" t="s">
        <v>3112</v>
      </c>
      <c r="C262" s="2944">
        <v>5860</v>
      </c>
      <c r="D262" s="2944">
        <v>5820</v>
      </c>
      <c r="E262" s="2944">
        <v>7640</v>
      </c>
      <c r="F262" s="2944">
        <v>1070</v>
      </c>
      <c r="G262" s="2944">
        <v>3570</v>
      </c>
    </row>
    <row r="263" spans="1:7" s="2778" customFormat="1" ht="14.25" customHeight="1">
      <c r="A263" s="2944" t="s">
        <v>305</v>
      </c>
      <c r="B263" s="2944" t="s">
        <v>3113</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3114</v>
      </c>
      <c r="C265" s="2944"/>
      <c r="D265" s="2944"/>
      <c r="E265" s="2944"/>
      <c r="F265" s="2944">
        <v>1500</v>
      </c>
      <c r="G265" s="2944"/>
    </row>
    <row r="266" spans="1:7" s="2778" customFormat="1" ht="14.25" customHeight="1">
      <c r="A266" s="2944" t="s">
        <v>305</v>
      </c>
      <c r="B266" s="2944" t="s">
        <v>3115</v>
      </c>
      <c r="C266" s="2944"/>
      <c r="D266" s="2944"/>
      <c r="E266" s="2944"/>
      <c r="F266" s="2944">
        <v>1500</v>
      </c>
      <c r="G266" s="2944"/>
    </row>
    <row r="267" spans="1:7" s="2778" customFormat="1" ht="14.25" customHeight="1">
      <c r="A267" s="2944" t="s">
        <v>305</v>
      </c>
      <c r="B267" s="2944" t="s">
        <v>3116</v>
      </c>
      <c r="C267" s="2944"/>
      <c r="D267" s="2944"/>
      <c r="E267" s="2944"/>
      <c r="F267" s="2944">
        <v>1500</v>
      </c>
      <c r="G267" s="2944"/>
    </row>
    <row r="268" spans="1:7" s="2778" customFormat="1" ht="14.25" customHeight="1">
      <c r="A268" s="2944" t="s">
        <v>305</v>
      </c>
      <c r="B268" s="2944" t="s">
        <v>3117</v>
      </c>
      <c r="C268" s="2944"/>
      <c r="D268" s="2944"/>
      <c r="E268" s="2944"/>
      <c r="F268" s="2944">
        <v>1290</v>
      </c>
      <c r="G268" s="2944"/>
    </row>
    <row r="269" spans="1:7" s="2778" customFormat="1" ht="14.25" customHeight="1">
      <c r="A269" s="2944" t="s">
        <v>305</v>
      </c>
      <c r="B269" s="2944" t="s">
        <v>3118</v>
      </c>
      <c r="C269" s="2944"/>
      <c r="D269" s="2944"/>
      <c r="E269" s="2944"/>
      <c r="F269" s="2944">
        <v>1150</v>
      </c>
      <c r="G269" s="2944"/>
    </row>
    <row r="270" spans="1:7" s="2778" customFormat="1" ht="14.25" customHeight="1">
      <c r="A270" s="2944" t="s">
        <v>305</v>
      </c>
      <c r="B270" s="2944" t="s">
        <v>3119</v>
      </c>
      <c r="C270" s="2944"/>
      <c r="D270" s="2944"/>
      <c r="E270" s="2944"/>
      <c r="F270" s="2944">
        <v>1380</v>
      </c>
      <c r="G270" s="2944"/>
    </row>
    <row r="271" spans="1:7" s="2778" customFormat="1" ht="14.25" customHeight="1">
      <c r="A271" s="2944" t="s">
        <v>305</v>
      </c>
      <c r="B271" s="2944" t="s">
        <v>3120</v>
      </c>
      <c r="C271" s="2944"/>
      <c r="D271" s="2944"/>
      <c r="E271" s="2944"/>
      <c r="F271" s="2944">
        <v>1460</v>
      </c>
      <c r="G271" s="2944"/>
    </row>
    <row r="272" spans="1:7" s="2778" customFormat="1" ht="14.25" customHeight="1">
      <c r="A272" s="2944" t="s">
        <v>305</v>
      </c>
      <c r="B272" s="2944" t="s">
        <v>3121</v>
      </c>
      <c r="C272" s="2944"/>
      <c r="D272" s="2944"/>
      <c r="E272" s="2944"/>
      <c r="F272" s="2944">
        <v>1460</v>
      </c>
      <c r="G272" s="2944"/>
    </row>
    <row r="273" spans="1:7" s="2778" customFormat="1" ht="14.25" customHeight="1">
      <c r="A273" s="2944" t="s">
        <v>305</v>
      </c>
      <c r="B273" s="2944" t="s">
        <v>3014</v>
      </c>
      <c r="C273" s="2944"/>
      <c r="D273" s="2944"/>
      <c r="E273" s="2944"/>
      <c r="F273" s="2944">
        <v>1490</v>
      </c>
      <c r="G273" s="2944"/>
    </row>
    <row r="274" spans="1:7" s="2778" customFormat="1" ht="14.25" customHeight="1">
      <c r="A274" s="2944" t="s">
        <v>305</v>
      </c>
      <c r="B274" s="2944" t="s">
        <v>3122</v>
      </c>
      <c r="C274" s="2944"/>
      <c r="D274" s="2944"/>
      <c r="E274" s="2944"/>
      <c r="F274" s="2944">
        <v>1490</v>
      </c>
      <c r="G274" s="2944"/>
    </row>
    <row r="275" spans="1:7" s="2778" customFormat="1" ht="14.25" customHeight="1">
      <c r="A275" s="2944" t="s">
        <v>305</v>
      </c>
      <c r="B275" s="2944" t="s">
        <v>3123</v>
      </c>
      <c r="C275" s="2944"/>
      <c r="D275" s="2944"/>
      <c r="E275" s="2944"/>
      <c r="F275" s="2944">
        <v>1220</v>
      </c>
      <c r="G275" s="2944"/>
    </row>
    <row r="276" spans="1:7" s="2778" customFormat="1" ht="14.25" customHeight="1" thickBot="1">
      <c r="A276" s="2952" t="s">
        <v>305</v>
      </c>
      <c r="B276" s="2954" t="s">
        <v>3124</v>
      </c>
      <c r="C276" s="2955"/>
      <c r="D276" s="2955"/>
      <c r="E276" s="2955"/>
      <c r="F276" s="2955">
        <v>1380</v>
      </c>
      <c r="G276" s="2955"/>
    </row>
    <row r="277" spans="1:7" s="2778" customFormat="1" ht="14.25" customHeight="1">
      <c r="A277" s="2949" t="s">
        <v>306</v>
      </c>
      <c r="B277" s="2940" t="s">
        <v>3125</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3126</v>
      </c>
      <c r="C279" s="2944">
        <v>4760</v>
      </c>
      <c r="D279" s="2944">
        <v>4720</v>
      </c>
      <c r="E279" s="2944">
        <v>5540</v>
      </c>
      <c r="F279" s="2944">
        <v>810</v>
      </c>
      <c r="G279" s="2957">
        <v>2850</v>
      </c>
    </row>
    <row r="280" spans="1:7" s="2778" customFormat="1" ht="14.25" customHeight="1">
      <c r="A280" s="2944" t="s">
        <v>306</v>
      </c>
      <c r="B280" s="2944" t="s">
        <v>3127</v>
      </c>
      <c r="C280" s="2944">
        <v>4010</v>
      </c>
      <c r="D280" s="2944">
        <v>3950</v>
      </c>
      <c r="E280" s="2944">
        <v>4710</v>
      </c>
      <c r="F280" s="2944">
        <v>800</v>
      </c>
      <c r="G280" s="2957">
        <v>2390</v>
      </c>
    </row>
    <row r="281" spans="1:7" s="2778" customFormat="1" ht="14.25" customHeight="1">
      <c r="A281" s="2944" t="s">
        <v>306</v>
      </c>
      <c r="B281" s="2944" t="s">
        <v>3128</v>
      </c>
      <c r="C281" s="2944">
        <v>4480</v>
      </c>
      <c r="D281" s="2944">
        <v>4420</v>
      </c>
      <c r="E281" s="2944">
        <v>5230</v>
      </c>
      <c r="F281" s="2944">
        <v>870</v>
      </c>
      <c r="G281" s="2957">
        <v>2660</v>
      </c>
    </row>
    <row r="282" spans="1:7" s="2778" customFormat="1" ht="14.25" customHeight="1">
      <c r="A282" s="2944" t="s">
        <v>306</v>
      </c>
      <c r="B282" s="2944" t="s">
        <v>3129</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3130</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3131</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2906</v>
      </c>
      <c r="C293" s="2944">
        <v>5320</v>
      </c>
      <c r="D293" s="2944">
        <v>5270</v>
      </c>
      <c r="E293" s="2944">
        <v>6160</v>
      </c>
      <c r="F293" s="2944">
        <v>990</v>
      </c>
      <c r="G293" s="2957">
        <v>3170</v>
      </c>
    </row>
    <row r="294" spans="1:7" s="2778" customFormat="1" ht="14.25" customHeight="1">
      <c r="A294" s="2944" t="s">
        <v>306</v>
      </c>
      <c r="B294" s="2944" t="s">
        <v>3132</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2925</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3133</v>
      </c>
      <c r="C302" s="2944">
        <v>5520</v>
      </c>
      <c r="D302" s="2944">
        <v>5470</v>
      </c>
      <c r="E302" s="2944">
        <v>6410</v>
      </c>
      <c r="F302" s="2944">
        <v>950</v>
      </c>
      <c r="G302" s="2957">
        <v>3300</v>
      </c>
    </row>
    <row r="303" spans="1:7" s="2778" customFormat="1" ht="14.25" customHeight="1">
      <c r="A303" s="2944" t="s">
        <v>306</v>
      </c>
      <c r="B303" s="2944" t="s">
        <v>2945</v>
      </c>
      <c r="C303" s="2944">
        <v>5630</v>
      </c>
      <c r="D303" s="2944">
        <v>5590</v>
      </c>
      <c r="E303" s="2944">
        <v>6550</v>
      </c>
      <c r="F303" s="2944">
        <v>1010</v>
      </c>
      <c r="G303" s="2957">
        <v>3370</v>
      </c>
    </row>
    <row r="304" spans="1:7" s="2778" customFormat="1" ht="14.25" customHeight="1">
      <c r="A304" s="2944" t="s">
        <v>306</v>
      </c>
      <c r="B304" s="2944" t="s">
        <v>2952</v>
      </c>
      <c r="C304" s="2944">
        <v>5680</v>
      </c>
      <c r="D304" s="2944">
        <v>5620</v>
      </c>
      <c r="E304" s="2944">
        <v>6620</v>
      </c>
      <c r="F304" s="2944">
        <v>1050</v>
      </c>
      <c r="G304" s="2957">
        <v>3390</v>
      </c>
    </row>
    <row r="305" spans="1:7" s="2778" customFormat="1" ht="14.25" customHeight="1">
      <c r="A305" s="2944" t="s">
        <v>306</v>
      </c>
      <c r="B305" s="2944" t="s">
        <v>2958</v>
      </c>
      <c r="C305" s="2944">
        <v>5590</v>
      </c>
      <c r="D305" s="2944">
        <v>5530</v>
      </c>
      <c r="E305" s="2944">
        <v>6460</v>
      </c>
      <c r="F305" s="2944">
        <v>900</v>
      </c>
      <c r="G305" s="2957">
        <v>3340</v>
      </c>
    </row>
    <row r="306" spans="1:7" s="2778" customFormat="1" ht="14.25" customHeight="1">
      <c r="A306" s="2944" t="s">
        <v>306</v>
      </c>
      <c r="B306" s="2944" t="s">
        <v>3134</v>
      </c>
      <c r="C306" s="2944">
        <v>5560</v>
      </c>
      <c r="D306" s="2944">
        <v>5510</v>
      </c>
      <c r="E306" s="2944">
        <v>6440</v>
      </c>
      <c r="F306" s="2944">
        <v>900</v>
      </c>
      <c r="G306" s="2957">
        <v>3320</v>
      </c>
    </row>
    <row r="307" spans="1:7" s="2778" customFormat="1" ht="14.25" customHeight="1">
      <c r="A307" s="2944" t="s">
        <v>306</v>
      </c>
      <c r="B307" s="2944" t="s">
        <v>2970</v>
      </c>
      <c r="C307" s="2944">
        <v>5650</v>
      </c>
      <c r="D307" s="2944">
        <v>5600</v>
      </c>
      <c r="E307" s="2944">
        <v>6590</v>
      </c>
      <c r="F307" s="2944">
        <v>930</v>
      </c>
      <c r="G307" s="2957">
        <v>3380</v>
      </c>
    </row>
    <row r="308" spans="1:7" s="2778" customFormat="1" ht="14.25" customHeight="1">
      <c r="A308" s="2944" t="s">
        <v>306</v>
      </c>
      <c r="B308" s="2944" t="s">
        <v>3135</v>
      </c>
      <c r="C308" s="2944">
        <v>5620</v>
      </c>
      <c r="D308" s="2944">
        <v>5580</v>
      </c>
      <c r="E308" s="2944">
        <v>6540</v>
      </c>
      <c r="F308" s="2944">
        <v>910</v>
      </c>
      <c r="G308" s="2957">
        <v>3370</v>
      </c>
    </row>
    <row r="309" spans="1:7" s="2778" customFormat="1" ht="14.25" customHeight="1">
      <c r="A309" s="2944" t="s">
        <v>306</v>
      </c>
      <c r="B309" s="2944" t="s">
        <v>3136</v>
      </c>
      <c r="C309" s="2944">
        <v>5060</v>
      </c>
      <c r="D309" s="2944">
        <v>5020</v>
      </c>
      <c r="E309" s="2944">
        <v>6370</v>
      </c>
      <c r="F309" s="2944">
        <v>800</v>
      </c>
      <c r="G309" s="2957">
        <v>3020</v>
      </c>
    </row>
    <row r="310" spans="1:7" s="2778" customFormat="1" ht="14.25" customHeight="1">
      <c r="A310" s="2944" t="s">
        <v>306</v>
      </c>
      <c r="B310" s="2944" t="s">
        <v>2985</v>
      </c>
      <c r="C310" s="2944">
        <v>5150</v>
      </c>
      <c r="D310" s="2944">
        <v>5110</v>
      </c>
      <c r="E310" s="2944">
        <v>6500</v>
      </c>
      <c r="F310" s="2944">
        <v>880</v>
      </c>
      <c r="G310" s="2957">
        <v>3080</v>
      </c>
    </row>
    <row r="311" spans="1:7" s="2778" customFormat="1" ht="14.25" customHeight="1">
      <c r="A311" s="2944" t="s">
        <v>306</v>
      </c>
      <c r="B311" s="2944" t="s">
        <v>3137</v>
      </c>
      <c r="C311" s="2944">
        <v>4750</v>
      </c>
      <c r="D311" s="2944">
        <v>4710</v>
      </c>
      <c r="E311" s="2944">
        <v>5510</v>
      </c>
      <c r="F311" s="2944">
        <v>880</v>
      </c>
      <c r="G311" s="2957">
        <v>2840</v>
      </c>
    </row>
    <row r="312" spans="1:7" s="2778" customFormat="1" ht="14.25" customHeight="1">
      <c r="A312" s="2944" t="s">
        <v>306</v>
      </c>
      <c r="B312" s="2944" t="s">
        <v>2995</v>
      </c>
      <c r="C312" s="2944">
        <v>4690</v>
      </c>
      <c r="D312" s="2944">
        <v>4640</v>
      </c>
      <c r="E312" s="2944">
        <v>5420</v>
      </c>
      <c r="F312" s="2944">
        <v>800</v>
      </c>
      <c r="G312" s="2957">
        <v>2800</v>
      </c>
    </row>
    <row r="313" spans="1:7" s="2778" customFormat="1" ht="14.25" customHeight="1">
      <c r="A313" s="2944" t="s">
        <v>306</v>
      </c>
      <c r="B313" s="2944" t="s">
        <v>3000</v>
      </c>
      <c r="C313" s="2944">
        <v>4810</v>
      </c>
      <c r="D313" s="2944">
        <v>4760</v>
      </c>
      <c r="E313" s="2944">
        <v>5550</v>
      </c>
      <c r="F313" s="2944">
        <v>920</v>
      </c>
      <c r="G313" s="2957">
        <v>2870</v>
      </c>
    </row>
    <row r="314" spans="1:7" s="2778" customFormat="1" ht="14.25" customHeight="1">
      <c r="A314" s="2944" t="s">
        <v>306</v>
      </c>
      <c r="B314" s="2944" t="s">
        <v>3138</v>
      </c>
      <c r="C314" s="2944"/>
      <c r="D314" s="2944"/>
      <c r="E314" s="2944"/>
      <c r="F314" s="2944">
        <v>1020</v>
      </c>
      <c r="G314" s="2957"/>
    </row>
    <row r="315" spans="1:7" s="2778" customFormat="1" ht="14.25" customHeight="1">
      <c r="A315" s="2944" t="s">
        <v>306</v>
      </c>
      <c r="B315" s="2944" t="s">
        <v>3139</v>
      </c>
      <c r="C315" s="2944"/>
      <c r="D315" s="2944"/>
      <c r="E315" s="2944"/>
      <c r="F315" s="2944">
        <v>1050</v>
      </c>
      <c r="G315" s="2957"/>
    </row>
    <row r="316" spans="1:7" s="2778" customFormat="1" ht="14.25" customHeight="1">
      <c r="A316" s="2944" t="s">
        <v>306</v>
      </c>
      <c r="B316" s="2944" t="s">
        <v>3015</v>
      </c>
      <c r="C316" s="2944"/>
      <c r="D316" s="2944"/>
      <c r="E316" s="2944"/>
      <c r="F316" s="2944">
        <v>900</v>
      </c>
      <c r="G316" s="2957"/>
    </row>
    <row r="317" spans="1:7" s="2778" customFormat="1" ht="14.25" customHeight="1">
      <c r="A317" s="2944" t="s">
        <v>306</v>
      </c>
      <c r="B317" s="2944" t="s">
        <v>3140</v>
      </c>
      <c r="C317" s="2944"/>
      <c r="D317" s="2944"/>
      <c r="E317" s="2944"/>
      <c r="F317" s="2944">
        <v>920</v>
      </c>
      <c r="G317" s="2957"/>
    </row>
    <row r="318" spans="1:7" s="2778" customFormat="1" ht="14.25" customHeight="1">
      <c r="A318" s="2944" t="s">
        <v>306</v>
      </c>
      <c r="B318" s="2944" t="s">
        <v>3141</v>
      </c>
      <c r="C318" s="2944"/>
      <c r="D318" s="2944"/>
      <c r="E318" s="2944"/>
      <c r="F318" s="2944">
        <v>1080</v>
      </c>
      <c r="G318" s="2957"/>
    </row>
    <row r="319" spans="1:7" s="2778" customFormat="1" ht="14.25" customHeight="1">
      <c r="A319" s="2944" t="s">
        <v>306</v>
      </c>
      <c r="B319" s="2944" t="s">
        <v>3028</v>
      </c>
      <c r="C319" s="2944"/>
      <c r="D319" s="2944"/>
      <c r="E319" s="2944"/>
      <c r="F319" s="2944">
        <v>1020</v>
      </c>
      <c r="G319" s="2957"/>
    </row>
    <row r="320" spans="1:7" s="2778" customFormat="1" ht="14.25" customHeight="1">
      <c r="A320" s="2944" t="s">
        <v>306</v>
      </c>
      <c r="B320" s="2944" t="s">
        <v>3031</v>
      </c>
      <c r="C320" s="2944"/>
      <c r="D320" s="2944"/>
      <c r="E320" s="2944"/>
      <c r="F320" s="2944">
        <v>1050</v>
      </c>
      <c r="G320" s="2957"/>
    </row>
    <row r="321" spans="1:7" s="2778" customFormat="1" ht="14.25" customHeight="1">
      <c r="A321" s="2944" t="s">
        <v>306</v>
      </c>
      <c r="B321" s="2944" t="s">
        <v>3033</v>
      </c>
      <c r="C321" s="2944"/>
      <c r="D321" s="2944"/>
      <c r="E321" s="2944"/>
      <c r="F321" s="2944">
        <v>960</v>
      </c>
      <c r="G321" s="2957"/>
    </row>
    <row r="322" spans="1:7" s="2778" customFormat="1" ht="14.25" customHeight="1">
      <c r="A322" s="2944" t="s">
        <v>306</v>
      </c>
      <c r="B322" s="2944" t="s">
        <v>3035</v>
      </c>
      <c r="C322" s="2944"/>
      <c r="D322" s="2944"/>
      <c r="E322" s="2944"/>
      <c r="F322" s="2944">
        <v>960</v>
      </c>
      <c r="G322" s="2957"/>
    </row>
    <row r="323" spans="1:7" s="2778" customFormat="1" ht="14.25" customHeight="1">
      <c r="A323" s="2944" t="s">
        <v>306</v>
      </c>
      <c r="B323" s="2944" t="s">
        <v>3037</v>
      </c>
      <c r="C323" s="2944"/>
      <c r="D323" s="2944"/>
      <c r="E323" s="2944"/>
      <c r="F323" s="2944">
        <v>880</v>
      </c>
      <c r="G323" s="2957"/>
    </row>
    <row r="324" spans="1:7" s="2778" customFormat="1" ht="14.25" customHeight="1">
      <c r="A324" s="2944" t="s">
        <v>306</v>
      </c>
      <c r="B324" s="2944" t="s">
        <v>3039</v>
      </c>
      <c r="C324" s="2944"/>
      <c r="D324" s="2944"/>
      <c r="E324" s="2944"/>
      <c r="F324" s="2944">
        <v>930</v>
      </c>
      <c r="G324" s="2957"/>
    </row>
    <row r="325" spans="1:7" s="2778" customFormat="1" ht="14.25" customHeight="1">
      <c r="A325" s="2944" t="s">
        <v>306</v>
      </c>
      <c r="B325" s="2945" t="s">
        <v>3041</v>
      </c>
      <c r="C325" s="2944"/>
      <c r="D325" s="2944"/>
      <c r="E325" s="2944"/>
      <c r="F325" s="2944">
        <v>900</v>
      </c>
      <c r="G325" s="2957"/>
    </row>
    <row r="326" spans="1:7" s="2778" customFormat="1" ht="14.25" customHeight="1" thickBot="1">
      <c r="A326" s="2958" t="s">
        <v>306</v>
      </c>
      <c r="B326" s="2951" t="s">
        <v>3043</v>
      </c>
      <c r="C326" s="2951"/>
      <c r="D326" s="2951"/>
      <c r="E326" s="2951"/>
      <c r="F326" s="2951">
        <v>790</v>
      </c>
      <c r="G326" s="2959"/>
    </row>
    <row r="327" spans="1:7" s="2778" customFormat="1" ht="14.25" customHeight="1">
      <c r="A327" s="2949" t="s">
        <v>307</v>
      </c>
      <c r="B327" s="2940" t="s">
        <v>3142</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3143</v>
      </c>
      <c r="C329" s="2944">
        <v>2730</v>
      </c>
      <c r="D329" s="2944">
        <v>2690</v>
      </c>
      <c r="E329" s="2944">
        <v>3100</v>
      </c>
      <c r="F329" s="2944">
        <v>660</v>
      </c>
      <c r="G329" s="2944">
        <v>1610</v>
      </c>
    </row>
    <row r="330" spans="1:7" s="2778" customFormat="1" ht="14.25" customHeight="1">
      <c r="A330" s="2944" t="s">
        <v>307</v>
      </c>
      <c r="B330" s="2944" t="s">
        <v>3144</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2877</v>
      </c>
      <c r="C332" s="2944">
        <v>3520</v>
      </c>
      <c r="D332" s="2944">
        <v>3480</v>
      </c>
      <c r="E332" s="2944">
        <v>3830</v>
      </c>
      <c r="F332" s="2944">
        <v>720</v>
      </c>
      <c r="G332" s="2944">
        <v>2090</v>
      </c>
    </row>
    <row r="333" spans="1:7" s="2778" customFormat="1" ht="14.25" customHeight="1">
      <c r="A333" s="2944" t="s">
        <v>307</v>
      </c>
      <c r="B333" s="2944" t="s">
        <v>3145</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2887</v>
      </c>
      <c r="C336" s="2944">
        <v>3570</v>
      </c>
      <c r="D336" s="2944">
        <v>3530</v>
      </c>
      <c r="E336" s="2944">
        <v>3880</v>
      </c>
      <c r="F336" s="2944">
        <v>770</v>
      </c>
      <c r="G336" s="2944">
        <v>2110</v>
      </c>
    </row>
    <row r="337" spans="1:10" s="2778" customFormat="1" ht="14.25" customHeight="1">
      <c r="A337" s="2944" t="s">
        <v>307</v>
      </c>
      <c r="B337" s="2944" t="s">
        <v>3146</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3147</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3148</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2912</v>
      </c>
      <c r="C345" s="2944">
        <v>3190</v>
      </c>
      <c r="D345" s="2944">
        <v>3140</v>
      </c>
      <c r="E345" s="2944">
        <v>3450</v>
      </c>
      <c r="F345" s="2944">
        <v>720</v>
      </c>
      <c r="G345" s="2944">
        <v>1880</v>
      </c>
      <c r="J345" s="2778"/>
    </row>
    <row r="346" spans="1:10">
      <c r="A346" s="2944" t="s">
        <v>307</v>
      </c>
      <c r="B346" s="2944" t="s">
        <v>3149</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2921</v>
      </c>
      <c r="C348" s="2944">
        <v>4000</v>
      </c>
      <c r="D348" s="2944">
        <v>3950</v>
      </c>
      <c r="E348" s="2944">
        <v>4430</v>
      </c>
      <c r="F348" s="2944">
        <v>760</v>
      </c>
      <c r="G348" s="2944">
        <v>2360</v>
      </c>
      <c r="J348" s="2778"/>
    </row>
    <row r="349" spans="1:10">
      <c r="A349" s="2944" t="s">
        <v>307</v>
      </c>
      <c r="B349" s="2944" t="s">
        <v>2926</v>
      </c>
      <c r="C349" s="2944">
        <v>3820</v>
      </c>
      <c r="D349" s="2944">
        <v>3780</v>
      </c>
      <c r="E349" s="2944">
        <v>4170</v>
      </c>
      <c r="F349" s="2944">
        <v>710</v>
      </c>
      <c r="G349" s="2944">
        <v>2260</v>
      </c>
      <c r="J349" s="2778"/>
    </row>
    <row r="350" spans="1:10">
      <c r="A350" s="2944" t="s">
        <v>307</v>
      </c>
      <c r="B350" s="2944" t="s">
        <v>3150</v>
      </c>
      <c r="C350" s="2944">
        <v>3760</v>
      </c>
      <c r="D350" s="2944">
        <v>3730</v>
      </c>
      <c r="E350" s="2944">
        <v>4100</v>
      </c>
      <c r="F350" s="2944">
        <v>800</v>
      </c>
      <c r="G350" s="2944">
        <v>2230</v>
      </c>
      <c r="J350" s="2778"/>
    </row>
    <row r="351" spans="1:10">
      <c r="A351" s="2944" t="s">
        <v>307</v>
      </c>
      <c r="B351" s="2944" t="s">
        <v>2934</v>
      </c>
      <c r="C351" s="2944">
        <v>3610</v>
      </c>
      <c r="D351" s="2944">
        <v>3580</v>
      </c>
      <c r="E351" s="2944">
        <v>3930</v>
      </c>
      <c r="F351" s="2944">
        <v>700</v>
      </c>
      <c r="G351" s="2944">
        <v>2140</v>
      </c>
      <c r="J351" s="2778"/>
    </row>
    <row r="352" spans="1:10">
      <c r="A352" s="2944" t="s">
        <v>307</v>
      </c>
      <c r="B352" s="2944" t="s">
        <v>2939</v>
      </c>
      <c r="C352" s="2944">
        <v>3670</v>
      </c>
      <c r="D352" s="2944">
        <v>3630</v>
      </c>
      <c r="E352" s="2944">
        <v>4000</v>
      </c>
      <c r="F352" s="2944">
        <v>750</v>
      </c>
      <c r="G352" s="2944">
        <v>2180</v>
      </c>
    </row>
    <row r="353" spans="1:7" s="2779" customFormat="1">
      <c r="A353" s="2944" t="s">
        <v>307</v>
      </c>
      <c r="B353" s="2944" t="s">
        <v>3151</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2959</v>
      </c>
      <c r="C355" s="2944">
        <v>3650</v>
      </c>
      <c r="D355" s="2944">
        <v>3610</v>
      </c>
      <c r="E355" s="2944">
        <v>4200</v>
      </c>
      <c r="F355" s="2944">
        <v>640</v>
      </c>
      <c r="G355" s="2944">
        <v>2160</v>
      </c>
    </row>
    <row r="356" spans="1:7" s="2779" customFormat="1">
      <c r="A356" s="2944" t="s">
        <v>307</v>
      </c>
      <c r="B356" s="2944" t="s">
        <v>2966</v>
      </c>
      <c r="C356" s="2944">
        <v>3260</v>
      </c>
      <c r="D356" s="2944">
        <v>3230</v>
      </c>
      <c r="E356" s="2944">
        <v>3740</v>
      </c>
      <c r="F356" s="2944">
        <v>600</v>
      </c>
      <c r="G356" s="2944">
        <v>1930</v>
      </c>
    </row>
    <row r="357" spans="1:7" s="2779" customFormat="1" ht="12" thickBot="1">
      <c r="A357" s="2952" t="s">
        <v>307</v>
      </c>
      <c r="B357" s="2955" t="s">
        <v>3152</v>
      </c>
      <c r="C357" s="2955">
        <v>3690</v>
      </c>
      <c r="D357" s="2955">
        <v>3650</v>
      </c>
      <c r="E357" s="2955">
        <v>4020</v>
      </c>
      <c r="F357" s="2955">
        <v>700</v>
      </c>
      <c r="G357" s="2955">
        <v>2190</v>
      </c>
    </row>
    <row r="358" spans="1:7" s="2779" customFormat="1">
      <c r="A358" s="2949" t="s">
        <v>3153</v>
      </c>
      <c r="B358" s="2940" t="s">
        <v>3154</v>
      </c>
      <c r="C358" s="2940">
        <v>2080</v>
      </c>
      <c r="D358" s="2940">
        <v>2040</v>
      </c>
      <c r="E358" s="2940">
        <v>2010</v>
      </c>
      <c r="F358" s="2940">
        <v>530</v>
      </c>
      <c r="G358" s="2956">
        <v>1230</v>
      </c>
    </row>
    <row r="359" spans="1:7" s="2779" customFormat="1">
      <c r="A359" s="2944" t="s">
        <v>3153</v>
      </c>
      <c r="B359" s="2944" t="s">
        <v>3155</v>
      </c>
      <c r="C359" s="2944">
        <v>1850</v>
      </c>
      <c r="D359" s="2944">
        <v>1820</v>
      </c>
      <c r="E359" s="2944">
        <v>1780</v>
      </c>
      <c r="F359" s="2944">
        <v>520</v>
      </c>
      <c r="G359" s="2957">
        <v>1100</v>
      </c>
    </row>
    <row r="360" spans="1:7" s="2779" customFormat="1">
      <c r="A360" s="2944" t="s">
        <v>3153</v>
      </c>
      <c r="B360" s="2944" t="s">
        <v>3156</v>
      </c>
      <c r="C360" s="2944">
        <v>2020</v>
      </c>
      <c r="D360" s="2944">
        <v>1990</v>
      </c>
      <c r="E360" s="2944">
        <v>1950</v>
      </c>
      <c r="F360" s="2944">
        <v>500</v>
      </c>
      <c r="G360" s="2957">
        <v>1200</v>
      </c>
    </row>
    <row r="361" spans="1:7" s="2779" customFormat="1">
      <c r="A361" s="2944" t="s">
        <v>3153</v>
      </c>
      <c r="B361" s="2944" t="s">
        <v>153</v>
      </c>
      <c r="C361" s="2944">
        <v>2260</v>
      </c>
      <c r="D361" s="2944">
        <v>2220</v>
      </c>
      <c r="E361" s="2944">
        <v>2180</v>
      </c>
      <c r="F361" s="2944">
        <v>580</v>
      </c>
      <c r="G361" s="2957">
        <v>1340</v>
      </c>
    </row>
    <row r="362" spans="1:7" s="2779" customFormat="1">
      <c r="A362" s="2944" t="s">
        <v>3153</v>
      </c>
      <c r="B362" s="2944" t="s">
        <v>3157</v>
      </c>
      <c r="C362" s="2944">
        <v>2650</v>
      </c>
      <c r="D362" s="2944">
        <v>2610</v>
      </c>
      <c r="E362" s="2944">
        <v>2570</v>
      </c>
      <c r="F362" s="2944">
        <v>630</v>
      </c>
      <c r="G362" s="2957">
        <v>1570</v>
      </c>
    </row>
    <row r="363" spans="1:7" s="2779" customFormat="1">
      <c r="A363" s="2944" t="s">
        <v>3153</v>
      </c>
      <c r="B363" s="2944" t="s">
        <v>2878</v>
      </c>
      <c r="C363" s="2944">
        <v>2390</v>
      </c>
      <c r="D363" s="2944">
        <v>2360</v>
      </c>
      <c r="E363" s="2944">
        <v>2320</v>
      </c>
      <c r="F363" s="2944">
        <v>600</v>
      </c>
      <c r="G363" s="2957">
        <v>1420</v>
      </c>
    </row>
    <row r="364" spans="1:7" s="2779" customFormat="1">
      <c r="A364" s="2944" t="s">
        <v>3153</v>
      </c>
      <c r="B364" s="2944" t="s">
        <v>3158</v>
      </c>
      <c r="C364" s="2944">
        <v>2050</v>
      </c>
      <c r="D364" s="2944">
        <v>2030</v>
      </c>
      <c r="E364" s="2944">
        <v>1990</v>
      </c>
      <c r="F364" s="2944">
        <v>550</v>
      </c>
      <c r="G364" s="2957">
        <v>1220</v>
      </c>
    </row>
    <row r="365" spans="1:7" s="2779" customFormat="1">
      <c r="A365" s="2944" t="s">
        <v>3153</v>
      </c>
      <c r="B365" s="2944" t="s">
        <v>200</v>
      </c>
      <c r="C365" s="2944">
        <v>2140</v>
      </c>
      <c r="D365" s="2944">
        <v>2100</v>
      </c>
      <c r="E365" s="2944">
        <v>2060</v>
      </c>
      <c r="F365" s="2944">
        <v>540</v>
      </c>
      <c r="G365" s="2957">
        <v>1270</v>
      </c>
    </row>
    <row r="366" spans="1:7" s="2779" customFormat="1">
      <c r="A366" s="2944" t="s">
        <v>3153</v>
      </c>
      <c r="B366" s="2944" t="s">
        <v>2885</v>
      </c>
      <c r="C366" s="2944">
        <v>2410</v>
      </c>
      <c r="D366" s="2944">
        <v>2370</v>
      </c>
      <c r="E366" s="2944">
        <v>2330</v>
      </c>
      <c r="F366" s="2944">
        <v>570</v>
      </c>
      <c r="G366" s="2957">
        <v>1440</v>
      </c>
    </row>
    <row r="367" spans="1:7" s="2779" customFormat="1">
      <c r="A367" s="2944" t="s">
        <v>3153</v>
      </c>
      <c r="B367" s="2944" t="s">
        <v>3159</v>
      </c>
      <c r="C367" s="2944">
        <v>2300</v>
      </c>
      <c r="D367" s="2944">
        <v>2260</v>
      </c>
      <c r="E367" s="2944">
        <v>2220</v>
      </c>
      <c r="F367" s="2944">
        <v>560</v>
      </c>
      <c r="G367" s="2957">
        <v>1370</v>
      </c>
    </row>
    <row r="368" spans="1:7" s="2779" customFormat="1">
      <c r="A368" s="2944" t="s">
        <v>3153</v>
      </c>
      <c r="B368" s="2944" t="s">
        <v>3160</v>
      </c>
      <c r="C368" s="2944">
        <v>2430</v>
      </c>
      <c r="D368" s="2944">
        <v>2390</v>
      </c>
      <c r="E368" s="2944">
        <v>2350</v>
      </c>
      <c r="F368" s="2944">
        <v>570</v>
      </c>
      <c r="G368" s="2957">
        <v>1450</v>
      </c>
    </row>
    <row r="369" spans="1:7" s="2779" customFormat="1">
      <c r="A369" s="2944" t="s">
        <v>3153</v>
      </c>
      <c r="B369" s="2944" t="s">
        <v>214</v>
      </c>
      <c r="C369" s="2944">
        <v>2320</v>
      </c>
      <c r="D369" s="2944">
        <v>2290</v>
      </c>
      <c r="E369" s="2944">
        <v>2250</v>
      </c>
      <c r="F369" s="2944">
        <v>550</v>
      </c>
      <c r="G369" s="2957">
        <v>1380</v>
      </c>
    </row>
    <row r="370" spans="1:7" s="2779" customFormat="1">
      <c r="A370" s="2944" t="s">
        <v>3153</v>
      </c>
      <c r="B370" s="2944" t="s">
        <v>221</v>
      </c>
      <c r="C370" s="2944">
        <v>2190</v>
      </c>
      <c r="D370" s="2944">
        <v>2170</v>
      </c>
      <c r="E370" s="2944">
        <v>2130</v>
      </c>
      <c r="F370" s="2944">
        <v>530</v>
      </c>
      <c r="G370" s="2957">
        <v>1310</v>
      </c>
    </row>
    <row r="371" spans="1:7" s="2779" customFormat="1">
      <c r="A371" s="2944" t="s">
        <v>3153</v>
      </c>
      <c r="B371" s="2944" t="s">
        <v>229</v>
      </c>
      <c r="C371" s="2944">
        <v>2460</v>
      </c>
      <c r="D371" s="2944">
        <v>2420</v>
      </c>
      <c r="E371" s="2944">
        <v>2370</v>
      </c>
      <c r="F371" s="2944">
        <v>560</v>
      </c>
      <c r="G371" s="2957">
        <v>1470</v>
      </c>
    </row>
    <row r="372" spans="1:7" s="2779" customFormat="1">
      <c r="A372" s="2944" t="s">
        <v>3153</v>
      </c>
      <c r="B372" s="2944" t="s">
        <v>3161</v>
      </c>
      <c r="C372" s="2944">
        <v>2250</v>
      </c>
      <c r="D372" s="2944">
        <v>2210</v>
      </c>
      <c r="E372" s="2944">
        <v>2180</v>
      </c>
      <c r="F372" s="2944">
        <v>550</v>
      </c>
      <c r="G372" s="2957">
        <v>1340</v>
      </c>
    </row>
    <row r="373" spans="1:7" s="2779" customFormat="1">
      <c r="A373" s="2944" t="s">
        <v>3153</v>
      </c>
      <c r="B373" s="2944" t="s">
        <v>258</v>
      </c>
      <c r="C373" s="2944">
        <v>2210</v>
      </c>
      <c r="D373" s="2944">
        <v>2190</v>
      </c>
      <c r="E373" s="2944">
        <v>2150</v>
      </c>
      <c r="F373" s="2944">
        <v>530</v>
      </c>
      <c r="G373" s="2957">
        <v>1320</v>
      </c>
    </row>
    <row r="374" spans="1:7" s="2779" customFormat="1">
      <c r="A374" s="2944" t="s">
        <v>3153</v>
      </c>
      <c r="B374" s="2944" t="s">
        <v>266</v>
      </c>
      <c r="C374" s="2944">
        <v>2320</v>
      </c>
      <c r="D374" s="2944">
        <v>2280</v>
      </c>
      <c r="E374" s="2944">
        <v>2230</v>
      </c>
      <c r="F374" s="2944">
        <v>580</v>
      </c>
      <c r="G374" s="2957">
        <v>1380</v>
      </c>
    </row>
    <row r="375" spans="1:7" s="2779" customFormat="1">
      <c r="A375" s="2944" t="s">
        <v>3153</v>
      </c>
      <c r="B375" s="2944" t="s">
        <v>3162</v>
      </c>
      <c r="C375" s="2944">
        <v>2090</v>
      </c>
      <c r="D375" s="2944">
        <v>2050</v>
      </c>
      <c r="E375" s="2944">
        <v>2020</v>
      </c>
      <c r="F375" s="2944">
        <v>520</v>
      </c>
      <c r="G375" s="2957">
        <v>1240</v>
      </c>
    </row>
    <row r="376" spans="1:7" s="2779" customFormat="1">
      <c r="A376" s="2944" t="s">
        <v>3153</v>
      </c>
      <c r="B376" s="2944" t="s">
        <v>277</v>
      </c>
      <c r="C376" s="2944">
        <v>2010</v>
      </c>
      <c r="D376" s="2944">
        <v>1980</v>
      </c>
      <c r="E376" s="2944">
        <v>1940</v>
      </c>
      <c r="F376" s="2944">
        <v>540</v>
      </c>
      <c r="G376" s="2957">
        <v>1190</v>
      </c>
    </row>
    <row r="377" spans="1:7" s="2779" customFormat="1" ht="12" thickBot="1">
      <c r="A377" s="2952" t="s">
        <v>3153</v>
      </c>
      <c r="B377" s="2955" t="s">
        <v>2915</v>
      </c>
      <c r="C377" s="2955">
        <v>1930</v>
      </c>
      <c r="D377" s="2955">
        <v>1890</v>
      </c>
      <c r="E377" s="2955">
        <v>1860</v>
      </c>
      <c r="F377" s="2955">
        <v>530</v>
      </c>
      <c r="G377" s="2960">
        <v>1150</v>
      </c>
    </row>
    <row r="378" spans="1:7" s="2779" customFormat="1">
      <c r="A378" s="2961" t="s">
        <v>3163</v>
      </c>
      <c r="B378" s="2940" t="s">
        <v>3164</v>
      </c>
      <c r="C378" s="2940">
        <v>1520</v>
      </c>
      <c r="D378" s="2940">
        <v>1490</v>
      </c>
      <c r="E378" s="2940">
        <v>1460</v>
      </c>
      <c r="F378" s="2940">
        <v>460</v>
      </c>
      <c r="G378" s="2956">
        <v>940</v>
      </c>
    </row>
    <row r="379" spans="1:7" s="2779" customFormat="1">
      <c r="A379" s="2962" t="s">
        <v>3163</v>
      </c>
      <c r="B379" s="2944" t="s">
        <v>3165</v>
      </c>
      <c r="C379" s="2944">
        <v>1500</v>
      </c>
      <c r="D379" s="2944">
        <v>1470</v>
      </c>
      <c r="E379" s="2944">
        <v>1430</v>
      </c>
      <c r="F379" s="2944">
        <v>460</v>
      </c>
      <c r="G379" s="2957">
        <v>920</v>
      </c>
    </row>
    <row r="380" spans="1:7" s="2779" customFormat="1">
      <c r="A380" s="2962" t="s">
        <v>3163</v>
      </c>
      <c r="B380" s="2944" t="s">
        <v>3166</v>
      </c>
      <c r="C380" s="2944">
        <v>1620</v>
      </c>
      <c r="D380" s="2944">
        <v>1590</v>
      </c>
      <c r="E380" s="2944">
        <v>1560</v>
      </c>
      <c r="F380" s="2944">
        <v>480</v>
      </c>
      <c r="G380" s="2957">
        <v>1000</v>
      </c>
    </row>
    <row r="381" spans="1:7" s="2779" customFormat="1">
      <c r="A381" s="2962" t="s">
        <v>3163</v>
      </c>
      <c r="B381" s="2944" t="s">
        <v>3167</v>
      </c>
      <c r="C381" s="2944">
        <v>1460</v>
      </c>
      <c r="D381" s="2944">
        <v>1430</v>
      </c>
      <c r="E381" s="2944">
        <v>1390</v>
      </c>
      <c r="F381" s="2944">
        <v>450</v>
      </c>
      <c r="G381" s="2957">
        <v>900</v>
      </c>
    </row>
    <row r="382" spans="1:7" s="2779" customFormat="1">
      <c r="A382" s="2962" t="s">
        <v>3163</v>
      </c>
      <c r="B382" s="2944" t="s">
        <v>3168</v>
      </c>
      <c r="C382" s="2944">
        <v>1310</v>
      </c>
      <c r="D382" s="2944">
        <v>1280</v>
      </c>
      <c r="E382" s="2944">
        <v>1250</v>
      </c>
      <c r="F382" s="2944">
        <v>440</v>
      </c>
      <c r="G382" s="2957">
        <v>800</v>
      </c>
    </row>
    <row r="383" spans="1:7" s="2779" customFormat="1">
      <c r="A383" s="2962" t="s">
        <v>3163</v>
      </c>
      <c r="B383" s="2944" t="s">
        <v>3169</v>
      </c>
      <c r="C383" s="2944">
        <v>1260</v>
      </c>
      <c r="D383" s="2944">
        <v>1230</v>
      </c>
      <c r="E383" s="2944">
        <v>1200</v>
      </c>
      <c r="F383" s="2944">
        <v>420</v>
      </c>
      <c r="G383" s="2957">
        <v>770</v>
      </c>
    </row>
    <row r="384" spans="1:7" s="2779" customFormat="1" ht="12" thickBot="1">
      <c r="A384" s="2963" t="s">
        <v>3163</v>
      </c>
      <c r="B384" s="2951" t="s">
        <v>3170</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45803</v>
      </c>
      <c r="D1" s="1215" t="s">
        <v>603</v>
      </c>
      <c r="E1" s="1210">
        <f>'数据-取费表'!B22</f>
        <v>3</v>
      </c>
      <c r="F1" s="1215" t="s">
        <v>604</v>
      </c>
      <c r="G1" s="1211">
        <f ca="1">INDIRECT("d"&amp;$K$1)/100</f>
        <v>0.03</v>
      </c>
      <c r="H1" s="1215" t="s">
        <v>634</v>
      </c>
      <c r="I1" s="1211">
        <f ca="1">F4/100</f>
        <v>1.4999999999999999E-2</v>
      </c>
      <c r="J1" s="1216">
        <f>IF(C1&gt;C13,0,MATCH(C1,C$13:C$115,-1))+IF(SUMIF(C13:C115,C1,D13:D115)=0,13,12)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2">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3"/>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2299</v>
      </c>
      <c r="C27" s="1205">
        <v>43697</v>
      </c>
      <c r="D27" s="2571">
        <v>4.25</v>
      </c>
      <c r="E27" s="2571">
        <v>4.25</v>
      </c>
      <c r="F27" s="2571">
        <v>4.25</v>
      </c>
      <c r="G27" s="2571">
        <v>4.25</v>
      </c>
      <c r="H27" s="2571">
        <v>4.8499999999999996</v>
      </c>
      <c r="I27" s="2571"/>
      <c r="J27" s="2571"/>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4"/>
      <c r="C28" s="2575">
        <v>42301</v>
      </c>
      <c r="D28" s="2576">
        <v>4.3499999999999996</v>
      </c>
      <c r="E28" s="2576">
        <v>4.3499999999999996</v>
      </c>
      <c r="F28" s="2576">
        <v>4.75</v>
      </c>
      <c r="G28" s="2576">
        <v>4.75</v>
      </c>
      <c r="H28" s="2576">
        <v>4.9000000000000004</v>
      </c>
      <c r="I28" s="2576"/>
      <c r="J28" s="2576"/>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7" t="s">
        <v>949</v>
      </c>
      <c r="B1" s="3217"/>
      <c r="C1" s="3217"/>
      <c r="D1" s="3217"/>
    </row>
    <row r="2" spans="1:4" ht="18">
      <c r="A2" s="3218" t="s">
        <v>933</v>
      </c>
      <c r="B2" s="3218"/>
      <c r="C2" s="3218"/>
      <c r="D2" s="321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8" t="s">
        <v>939</v>
      </c>
      <c r="B6" s="3218"/>
      <c r="C6" s="3218"/>
      <c r="D6" s="321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9"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6"/>
      <c r="C12" s="3216"/>
      <c r="D12" s="3216"/>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6"/>
      <c r="C13" s="3216"/>
      <c r="D13" s="3216"/>
    </row>
    <row r="14" spans="1:4" ht="15.75" customHeight="1">
      <c r="A14" s="3211" t="str">
        <f>IF(项目基本情况!B8="抵押","4.本次评估估价师所知悉的法定优先受偿款情况说明如下：","——")</f>
        <v>4.本次评估估价师所知悉的法定优先受偿款情况说明如下：</v>
      </c>
      <c r="B14" s="3216"/>
      <c r="C14" s="3216"/>
      <c r="D14" s="3216"/>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3" t="s">
        <v>943</v>
      </c>
      <c r="B16" s="3213"/>
      <c r="C16" s="3213"/>
      <c r="D16" s="3213"/>
    </row>
    <row r="17" spans="1:4" ht="144" customHeight="1">
      <c r="A17" s="3213" t="s">
        <v>944</v>
      </c>
      <c r="B17" s="3213"/>
      <c r="C17" s="3213"/>
      <c r="D17" s="3213"/>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3"/>
      <c r="B23" s="457"/>
      <c r="C23" s="457"/>
      <c r="D23" s="457"/>
    </row>
    <row r="24" spans="1:4">
      <c r="A24" s="1413"/>
      <c r="B24" s="457"/>
      <c r="C24" s="457"/>
      <c r="D24" s="457"/>
    </row>
    <row r="25" spans="1:4" ht="18.75">
      <c r="A25" s="1414" t="s">
        <v>946</v>
      </c>
    </row>
    <row r="26" spans="1:4" ht="18">
      <c r="A26" s="1385"/>
    </row>
    <row r="27" spans="1:4" ht="18.75">
      <c r="A27" s="1385" t="s">
        <v>947</v>
      </c>
    </row>
    <row r="30" spans="1:4" ht="18.75">
      <c r="D30" s="1414" t="s">
        <v>948</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5" t="s">
        <v>956</v>
      </c>
      <c r="B15" s="3220" t="s">
        <v>109</v>
      </c>
      <c r="C15" s="3221"/>
    </row>
    <row r="16" spans="1:7" ht="13.5">
      <c r="A16" s="3226"/>
      <c r="B16" s="3220" t="s">
        <v>42</v>
      </c>
      <c r="C16" s="3221"/>
    </row>
    <row r="17" spans="1:3" ht="13.5">
      <c r="A17" s="3226"/>
      <c r="B17" s="3223" t="s">
        <v>957</v>
      </c>
      <c r="C17" s="1427" t="s">
        <v>956</v>
      </c>
    </row>
    <row r="18" spans="1:3" ht="13.5">
      <c r="A18" s="3226"/>
      <c r="B18" s="3223"/>
      <c r="C18" s="1427" t="s">
        <v>958</v>
      </c>
    </row>
    <row r="19" spans="1:3" ht="13.5">
      <c r="A19" s="3226"/>
      <c r="B19" s="3223"/>
      <c r="C19" s="1427" t="s">
        <v>959</v>
      </c>
    </row>
    <row r="20" spans="1:3" ht="13.5">
      <c r="A20" s="3227"/>
      <c r="B20" s="3222" t="s">
        <v>960</v>
      </c>
      <c r="C20" s="3221"/>
    </row>
    <row r="21" spans="1:3" ht="13.5">
      <c r="A21" s="1428" t="s">
        <v>961</v>
      </c>
      <c r="B21" s="1429"/>
      <c r="C21" s="1430"/>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7" t="s">
        <v>967</v>
      </c>
    </row>
    <row r="26" spans="1:3" ht="13.5">
      <c r="A26" s="3224"/>
      <c r="B26" s="3223"/>
      <c r="C26" s="1427" t="s">
        <v>968</v>
      </c>
    </row>
    <row r="27" spans="1:3" ht="13.5">
      <c r="A27" s="3224"/>
      <c r="B27" s="3223"/>
      <c r="C27" s="1427" t="s">
        <v>969</v>
      </c>
    </row>
    <row r="28" spans="1:3" ht="13.5">
      <c r="A28" s="3224"/>
      <c r="B28" s="3223"/>
      <c r="C28" s="1427" t="s">
        <v>970</v>
      </c>
    </row>
    <row r="29" spans="1:3" ht="13.5">
      <c r="A29" s="3224"/>
      <c r="B29" s="3223"/>
      <c r="C29" s="1427" t="s">
        <v>971</v>
      </c>
    </row>
    <row r="30" spans="1:3" ht="13.5">
      <c r="A30" s="3224"/>
      <c r="B30" s="3223"/>
      <c r="C30" s="1427" t="s">
        <v>972</v>
      </c>
    </row>
    <row r="31" spans="1:3" ht="13.5">
      <c r="A31" s="3224"/>
      <c r="B31" s="3223"/>
      <c r="C31" s="1427" t="s">
        <v>973</v>
      </c>
    </row>
    <row r="32" spans="1:3" ht="13.5">
      <c r="A32" s="3224"/>
      <c r="B32" s="3223"/>
      <c r="C32" s="1427" t="s">
        <v>974</v>
      </c>
    </row>
    <row r="33" spans="1:3" ht="13.5">
      <c r="A33" s="3224"/>
      <c r="B33" s="322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45805</v>
      </c>
      <c r="C2" s="2154" t="s">
        <v>2139</v>
      </c>
      <c r="D2" s="2154"/>
      <c r="E2" s="2154"/>
      <c r="F2" s="2150"/>
      <c r="G2" s="2150"/>
      <c r="H2" s="2150"/>
    </row>
    <row r="3" spans="1:8" ht="24" customHeight="1">
      <c r="A3" s="2155" t="s">
        <v>2140</v>
      </c>
      <c r="B3" s="1217" t="s">
        <v>2141</v>
      </c>
      <c r="C3" s="1217" t="s">
        <v>2142</v>
      </c>
      <c r="D3" s="2156" t="s">
        <v>2143</v>
      </c>
      <c r="E3" s="2157" t="s">
        <v>2144</v>
      </c>
      <c r="F3" s="1217" t="s">
        <v>2145</v>
      </c>
      <c r="G3" s="1217" t="s">
        <v>2142</v>
      </c>
      <c r="H3" s="2156" t="s">
        <v>2146</v>
      </c>
    </row>
    <row r="4" spans="1:8" ht="24" customHeight="1">
      <c r="A4" s="1217" t="s">
        <v>2147</v>
      </c>
      <c r="B4" s="1217">
        <f ca="1">IF(C4&lt;B2,"已过期",1119970066)</f>
        <v>1119970066</v>
      </c>
      <c r="C4" s="2158">
        <v>45937</v>
      </c>
      <c r="D4" s="2159" t="str">
        <f ca="1">A4&amp;"（注册号："&amp;B4&amp;"）"</f>
        <v>梁津（注册号：1119970066）</v>
      </c>
      <c r="E4" s="2160" t="s">
        <v>2147</v>
      </c>
      <c r="F4" s="1217">
        <f ca="1">IF(G4&lt;B2,"已过期",96010014)</f>
        <v>96010014</v>
      </c>
      <c r="G4" s="2161">
        <v>47118</v>
      </c>
      <c r="H4" s="2162" t="str">
        <f ca="1">E4&amp;"（注册号："&amp;F4&amp;"）"</f>
        <v>梁津（注册号：96010014）</v>
      </c>
    </row>
    <row r="5" spans="1:8" ht="24" customHeight="1">
      <c r="A5" s="1217" t="s">
        <v>2148</v>
      </c>
      <c r="B5" s="1217">
        <f ca="1">IF(C5&lt;B2,"已过期",1119970111)</f>
        <v>1119970111</v>
      </c>
      <c r="C5" s="2158">
        <v>45937</v>
      </c>
      <c r="D5" s="2159" t="str">
        <f t="shared" ref="D5:D15" ca="1" si="0">A5&amp;"（注册号："&amp;B5&amp;"）"</f>
        <v>叶凌（注册号：1119970111）</v>
      </c>
      <c r="E5" s="2160" t="s">
        <v>2148</v>
      </c>
      <c r="F5" s="1217">
        <f ca="1">IF(G5&lt;B2,"已过期",94010078)</f>
        <v>94010078</v>
      </c>
      <c r="G5" s="2161">
        <v>46387</v>
      </c>
      <c r="H5" s="2162" t="str">
        <f t="shared" ref="H5:H16" ca="1" si="1">E5&amp;"（注册号："&amp;F5&amp;"）"</f>
        <v>叶凌（注册号：94010078）</v>
      </c>
    </row>
    <row r="6" spans="1:8" ht="24" customHeight="1">
      <c r="A6" s="1217" t="s">
        <v>2149</v>
      </c>
      <c r="B6" s="1217" t="str">
        <f ca="1">IF(C6&lt;B2,"已过期",1120050019)</f>
        <v>已过期</v>
      </c>
      <c r="C6" s="2158">
        <v>45410</v>
      </c>
      <c r="D6" s="2159" t="str">
        <f t="shared" ca="1" si="0"/>
        <v>王鹏（注册号：已过期）</v>
      </c>
      <c r="E6" s="2160" t="s">
        <v>2149</v>
      </c>
      <c r="F6" s="1217">
        <f ca="1">IF(G6&lt;B2,"已过期",2002110030)</f>
        <v>2002110030</v>
      </c>
      <c r="G6" s="2161">
        <v>46387</v>
      </c>
      <c r="H6" s="2162" t="str">
        <f t="shared" ca="1" si="1"/>
        <v>王鹏（注册号：2002110030）</v>
      </c>
    </row>
    <row r="7" spans="1:8" ht="24" customHeight="1">
      <c r="A7" s="1217" t="s">
        <v>2150</v>
      </c>
      <c r="B7" s="1217">
        <f ca="1">IF(C7&lt;B2,"已过期",1120000080)</f>
        <v>1120000080</v>
      </c>
      <c r="C7" s="2158">
        <v>45937</v>
      </c>
      <c r="D7" s="2159" t="str">
        <f t="shared" ca="1" si="0"/>
        <v>欧红伟（注册号：1120000080）</v>
      </c>
      <c r="E7" s="2160" t="s">
        <v>2150</v>
      </c>
      <c r="F7" s="1217">
        <f ca="1">IF(G7&lt;B2,"已过期",2000110082)</f>
        <v>2000110082</v>
      </c>
      <c r="G7" s="2161">
        <v>46387</v>
      </c>
      <c r="H7" s="2162" t="str">
        <f t="shared" ca="1" si="1"/>
        <v>欧红伟（注册号：2000110082）</v>
      </c>
    </row>
    <row r="8" spans="1:8" ht="24" customHeight="1">
      <c r="A8" s="1217" t="s">
        <v>2151</v>
      </c>
      <c r="B8" s="1217">
        <f ca="1">IF(C8&lt;B2,"已过期",1419970001)</f>
        <v>1419970001</v>
      </c>
      <c r="C8" s="2158">
        <v>45937</v>
      </c>
      <c r="D8" s="2159" t="str">
        <f t="shared" ca="1" si="0"/>
        <v>吴薇（注册号：1419970001）</v>
      </c>
      <c r="E8" s="2160" t="s">
        <v>2151</v>
      </c>
      <c r="F8" s="1217">
        <f ca="1">IF(G8&lt;B2,"已过期",2002110125)</f>
        <v>2002110125</v>
      </c>
      <c r="G8" s="2161">
        <v>47118</v>
      </c>
      <c r="H8" s="2162" t="str">
        <f t="shared" ca="1" si="1"/>
        <v>吴薇（注册号：2002110125）</v>
      </c>
    </row>
    <row r="9" spans="1:8" ht="24" customHeight="1">
      <c r="A9" s="1217" t="s">
        <v>2152</v>
      </c>
      <c r="B9" s="1217" t="str">
        <f ca="1">IF(C9&lt;B2,"已过期",1120060040)</f>
        <v>已过期</v>
      </c>
      <c r="C9" s="2163">
        <v>45592</v>
      </c>
      <c r="D9" s="2159" t="str">
        <f t="shared" ca="1" si="0"/>
        <v>陈颖（注册号：已过期）</v>
      </c>
      <c r="E9" s="2160" t="s">
        <v>2152</v>
      </c>
      <c r="F9" s="1217">
        <f ca="1">IF(G9&lt;B2,"已过期",2004110096)</f>
        <v>2004110096</v>
      </c>
      <c r="G9" s="2161">
        <v>47118</v>
      </c>
      <c r="H9" s="2162" t="str">
        <f t="shared" ca="1" si="1"/>
        <v>陈颖（注册号：2004110096）</v>
      </c>
    </row>
    <row r="10" spans="1:8" ht="24" customHeight="1">
      <c r="A10" s="1217" t="s">
        <v>2153</v>
      </c>
      <c r="B10" s="1217" t="str">
        <f ca="1">IF(C10&lt;B2,"已过期",1120100036)</f>
        <v>已过期</v>
      </c>
      <c r="C10" s="2163">
        <v>45752</v>
      </c>
      <c r="D10" s="2159" t="str">
        <f t="shared" ca="1" si="0"/>
        <v>崔锴（注册号：已过期）</v>
      </c>
      <c r="E10" s="2160" t="s">
        <v>2153</v>
      </c>
      <c r="F10" s="1217">
        <f ca="1">IF(G10&lt;B2,"已过期",2010110070)</f>
        <v>2010110070</v>
      </c>
      <c r="G10" s="2161">
        <v>47907</v>
      </c>
      <c r="H10" s="2162" t="str">
        <f t="shared" ca="1" si="1"/>
        <v>崔锴（注册号：2010110070）</v>
      </c>
    </row>
    <row r="11" spans="1:8" ht="24" customHeight="1">
      <c r="A11" s="1217" t="s">
        <v>2154</v>
      </c>
      <c r="B11" s="1217">
        <f ca="1">IF(C11&lt;B2,"已过期",1120070131)</f>
        <v>1120070131</v>
      </c>
      <c r="C11" s="2158">
        <v>45937</v>
      </c>
      <c r="D11" s="2159" t="str">
        <f t="shared" ca="1" si="0"/>
        <v>郑燚（注册号：1120070131）</v>
      </c>
      <c r="E11" s="2160" t="s">
        <v>2154</v>
      </c>
      <c r="F11" s="1217">
        <f ca="1">IF(G11&lt;B2,"已过期",2014110011)</f>
        <v>2014110011</v>
      </c>
      <c r="G11" s="2161">
        <v>49302</v>
      </c>
      <c r="H11" s="2162" t="str">
        <f t="shared" ca="1" si="1"/>
        <v>郑燚（注册号：2014110011）</v>
      </c>
    </row>
    <row r="12" spans="1:8" ht="24" customHeight="1">
      <c r="A12" s="1217" t="s">
        <v>2155</v>
      </c>
      <c r="B12" s="1217">
        <f ca="1">IF(C12&lt;B2,"已过期",1120040230)</f>
        <v>1120040230</v>
      </c>
      <c r="C12" s="2163">
        <v>45937</v>
      </c>
      <c r="D12" s="2159" t="str">
        <f t="shared" ca="1" si="0"/>
        <v>苏海（注册号：1120040230）</v>
      </c>
      <c r="E12" s="2160" t="s">
        <v>2155</v>
      </c>
      <c r="F12" s="1217">
        <f ca="1">IF(G12&lt;B2,"已过期",98030020)</f>
        <v>98030020</v>
      </c>
      <c r="G12" s="2161">
        <v>47118</v>
      </c>
      <c r="H12" s="2162" t="str">
        <f t="shared" ca="1" si="1"/>
        <v>苏海（注册号：98030020）</v>
      </c>
    </row>
    <row r="13" spans="1:8" ht="24" customHeight="1">
      <c r="A13" s="1217" t="s">
        <v>2156</v>
      </c>
      <c r="B13" s="1217" t="str">
        <f ca="1">IF(C13&lt;B2,"已过期",1120020033)</f>
        <v>已过期</v>
      </c>
      <c r="C13" s="2158">
        <v>45375</v>
      </c>
      <c r="D13" s="2159" t="str">
        <f t="shared" ca="1" si="0"/>
        <v>刘敬东（注册号：已过期）</v>
      </c>
      <c r="E13" s="2160" t="s">
        <v>2156</v>
      </c>
      <c r="F13" s="1217">
        <f ca="1">IF(G13&lt;B2,"已过期",2000110137)</f>
        <v>2000110137</v>
      </c>
      <c r="G13" s="2161">
        <v>46387</v>
      </c>
      <c r="H13" s="2162" t="str">
        <f t="shared" ca="1" si="1"/>
        <v>刘敬东（注册号：2000110137）</v>
      </c>
    </row>
    <row r="14" spans="1:8" ht="24" customHeight="1">
      <c r="A14" s="1217" t="s">
        <v>2157</v>
      </c>
      <c r="B14" s="1217" t="str">
        <f ca="1">IF(C14&lt;B2,"已过期",1119980106)</f>
        <v>已过期</v>
      </c>
      <c r="C14" s="2163">
        <v>44969</v>
      </c>
      <c r="D14" s="2159" t="str">
        <f t="shared" ca="1" si="0"/>
        <v>刘俊财（注册号：已过期）</v>
      </c>
      <c r="E14" s="2160" t="s">
        <v>2157</v>
      </c>
      <c r="F14" s="1217">
        <f ca="1">IF(G14&lt;B2,"已过期",96010063)</f>
        <v>96010063</v>
      </c>
      <c r="G14" s="2161">
        <v>47483</v>
      </c>
      <c r="H14" s="2162" t="str">
        <f t="shared" ca="1" si="1"/>
        <v>刘俊财（注册号：96010063）</v>
      </c>
    </row>
    <row r="15" spans="1:8" ht="24" customHeight="1">
      <c r="A15" s="1217" t="s">
        <v>2427</v>
      </c>
      <c r="B15" s="1217">
        <v>1120210056</v>
      </c>
      <c r="C15" s="2163">
        <v>45410</v>
      </c>
      <c r="D15" s="2159" t="str">
        <f t="shared" si="0"/>
        <v>宁小鳗（注册号：1120210056）</v>
      </c>
      <c r="E15" s="2160" t="s">
        <v>2158</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28" t="s">
        <v>2159</v>
      </c>
      <c r="B17" s="3228"/>
      <c r="C17" s="3228"/>
      <c r="D17" s="3228"/>
      <c r="E17" s="3228"/>
      <c r="F17" s="3228"/>
      <c r="G17" s="3228"/>
      <c r="H17" s="3228"/>
    </row>
    <row r="18" spans="1:8" ht="24" customHeight="1">
      <c r="A18" s="3229" t="s">
        <v>2160</v>
      </c>
      <c r="B18" s="3229"/>
      <c r="C18" s="3229"/>
      <c r="D18" s="2156"/>
      <c r="E18" s="3230" t="s">
        <v>2161</v>
      </c>
      <c r="F18" s="3229"/>
      <c r="G18" s="3229"/>
    </row>
    <row r="19" spans="1:8" s="2166" customFormat="1" ht="24" customHeight="1">
      <c r="A19" s="2165" t="s">
        <v>2162</v>
      </c>
      <c r="B19" s="1217" t="s">
        <v>2163</v>
      </c>
      <c r="C19" s="1217" t="s">
        <v>2142</v>
      </c>
      <c r="D19" s="2156"/>
      <c r="E19" s="2160" t="s">
        <v>2162</v>
      </c>
      <c r="F19" s="1217" t="s">
        <v>2163</v>
      </c>
      <c r="G19" s="1217" t="s">
        <v>2142</v>
      </c>
    </row>
    <row r="20" spans="1:8" s="2166" customFormat="1" ht="24" customHeight="1">
      <c r="A20" s="2167" t="s">
        <v>2164</v>
      </c>
      <c r="B20" s="2167" t="s">
        <v>2165</v>
      </c>
      <c r="C20" s="2161">
        <v>45898</v>
      </c>
      <c r="D20" s="2168"/>
      <c r="E20" s="2169" t="s">
        <v>2166</v>
      </c>
      <c r="F20" s="2172" t="s">
        <v>2428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480" priority="32" stopIfTrue="1" operator="equal">
      <formula>"已过期"</formula>
    </cfRule>
  </conditionalFormatting>
  <conditionalFormatting sqref="B4:B15">
    <cfRule type="cellIs" dxfId="1479" priority="4" stopIfTrue="1" operator="equal">
      <formula>"已过期"</formula>
    </cfRule>
  </conditionalFormatting>
  <conditionalFormatting sqref="C7:C12">
    <cfRule type="expression" dxfId="1478" priority="22">
      <formula>AND($C7-TODAY()&lt;30,TODAY()&lt;$C7)</formula>
    </cfRule>
    <cfRule type="cellIs" dxfId="1477" priority="23" stopIfTrue="1" operator="lessThan">
      <formula>$B$2</formula>
    </cfRule>
  </conditionalFormatting>
  <conditionalFormatting sqref="C14:C15">
    <cfRule type="expression" dxfId="1476" priority="7">
      <formula>AND($C14-TODAY()&lt;30,TODAY()&lt;$C14)</formula>
    </cfRule>
    <cfRule type="cellIs" dxfId="1475" priority="8" stopIfTrue="1" operator="lessThan">
      <formula>$B$2</formula>
    </cfRule>
  </conditionalFormatting>
  <conditionalFormatting sqref="C4:D6 D14">
    <cfRule type="cellIs" dxfId="1474" priority="50" stopIfTrue="1" operator="lessThan">
      <formula>$B$2</formula>
    </cfRule>
  </conditionalFormatting>
  <conditionalFormatting sqref="C12:D13">
    <cfRule type="expression" dxfId="1473" priority="47">
      <formula>AND($C12-TODAY()&lt;30,TODAY()&lt;$C12)</formula>
    </cfRule>
  </conditionalFormatting>
  <conditionalFormatting sqref="C13:D14">
    <cfRule type="expression" dxfId="1472" priority="18">
      <formula>AND($C13-TODAY()&lt;30,TODAY()&lt;$C13)</formula>
    </cfRule>
    <cfRule type="cellIs" dxfId="1471" priority="19" stopIfTrue="1" operator="lessThan">
      <formula>$B$2</formula>
    </cfRule>
  </conditionalFormatting>
  <conditionalFormatting sqref="C15:D15">
    <cfRule type="expression" dxfId="1470" priority="5">
      <formula>AND($C15-TODAY()&lt;30,TODAY()&lt;$C15)</formula>
    </cfRule>
    <cfRule type="cellIs" dxfId="1469" priority="6" stopIfTrue="1" operator="lessThan">
      <formula>$B$2</formula>
    </cfRule>
  </conditionalFormatting>
  <conditionalFormatting sqref="C20:D20 C13:D13">
    <cfRule type="cellIs" dxfId="1468" priority="54" stopIfTrue="1" operator="lessThan">
      <formula>$B$2</formula>
    </cfRule>
  </conditionalFormatting>
  <conditionalFormatting sqref="C20:D20">
    <cfRule type="expression" dxfId="1467" priority="52">
      <formula>AND($C20-TODAY()&lt;30,TODAY()&lt;$C20)</formula>
    </cfRule>
  </conditionalFormatting>
  <conditionalFormatting sqref="D7:D12 D16">
    <cfRule type="expression" dxfId="1466" priority="53">
      <formula>AND($C7-TODAY()&lt;30,TODAY()&lt;$C7)</formula>
    </cfRule>
  </conditionalFormatting>
  <conditionalFormatting sqref="D7:D12">
    <cfRule type="cellIs" dxfId="1465" priority="48" stopIfTrue="1" operator="lessThan">
      <formula>$B$2</formula>
    </cfRule>
  </conditionalFormatting>
  <conditionalFormatting sqref="D14 C4:D6">
    <cfRule type="expression" dxfId="1464" priority="49">
      <formula>AND($C4-TODAY()&lt;30,TODAY()&lt;$C4)</formula>
    </cfRule>
  </conditionalFormatting>
  <conditionalFormatting sqref="D15:D16">
    <cfRule type="expression" dxfId="1463" priority="12">
      <formula>AND($C15-TODAY()&lt;30,TODAY()&lt;$C15)</formula>
    </cfRule>
    <cfRule type="cellIs" dxfId="1462" priority="13" stopIfTrue="1" operator="lessThan">
      <formula>$B$2</formula>
    </cfRule>
  </conditionalFormatting>
  <conditionalFormatting sqref="E16:G16">
    <cfRule type="cellIs" dxfId="1461" priority="31" stopIfTrue="1" operator="equal">
      <formula>"已过期"</formula>
    </cfRule>
  </conditionalFormatting>
  <conditionalFormatting sqref="F4:F15">
    <cfRule type="cellIs" dxfId="1460" priority="9" stopIfTrue="1" operator="equal">
      <formula>"已过期"</formula>
    </cfRule>
  </conditionalFormatting>
  <conditionalFormatting sqref="G4:G15">
    <cfRule type="cellIs" dxfId="1459" priority="3" stopIfTrue="1" operator="lessThan">
      <formula>$B$2</formula>
    </cfRule>
  </conditionalFormatting>
  <conditionalFormatting sqref="G20:G21">
    <cfRule type="expression" dxfId="1458" priority="1" stopIfTrue="1">
      <formula>AND(#REF!-TODAY()&lt;30,TODAY()&lt;#REF!)</formula>
    </cfRule>
    <cfRule type="cellIs" dxfId="14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152</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2025-05-28T07:39:33Z</dcterms:modified>
</cp:coreProperties>
</file>