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3" i="3" l="1"/>
  <c r="I13" i="3"/>
  <c r="M13" i="3"/>
  <c r="N23" i="1"/>
  <c r="N22" i="1"/>
  <c r="I6" i="77"/>
  <c r="U7" i="1"/>
  <c r="O22" i="1"/>
  <c r="O23" i="1"/>
  <c r="I14" i="77"/>
  <c r="I13" i="77"/>
  <c r="I12" i="77"/>
  <c r="I11" i="77"/>
  <c r="J10" i="77"/>
  <c r="I5" i="77"/>
  <c r="I4" i="77"/>
  <c r="I9" i="77"/>
  <c r="I8" i="77"/>
  <c r="I7" i="77"/>
  <c r="K6" i="77"/>
  <c r="K15" i="77"/>
  <c r="H3" i="77"/>
  <c r="F20" i="6"/>
  <c r="I7" i="37"/>
  <c r="G7" i="37"/>
  <c r="E7" i="37"/>
  <c r="I7" i="40"/>
  <c r="G7" i="40"/>
  <c r="E7" i="40"/>
  <c r="G82" i="43"/>
  <c r="G83" i="43"/>
  <c r="G84" i="43"/>
  <c r="G85" i="43"/>
  <c r="G86" i="43"/>
  <c r="G87" i="43"/>
  <c r="G88" i="43"/>
  <c r="G81" i="43"/>
  <c r="G41" i="43"/>
  <c r="AM7" i="1"/>
  <c r="AL7" i="1"/>
  <c r="AK7" i="1"/>
  <c r="W7" i="1"/>
  <c r="Q7" i="1"/>
  <c r="Y7" i="1"/>
  <c r="Y6" i="1"/>
  <c r="J7" i="1"/>
  <c r="I7" i="1"/>
  <c r="Q72" i="78"/>
  <c r="Q59" i="78"/>
  <c r="K59" i="78"/>
  <c r="P74" i="78"/>
  <c r="F59" i="78"/>
  <c r="Q58" i="78"/>
  <c r="Q51" i="78"/>
  <c r="J50" i="78"/>
  <c r="M47" i="78"/>
  <c r="D46" i="78"/>
  <c r="F34" i="78"/>
  <c r="F62" i="78"/>
  <c r="F33" i="78"/>
  <c r="F61" i="78"/>
  <c r="F32" i="78"/>
  <c r="F60" i="78"/>
  <c r="F31" i="78"/>
  <c r="F28" i="78"/>
  <c r="C28" i="78"/>
  <c r="F23" i="78"/>
  <c r="D23" i="78"/>
  <c r="F21" i="78"/>
  <c r="M20" i="78"/>
  <c r="F20" i="78"/>
  <c r="M19" i="78"/>
  <c r="M18" i="78"/>
  <c r="F18" i="78"/>
  <c r="M17" i="78"/>
  <c r="F17" i="78"/>
  <c r="F15" i="78"/>
  <c r="G1" i="78"/>
  <c r="G15" i="77"/>
  <c r="F19" i="6"/>
  <c r="C76" i="78"/>
  <c r="I3" i="77"/>
  <c r="I15" i="77"/>
  <c r="J3" i="77"/>
  <c r="J15" i="77"/>
  <c r="H15" i="77"/>
  <c r="Q71" i="78"/>
  <c r="D24" i="78"/>
  <c r="P61" i="78"/>
  <c r="D22" i="78"/>
  <c r="J51" i="78"/>
  <c r="V6" i="71"/>
  <c r="U6" i="71"/>
  <c r="T6" i="71"/>
  <c r="S6" i="71"/>
  <c r="M6" i="78"/>
  <c r="M9" i="78"/>
  <c r="F36" i="78"/>
  <c r="M8" i="78"/>
  <c r="M28" i="78"/>
  <c r="F8" i="78"/>
  <c r="M23" i="78"/>
  <c r="F42" i="78"/>
  <c r="F13" i="78"/>
  <c r="M26" i="78"/>
  <c r="L48" i="78"/>
  <c r="F37" i="78"/>
  <c r="F38" i="78"/>
  <c r="F9" i="78"/>
  <c r="F6" i="78"/>
  <c r="M27" i="78"/>
  <c r="F40" i="78"/>
  <c r="M24" i="78"/>
  <c r="L47" i="78"/>
  <c r="M22" i="78"/>
  <c r="F26" i="78"/>
  <c r="J15" i="78"/>
  <c r="F16" i="78"/>
  <c r="G20" i="6"/>
  <c r="D38" i="43"/>
  <c r="N59" i="78"/>
  <c r="L59" i="78"/>
  <c r="L58" i="78"/>
  <c r="F66" i="78"/>
  <c r="F64" i="78"/>
  <c r="F68" i="78"/>
  <c r="F51" i="78"/>
  <c r="F65" i="78"/>
  <c r="C27" i="78"/>
  <c r="I54" i="78"/>
  <c r="J57" i="78"/>
  <c r="J55" i="78"/>
  <c r="J58" i="78"/>
  <c r="Q50" i="78"/>
  <c r="J53" i="78"/>
  <c r="L56" i="78"/>
  <c r="AH5" i="71"/>
  <c r="AG5" i="71"/>
  <c r="AE5" i="71"/>
  <c r="AF5" i="71"/>
  <c r="AD5" i="71"/>
  <c r="Q5" i="71"/>
  <c r="P5" i="71"/>
  <c r="O5" i="71"/>
  <c r="N5" i="71"/>
  <c r="Q60" i="78"/>
  <c r="Q73" i="78"/>
  <c r="F1" i="78"/>
  <c r="Q52" i="78"/>
  <c r="Q61" i="78"/>
  <c r="Q74" i="78"/>
  <c r="AB8" i="71"/>
  <c r="Q7" i="71"/>
  <c r="AB7" i="71"/>
  <c r="P7" i="71"/>
  <c r="AA7" i="71"/>
  <c r="O7" i="71"/>
  <c r="Y7" i="71"/>
  <c r="Z7" i="71"/>
  <c r="N7" i="71"/>
  <c r="X7" i="71"/>
  <c r="AH6" i="71"/>
  <c r="AG6" i="71"/>
  <c r="AE6" i="71"/>
  <c r="AF6" i="71"/>
  <c r="AD6" i="71"/>
  <c r="Q6" i="71"/>
  <c r="AB5" i="71"/>
  <c r="P6" i="71"/>
  <c r="AA5" i="71"/>
  <c r="O6" i="71"/>
  <c r="N6" i="71"/>
  <c r="X5" i="71"/>
  <c r="F7" i="71"/>
  <c r="E7" i="71"/>
  <c r="E6" i="71"/>
  <c r="E5" i="71"/>
  <c r="C7" i="71"/>
  <c r="C6" i="71"/>
  <c r="C5" i="71"/>
  <c r="D5" i="7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6" i="71"/>
  <c r="P16" i="71"/>
  <c r="O16" i="71"/>
  <c r="N16"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c r="K88" i="43"/>
  <c r="D88" i="43"/>
  <c r="M87" i="43"/>
  <c r="N87" i="43"/>
  <c r="K87" i="43"/>
  <c r="D87" i="43"/>
  <c r="M86" i="43"/>
  <c r="N86" i="43"/>
  <c r="K86" i="43"/>
  <c r="J86" i="43"/>
  <c r="D86" i="43"/>
  <c r="M85" i="43"/>
  <c r="N85" i="43"/>
  <c r="K85" i="43"/>
  <c r="J85" i="43"/>
  <c r="M84" i="43"/>
  <c r="N84" i="43"/>
  <c r="K84" i="43"/>
  <c r="D84" i="43"/>
  <c r="M83" i="43"/>
  <c r="N83" i="43"/>
  <c r="K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M59" i="7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c r="D120" i="9"/>
  <c r="F34" i="67"/>
  <c r="F62" i="67"/>
  <c r="M20" i="67"/>
  <c r="F34" i="15"/>
  <c r="F62" i="15"/>
  <c r="G13" i="3"/>
  <c r="G5" i="3"/>
  <c r="B3" i="3"/>
  <c r="BA13" i="3"/>
  <c r="E10" i="6"/>
  <c r="BA5" i="3"/>
  <c r="E11" i="6"/>
  <c r="E61" i="39"/>
  <c r="BL17" i="3"/>
  <c r="AZ17" i="3"/>
  <c r="BL13" i="3"/>
  <c r="E65" i="39"/>
  <c r="G30" i="6"/>
  <c r="G31" i="6"/>
  <c r="J56" i="9"/>
  <c r="J57" i="9"/>
  <c r="A24" i="51"/>
  <c r="B18" i="72"/>
  <c r="U29" i="34"/>
  <c r="E14" i="6"/>
  <c r="E64" i="39"/>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C65" i="40"/>
  <c r="M47" i="9"/>
  <c r="G19" i="43"/>
  <c r="O19" i="43"/>
  <c r="T35" i="4"/>
  <c r="A19" i="51"/>
  <c r="B14" i="72"/>
  <c r="C46" i="36"/>
  <c r="C59" i="34"/>
  <c r="D59" i="34"/>
  <c r="E59" i="34"/>
  <c r="C52" i="37"/>
  <c r="A4" i="51"/>
  <c r="B6" i="72"/>
  <c r="C48" i="35"/>
  <c r="C4" i="12"/>
  <c r="H66" i="43"/>
  <c r="H65" i="43"/>
  <c r="H64" i="43"/>
  <c r="H63" i="43"/>
  <c r="H55" i="43"/>
  <c r="H56" i="43"/>
  <c r="H72" i="43"/>
  <c r="L20" i="6"/>
  <c r="L27" i="6"/>
  <c r="B6" i="1"/>
  <c r="E6" i="1"/>
  <c r="S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AQ13" i="1"/>
  <c r="AZ13" i="3"/>
  <c r="AZ5" i="3"/>
  <c r="AY6" i="3"/>
  <c r="M6" i="1"/>
  <c r="E63" i="39"/>
  <c r="T11" i="1"/>
  <c r="D9" i="69"/>
  <c r="C9" i="69"/>
  <c r="AQ9" i="1"/>
  <c r="AR11" i="1"/>
  <c r="E30" i="6"/>
  <c r="K15" i="1"/>
  <c r="T13" i="1"/>
  <c r="E237" i="3"/>
  <c r="E261" i="3"/>
  <c r="E304" i="3"/>
  <c r="E528" i="3"/>
  <c r="E565" i="3"/>
  <c r="E183" i="3"/>
  <c r="E213" i="3"/>
  <c r="E361" i="3"/>
  <c r="E17" i="3"/>
  <c r="E503" i="3"/>
  <c r="E302" i="3"/>
  <c r="D9" i="68"/>
  <c r="C9" i="68"/>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c r="H11" i="37"/>
  <c r="U11" i="37"/>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c r="O14" i="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O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J11" i="37"/>
  <c r="W11"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31" i="3"/>
  <c r="AY350" i="3"/>
  <c r="AY244" i="3"/>
  <c r="AY562" i="3"/>
  <c r="AY60" i="3"/>
  <c r="AY170" i="3"/>
  <c r="AY299" i="3"/>
  <c r="AY246" i="3"/>
  <c r="AY357" i="3"/>
  <c r="AY41" i="3"/>
  <c r="AY150" i="3"/>
  <c r="AY279" i="3"/>
  <c r="AY226" i="3"/>
  <c r="AY356" i="3"/>
  <c r="AY340" i="3"/>
  <c r="AY467" i="3"/>
  <c r="AY454" i="3"/>
  <c r="AY435" i="3"/>
  <c r="AY525" i="3"/>
  <c r="BN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50" i="3"/>
  <c r="BD6" i="3"/>
  <c r="BC6" i="3"/>
  <c r="AY511" i="3"/>
  <c r="AY504" i="3"/>
  <c r="AY586" i="3"/>
  <c r="AY498" i="3"/>
  <c r="AC11" i="37"/>
  <c r="W11" i="34"/>
  <c r="AC11" i="34"/>
  <c r="F34" i="11"/>
  <c r="C36" i="11"/>
  <c r="F34" i="68"/>
  <c r="R8" i="1"/>
  <c r="AE8" i="1"/>
  <c r="AG6" i="1"/>
  <c r="H109" i="9"/>
  <c r="H110" i="9"/>
  <c r="D18" i="53"/>
  <c r="B35" i="72"/>
  <c r="D124" i="9"/>
  <c r="H14" i="74"/>
  <c r="B7" i="74"/>
  <c r="D16" i="53"/>
  <c r="B34" i="72"/>
  <c r="D10" i="52"/>
  <c r="D17" i="53"/>
  <c r="B36" i="72"/>
  <c r="D125" i="9"/>
  <c r="D11" i="52"/>
  <c r="J7" i="33"/>
  <c r="F7" i="33"/>
  <c r="H7" i="33"/>
  <c r="AB7" i="33"/>
  <c r="T48" i="33"/>
  <c r="G48" i="33"/>
  <c r="H112" i="9"/>
  <c r="D21" i="53"/>
  <c r="B39" i="72"/>
  <c r="H111" i="9"/>
  <c r="D19" i="53"/>
  <c r="D59" i="9"/>
  <c r="M55" i="9"/>
  <c r="AD3" i="71"/>
  <c r="D63" i="40"/>
  <c r="E63" i="40"/>
  <c r="J1" i="73"/>
  <c r="H77" i="43"/>
  <c r="H76" i="43"/>
  <c r="H51" i="43"/>
  <c r="H67" i="43"/>
  <c r="H59" i="43"/>
  <c r="H60" i="43"/>
  <c r="H61" i="43"/>
  <c r="M4" i="43"/>
  <c r="M5" i="43"/>
  <c r="N12" i="43"/>
  <c r="N11" i="43"/>
  <c r="M10" i="43"/>
  <c r="M2" i="43"/>
  <c r="M7" i="43"/>
  <c r="H70" i="43"/>
  <c r="H54" i="43"/>
  <c r="N9" i="43"/>
  <c r="M8" i="43"/>
  <c r="C6" i="43"/>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c r="H68" i="39"/>
  <c r="G70" i="39"/>
  <c r="I63" i="40"/>
  <c r="I65" i="40"/>
  <c r="I68" i="39"/>
  <c r="H70" i="39"/>
  <c r="J63" i="40"/>
  <c r="K63" i="40"/>
  <c r="J68" i="39"/>
  <c r="I70" i="39"/>
  <c r="J65" i="40"/>
  <c r="K68" i="39"/>
  <c r="J70" i="39"/>
  <c r="L68" i="39"/>
  <c r="K70" i="39"/>
  <c r="M68" i="39"/>
  <c r="L70" i="39"/>
  <c r="N68" i="39"/>
  <c r="M70" i="39"/>
  <c r="O68" i="39"/>
  <c r="O70" i="39"/>
  <c r="N70" i="39"/>
  <c r="F7" i="39"/>
  <c r="S7" i="39"/>
  <c r="J7" i="39"/>
  <c r="W7" i="39"/>
  <c r="H7" i="39"/>
  <c r="U7" i="39"/>
  <c r="E9" i="49"/>
  <c r="B4" i="49"/>
  <c r="D3" i="73"/>
  <c r="B11" i="76"/>
  <c r="F6" i="73"/>
  <c r="B10" i="76"/>
  <c r="M28" i="15"/>
  <c r="M29" i="67"/>
  <c r="F6" i="15"/>
  <c r="F42" i="67"/>
  <c r="C76" i="15"/>
  <c r="F35" i="67"/>
  <c r="B8" i="76"/>
  <c r="M6" i="15"/>
  <c r="L48" i="67"/>
  <c r="F41" i="67"/>
  <c r="M8" i="67"/>
  <c r="M8" i="15"/>
  <c r="F38" i="15"/>
  <c r="E9" i="76"/>
  <c r="D2" i="21"/>
  <c r="F8" i="15"/>
  <c r="M9" i="67"/>
  <c r="M29" i="15"/>
  <c r="C16" i="78"/>
  <c r="F36" i="15"/>
  <c r="F16" i="67"/>
  <c r="F13" i="67"/>
  <c r="M26" i="67"/>
  <c r="F36" i="67"/>
  <c r="F37" i="67"/>
  <c r="J15" i="15"/>
  <c r="AO12" i="1"/>
  <c r="F40" i="67"/>
  <c r="AO9" i="1"/>
  <c r="F4" i="73"/>
  <c r="F5" i="73"/>
  <c r="D7" i="73"/>
  <c r="L48" i="15"/>
  <c r="M24" i="67"/>
  <c r="AO13" i="1"/>
  <c r="E11" i="76"/>
  <c r="D6" i="73"/>
  <c r="E13" i="76"/>
  <c r="M26" i="15"/>
  <c r="F7" i="15"/>
  <c r="L47" i="67"/>
  <c r="E7" i="76"/>
  <c r="F26" i="67"/>
  <c r="E10" i="76"/>
  <c r="F3" i="73"/>
  <c r="M22" i="67"/>
  <c r="AE7" i="1"/>
  <c r="F7" i="67"/>
  <c r="D2" i="33"/>
  <c r="D2" i="35"/>
  <c r="B13" i="76"/>
  <c r="M27" i="67"/>
  <c r="F7" i="78"/>
  <c r="B12" i="76"/>
  <c r="E8" i="76"/>
  <c r="M23" i="15"/>
  <c r="B9" i="76"/>
  <c r="AO11" i="1"/>
  <c r="F38" i="67"/>
  <c r="L47" i="15"/>
  <c r="F20" i="31"/>
  <c r="AO10" i="1"/>
  <c r="F43" i="78"/>
  <c r="F42" i="15"/>
  <c r="F7" i="73"/>
  <c r="F26" i="15"/>
  <c r="AO8" i="1"/>
  <c r="M22" i="15"/>
  <c r="M23" i="67"/>
  <c r="D2" i="34"/>
  <c r="B7" i="76"/>
  <c r="M28" i="67"/>
  <c r="M24" i="15"/>
  <c r="M27" i="15"/>
  <c r="F43" i="15"/>
  <c r="M21" i="67"/>
  <c r="J15" i="67"/>
  <c r="E2" i="68"/>
  <c r="C76" i="67"/>
  <c r="F13" i="15"/>
  <c r="D2" i="37"/>
  <c r="F37" i="15"/>
  <c r="F40" i="15"/>
  <c r="F9" i="15"/>
  <c r="D5" i="73"/>
  <c r="E12" i="76"/>
  <c r="F6" i="67"/>
  <c r="F16" i="15"/>
  <c r="M9" i="15"/>
  <c r="M6" i="67"/>
  <c r="F43" i="67"/>
  <c r="M29" i="78"/>
  <c r="F9" i="67"/>
  <c r="D4" i="73"/>
  <c r="E2" i="69"/>
  <c r="F8" i="67"/>
  <c r="D2" i="36"/>
  <c r="C18" i="9"/>
  <c r="D18" i="9"/>
  <c r="AY98" i="3"/>
  <c r="AY18" i="3"/>
  <c r="AY171" i="3"/>
  <c r="AY90" i="3"/>
  <c r="AY163" i="3"/>
  <c r="AY75" i="3"/>
  <c r="AY237" i="3"/>
  <c r="AY387" i="3"/>
  <c r="AY334" i="3"/>
  <c r="AY444" i="3"/>
  <c r="AY526" i="3"/>
  <c r="AY269" i="3"/>
  <c r="AY390" i="3"/>
  <c r="AY311" i="3"/>
  <c r="AY447" i="3"/>
  <c r="AY535" i="3"/>
  <c r="AY574" i="3"/>
  <c r="AY555" i="3"/>
  <c r="AY85" i="3"/>
  <c r="AY76" i="3"/>
  <c r="AY44" i="3"/>
  <c r="AY33" i="3"/>
  <c r="AY190" i="3"/>
  <c r="AY185" i="3"/>
  <c r="AY154" i="3"/>
  <c r="AY165" i="3"/>
  <c r="AY133" i="3"/>
  <c r="AY125" i="3"/>
  <c r="AY283" i="3"/>
  <c r="AY278" i="3"/>
  <c r="AY247" i="3"/>
  <c r="AY262" i="3"/>
  <c r="AY230" i="3"/>
  <c r="AY219" i="3"/>
  <c r="AY397" i="3"/>
  <c r="AY374" i="3"/>
  <c r="AY360" i="3"/>
  <c r="BH6" i="3"/>
  <c r="AY109" i="3"/>
  <c r="AY73" i="3"/>
  <c r="AY56"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82" i="3"/>
  <c r="AY132" i="3"/>
  <c r="AY292" i="3"/>
  <c r="AY220" i="3"/>
  <c r="AY486" i="3"/>
  <c r="AY199" i="3"/>
  <c r="AY355" i="3"/>
  <c r="AY404" i="3"/>
  <c r="BO6" i="3"/>
  <c r="AY53" i="3"/>
  <c r="AY28" i="3"/>
  <c r="AY201" i="3"/>
  <c r="AY138" i="3"/>
  <c r="AY118" i="3"/>
  <c r="AY294" i="3"/>
  <c r="AY231" i="3"/>
  <c r="AY214" i="3"/>
  <c r="AY381" i="3"/>
  <c r="AY554" i="3"/>
  <c r="AY104" i="3"/>
  <c r="AY24"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Q8" i="1"/>
  <c r="AR8" i="1"/>
  <c r="AY567" i="3"/>
  <c r="BT6" i="3"/>
  <c r="AY583" i="3"/>
  <c r="AY566" i="3"/>
  <c r="AY15" i="3"/>
  <c r="AY521" i="3"/>
  <c r="AY413"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L19" i="9"/>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27" i="3"/>
  <c r="AY516" i="3"/>
  <c r="AY403" i="3"/>
  <c r="AY422" i="3"/>
  <c r="AY464" i="3"/>
  <c r="AY308" i="3"/>
  <c r="AY325" i="3"/>
  <c r="AY393" i="3"/>
  <c r="AY243" i="3"/>
  <c r="AY130" i="3"/>
  <c r="AY186" i="3"/>
  <c r="BJ6" i="3"/>
  <c r="AY392" i="3"/>
  <c r="AY263" i="3"/>
  <c r="AY149" i="3"/>
  <c r="AY206" i="3"/>
  <c r="AY89" i="3"/>
  <c r="AY481" i="3"/>
  <c r="AY425" i="3"/>
  <c r="AY147" i="3"/>
  <c r="AY191" i="3"/>
  <c r="E8" i="49"/>
  <c r="E6" i="49"/>
  <c r="F11" i="12"/>
  <c r="C23" i="12"/>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F27" i="68"/>
  <c r="C29" i="68"/>
  <c r="D27" i="68"/>
  <c r="AC10" i="37"/>
  <c r="W8" i="40"/>
  <c r="AC11" i="40"/>
  <c r="J82" i="43"/>
  <c r="J83" i="43"/>
  <c r="J84" i="43"/>
  <c r="J87" i="43"/>
  <c r="J88" i="43"/>
  <c r="D81" i="43"/>
  <c r="E81" i="43"/>
  <c r="B79" i="43"/>
  <c r="C24" i="43"/>
  <c r="H83" i="43"/>
  <c r="H86" i="43"/>
  <c r="H87" i="43"/>
  <c r="H81" i="43"/>
  <c r="H88" i="43"/>
  <c r="H82" i="43"/>
  <c r="H85" i="43"/>
  <c r="H84" i="43"/>
  <c r="G17" i="43"/>
  <c r="C16" i="43"/>
  <c r="C5" i="43"/>
  <c r="C34" i="69"/>
  <c r="C35" i="69"/>
  <c r="F27" i="69"/>
  <c r="C29" i="69"/>
  <c r="D27" i="69"/>
  <c r="K16" i="1"/>
  <c r="C30" i="37"/>
  <c r="C6" i="78"/>
  <c r="F50" i="78"/>
  <c r="C49" i="78"/>
  <c r="M7" i="78"/>
  <c r="J6" i="78"/>
  <c r="J18" i="78"/>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56" i="39"/>
  <c r="E51" i="40"/>
  <c r="F28" i="12"/>
  <c r="C29" i="12"/>
  <c r="D28" i="12"/>
  <c r="O6" i="1"/>
  <c r="P6" i="1"/>
  <c r="C36" i="69"/>
  <c r="E12" i="6"/>
  <c r="E16" i="6"/>
  <c r="P61" i="15"/>
  <c r="C94" i="9"/>
  <c r="C92" i="9"/>
  <c r="F32" i="15"/>
  <c r="F60" i="15"/>
  <c r="F31" i="12"/>
  <c r="C31" i="12"/>
  <c r="F54" i="9"/>
  <c r="M18" i="15"/>
  <c r="M18" i="67"/>
  <c r="F30" i="68"/>
  <c r="C24" i="12"/>
  <c r="C77" i="9"/>
  <c r="C74" i="9"/>
  <c r="C13" i="12"/>
  <c r="D68" i="9"/>
  <c r="F28" i="15"/>
  <c r="C28" i="15"/>
  <c r="F30" i="69"/>
  <c r="C30" i="69"/>
  <c r="F32" i="67"/>
  <c r="F60" i="67"/>
  <c r="F52" i="9"/>
  <c r="F28" i="67"/>
  <c r="C28" i="67"/>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E59" i="40"/>
  <c r="M16" i="1"/>
  <c r="C34" i="68"/>
  <c r="C38" i="68"/>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c r="O9" i="1"/>
  <c r="P9" i="1"/>
  <c r="C18" i="4"/>
  <c r="M19" i="9"/>
  <c r="C118" i="9"/>
  <c r="C14" i="74"/>
  <c r="B2" i="74"/>
  <c r="D7" i="74"/>
  <c r="E3" i="6"/>
  <c r="D8" i="6"/>
  <c r="P14" i="1"/>
  <c r="P11" i="1"/>
  <c r="D9" i="11"/>
  <c r="C9" i="11"/>
  <c r="D19" i="12"/>
  <c r="C19" i="12"/>
  <c r="O8" i="1"/>
  <c r="T9" i="1"/>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F22" i="43"/>
  <c r="K101" i="43"/>
  <c r="F101" i="43"/>
  <c r="N101" i="43"/>
  <c r="E22" i="43"/>
  <c r="L101" i="43"/>
  <c r="H101" i="43"/>
  <c r="G22" i="43"/>
  <c r="J22" i="43"/>
  <c r="E10" i="49"/>
  <c r="B38" i="72"/>
  <c r="D20" i="53"/>
  <c r="B40" i="72"/>
  <c r="D126" i="9"/>
  <c r="K65" i="40"/>
  <c r="L63" i="40"/>
  <c r="G52" i="33"/>
  <c r="H52" i="33"/>
  <c r="F59" i="34"/>
  <c r="G59" i="34"/>
  <c r="H59" i="34"/>
  <c r="I59" i="34"/>
  <c r="J59" i="34"/>
  <c r="K59" i="34"/>
  <c r="L59" i="34"/>
  <c r="M59" i="34"/>
  <c r="N59" i="34"/>
  <c r="O59" i="34"/>
  <c r="F7" i="34"/>
  <c r="H7" i="34"/>
  <c r="J7" i="34"/>
  <c r="W7" i="33"/>
  <c r="AC7" i="33"/>
  <c r="V48" i="33"/>
  <c r="I48" i="33"/>
  <c r="D46" i="36"/>
  <c r="D58" i="21"/>
  <c r="U7" i="33"/>
  <c r="S7" i="33"/>
  <c r="AA7" i="33"/>
  <c r="R48" i="33"/>
  <c r="D48" i="35"/>
  <c r="D52" i="37"/>
  <c r="C48" i="69"/>
  <c r="B6" i="49"/>
  <c r="B10" i="49"/>
  <c r="E13" i="49"/>
  <c r="B8" i="49"/>
  <c r="E14" i="49"/>
  <c r="Y6" i="71"/>
  <c r="Z6" i="71"/>
  <c r="Y5" i="71"/>
  <c r="AA6" i="71"/>
  <c r="AB3" i="71"/>
  <c r="E22" i="49"/>
  <c r="E21" i="49"/>
  <c r="B14" i="49"/>
  <c r="B9" i="49"/>
  <c r="C4" i="4"/>
  <c r="K4" i="4"/>
  <c r="B46" i="48"/>
  <c r="B4" i="72"/>
  <c r="E11" i="49"/>
  <c r="B11" i="49"/>
  <c r="E4" i="49"/>
  <c r="B13" i="49"/>
  <c r="E7" i="49"/>
  <c r="B6" i="71"/>
  <c r="B5" i="71"/>
  <c r="X6" i="71"/>
  <c r="AB6" i="71"/>
  <c r="Z5" i="71"/>
  <c r="Y3" i="71"/>
  <c r="Z3" i="71"/>
  <c r="D6" i="71"/>
  <c r="F6" i="71"/>
  <c r="F5" i="71"/>
  <c r="AC7" i="39"/>
  <c r="V47" i="39"/>
  <c r="I47" i="39"/>
  <c r="I51" i="39"/>
  <c r="J51" i="39"/>
  <c r="AA7" i="39"/>
  <c r="R47" i="39"/>
  <c r="E47" i="39"/>
  <c r="AF3" i="71"/>
  <c r="P22" i="43"/>
  <c r="P21" i="43"/>
  <c r="P24" i="43"/>
  <c r="B66" i="40"/>
  <c r="AB7" i="39"/>
  <c r="T47" i="39"/>
  <c r="G47" i="39"/>
  <c r="C36" i="68"/>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M17" i="15"/>
  <c r="F59" i="15"/>
  <c r="F59" i="67"/>
  <c r="F31" i="15"/>
  <c r="M17" i="67"/>
  <c r="F31" i="67"/>
  <c r="C16" i="15"/>
  <c r="C16" i="67"/>
  <c r="C17" i="67"/>
  <c r="G1" i="73"/>
  <c r="C14" i="67"/>
  <c r="F27" i="11"/>
  <c r="C29" i="11"/>
  <c r="D27" i="11"/>
  <c r="E27" i="6"/>
  <c r="D29" i="43"/>
  <c r="D1" i="43"/>
  <c r="F31" i="6"/>
  <c r="B4" i="62"/>
  <c r="B71" i="72"/>
  <c r="O16" i="1"/>
  <c r="C34" i="11"/>
  <c r="C38" i="11"/>
  <c r="J30" i="37"/>
  <c r="F30" i="37"/>
  <c r="H30" i="37"/>
  <c r="C47" i="68"/>
  <c r="D45" i="68"/>
  <c r="C38" i="69"/>
  <c r="D5" i="43"/>
  <c r="C35" i="68"/>
  <c r="H6" i="3"/>
  <c r="C47" i="69"/>
  <c r="D45" i="69"/>
  <c r="C47" i="11"/>
  <c r="D45" i="11"/>
  <c r="E31" i="6"/>
  <c r="K23" i="6"/>
  <c r="M23" i="6"/>
  <c r="I23" i="6"/>
  <c r="S23" i="6"/>
  <c r="K22" i="6"/>
  <c r="M22" i="6"/>
  <c r="I22" i="6"/>
  <c r="S22" i="6"/>
  <c r="K26" i="6"/>
  <c r="M26" i="6"/>
  <c r="I26" i="6"/>
  <c r="S26" i="6"/>
  <c r="K25" i="6"/>
  <c r="M25" i="6"/>
  <c r="I25" i="6"/>
  <c r="S25" i="6"/>
  <c r="K20" i="6"/>
  <c r="K21" i="6"/>
  <c r="M21" i="6"/>
  <c r="I21" i="6"/>
  <c r="S21" i="6"/>
  <c r="K19" i="6"/>
  <c r="S6" i="1"/>
  <c r="T6" i="1"/>
  <c r="K24" i="6"/>
  <c r="M24" i="6"/>
  <c r="I24" i="6"/>
  <c r="H24" i="6"/>
  <c r="D14" i="6"/>
  <c r="AC6" i="3"/>
  <c r="E6" i="3"/>
  <c r="E6" i="70"/>
  <c r="E57" i="40"/>
  <c r="E61" i="40"/>
  <c r="E62" i="39"/>
  <c r="E66" i="39"/>
  <c r="C32" i="78"/>
  <c r="C33" i="78"/>
  <c r="F11" i="78"/>
  <c r="M11" i="78"/>
  <c r="J10" i="78"/>
  <c r="J5" i="78"/>
  <c r="C30" i="68"/>
  <c r="C48" i="68"/>
  <c r="C48" i="11"/>
  <c r="C30" i="11"/>
  <c r="D22" i="43"/>
  <c r="D26" i="6"/>
  <c r="K27" i="6"/>
  <c r="M19" i="6"/>
  <c r="N16" i="1"/>
  <c r="C33" i="37"/>
  <c r="L16" i="1"/>
  <c r="R48" i="39"/>
  <c r="C47" i="39"/>
  <c r="P8" i="1"/>
  <c r="P16" i="1"/>
  <c r="C11" i="12"/>
  <c r="D3" i="34"/>
  <c r="D3" i="33"/>
  <c r="E6" i="6"/>
  <c r="D37" i="11"/>
  <c r="C37" i="11"/>
  <c r="D14" i="12"/>
  <c r="M18" i="9"/>
  <c r="B118" i="9"/>
  <c r="B14" i="74"/>
  <c r="B1" i="74"/>
  <c r="C7" i="74"/>
  <c r="D9" i="6"/>
  <c r="D10" i="6"/>
  <c r="D29" i="6"/>
  <c r="D3" i="21"/>
  <c r="D19" i="11"/>
  <c r="C19" i="11"/>
  <c r="C17" i="4"/>
  <c r="B4" i="52"/>
  <c r="B43" i="72"/>
  <c r="L18" i="9"/>
  <c r="D3" i="37"/>
  <c r="D25" i="6"/>
  <c r="D15" i="6"/>
  <c r="D22" i="6"/>
  <c r="D21" i="6"/>
  <c r="D24" i="6"/>
  <c r="D20" i="6"/>
  <c r="D5" i="6"/>
  <c r="D12" i="6"/>
  <c r="D11" i="6"/>
  <c r="D13" i="6"/>
  <c r="D28" i="6"/>
  <c r="D19" i="6"/>
  <c r="C4" i="52"/>
  <c r="B45" i="72"/>
  <c r="D23" i="6"/>
  <c r="H23" i="6"/>
  <c r="H26" i="6"/>
  <c r="R26" i="6"/>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c r="K118" i="43"/>
  <c r="L118" i="43"/>
  <c r="M118" i="43"/>
  <c r="D118" i="43"/>
  <c r="E118" i="43"/>
  <c r="F118" i="43"/>
  <c r="D115" i="43"/>
  <c r="E115" i="43"/>
  <c r="F115" i="43"/>
  <c r="G115" i="43"/>
  <c r="H115"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4" i="74"/>
  <c r="B8" i="74"/>
  <c r="D12" i="52"/>
  <c r="D127" i="9"/>
  <c r="D13" i="52"/>
  <c r="E48" i="33"/>
  <c r="R49" i="33"/>
  <c r="E46" i="36"/>
  <c r="U7" i="34"/>
  <c r="AB7" i="34"/>
  <c r="T49" i="34"/>
  <c r="G49" i="34"/>
  <c r="F7" i="37"/>
  <c r="E52" i="37"/>
  <c r="F52" i="37"/>
  <c r="G52" i="37"/>
  <c r="H52" i="37"/>
  <c r="I52" i="37"/>
  <c r="J52" i="37"/>
  <c r="K52" i="37"/>
  <c r="L52" i="37"/>
  <c r="M52" i="37"/>
  <c r="N52" i="37"/>
  <c r="O52" i="37"/>
  <c r="H7" i="37"/>
  <c r="F7" i="35"/>
  <c r="E48" i="35"/>
  <c r="F48" i="35"/>
  <c r="G48" i="35"/>
  <c r="H48" i="35"/>
  <c r="I48" i="35"/>
  <c r="J48" i="35"/>
  <c r="K48" i="35"/>
  <c r="L48" i="35"/>
  <c r="M48" i="35"/>
  <c r="N48" i="35"/>
  <c r="O48" i="35"/>
  <c r="E58" i="21"/>
  <c r="I53" i="33"/>
  <c r="J53" i="33"/>
  <c r="I52" i="33"/>
  <c r="J52" i="33"/>
  <c r="AC7" i="34"/>
  <c r="V49" i="34"/>
  <c r="I49" i="34"/>
  <c r="W7" i="34"/>
  <c r="AA7" i="34"/>
  <c r="R49" i="34"/>
  <c r="S7" i="34"/>
  <c r="G53" i="33"/>
  <c r="H53" i="33"/>
  <c r="L65" i="40"/>
  <c r="M63" i="40"/>
  <c r="C49" i="67"/>
  <c r="I52" i="39"/>
  <c r="J52" i="39"/>
  <c r="P25" i="43"/>
  <c r="P23" i="43"/>
  <c r="B71" i="39"/>
  <c r="M20" i="43"/>
  <c r="C48" i="39"/>
  <c r="G51" i="39"/>
  <c r="H51" i="39"/>
  <c r="G52" i="39"/>
  <c r="H52" i="39"/>
  <c r="E51" i="39"/>
  <c r="F51" i="39"/>
  <c r="E52" i="39"/>
  <c r="F52" i="39"/>
  <c r="C49" i="15"/>
  <c r="C15" i="67"/>
  <c r="C18" i="67"/>
  <c r="B40" i="1"/>
  <c r="J18" i="15"/>
  <c r="C32" i="67"/>
  <c r="Q60" i="67"/>
  <c r="Q73" i="67"/>
  <c r="M28" i="43"/>
  <c r="N28" i="43"/>
  <c r="O28" i="43"/>
  <c r="P28" i="43"/>
  <c r="G20" i="43"/>
  <c r="H6" i="1"/>
  <c r="H7" i="1"/>
  <c r="M11" i="67"/>
  <c r="J10" i="67"/>
  <c r="J5" i="67"/>
  <c r="F11" i="15"/>
  <c r="M11" i="15"/>
  <c r="J10" i="15"/>
  <c r="J5" i="15"/>
  <c r="F11" i="67"/>
  <c r="F1" i="15"/>
  <c r="Q52" i="15"/>
  <c r="J18" i="67"/>
  <c r="C32" i="15"/>
  <c r="F1" i="67"/>
  <c r="Q52" i="67"/>
  <c r="Q60" i="15"/>
  <c r="Q73" i="15"/>
  <c r="Q61" i="67"/>
  <c r="Q74" i="67"/>
  <c r="Q74" i="15"/>
  <c r="Q61" i="15"/>
  <c r="C14" i="15"/>
  <c r="C17" i="15"/>
  <c r="F41" i="78"/>
  <c r="AE6" i="1"/>
  <c r="S24" i="6"/>
  <c r="H21" i="6"/>
  <c r="C35" i="11"/>
  <c r="C33" i="11"/>
  <c r="C39" i="11"/>
  <c r="C46" i="11"/>
  <c r="C45" i="11"/>
  <c r="G7" i="1"/>
  <c r="G6" i="1"/>
  <c r="H16" i="1"/>
  <c r="AQ6" i="1"/>
  <c r="AR6" i="1"/>
  <c r="AB30" i="37"/>
  <c r="U30" i="37"/>
  <c r="AC30" i="37"/>
  <c r="W30" i="37"/>
  <c r="AA30" i="37"/>
  <c r="S30" i="37"/>
  <c r="H33" i="37"/>
  <c r="J33" i="37"/>
  <c r="F33" i="37"/>
  <c r="E41" i="43"/>
  <c r="C41" i="43"/>
  <c r="C39" i="43"/>
  <c r="C20" i="43"/>
  <c r="C35" i="43"/>
  <c r="M20" i="6"/>
  <c r="I20" i="6"/>
  <c r="S7" i="1"/>
  <c r="H22" i="6"/>
  <c r="R22" i="6"/>
  <c r="A10" i="51"/>
  <c r="B9" i="72"/>
  <c r="C18" i="15"/>
  <c r="C15" i="15"/>
  <c r="D16" i="6"/>
  <c r="F24" i="78"/>
  <c r="C24" i="78"/>
  <c r="F69" i="78"/>
  <c r="J26" i="78"/>
  <c r="J29" i="78"/>
  <c r="J24" i="78"/>
  <c r="C53" i="78"/>
  <c r="C48" i="78"/>
  <c r="C10" i="78"/>
  <c r="C5" i="78"/>
  <c r="A7" i="51"/>
  <c r="B7" i="72"/>
  <c r="D30" i="6"/>
  <c r="I19" i="6"/>
  <c r="M27" i="6"/>
  <c r="R23" i="6"/>
  <c r="R24" i="6"/>
  <c r="R25" i="6"/>
  <c r="F50" i="11"/>
  <c r="F50" i="69"/>
  <c r="F50" i="68"/>
  <c r="C15" i="12"/>
  <c r="C12" i="12"/>
  <c r="R21" i="6"/>
  <c r="D17" i="12"/>
  <c r="C17" i="12"/>
  <c r="C14" i="12"/>
  <c r="D10" i="68"/>
  <c r="D6" i="6"/>
  <c r="D10" i="11"/>
  <c r="C10" i="11"/>
  <c r="D20" i="12"/>
  <c r="C20" i="12"/>
  <c r="C18" i="12"/>
  <c r="D10" i="69"/>
  <c r="D27" i="6"/>
  <c r="C20" i="11"/>
  <c r="C28" i="11"/>
  <c r="C27" i="11"/>
  <c r="C115" i="43"/>
  <c r="D113" i="43"/>
  <c r="S4" i="43"/>
  <c r="S2" i="43"/>
  <c r="S6" i="43"/>
  <c r="C23" i="43"/>
  <c r="C21" i="43"/>
  <c r="S7" i="43"/>
  <c r="S5" i="43"/>
  <c r="S3" i="43"/>
  <c r="D8" i="74"/>
  <c r="C8" i="74"/>
  <c r="J7" i="35"/>
  <c r="G53" i="34"/>
  <c r="H53" i="34"/>
  <c r="G54" i="34"/>
  <c r="H54" i="34"/>
  <c r="C49" i="33"/>
  <c r="B2" i="33"/>
  <c r="B3" i="33"/>
  <c r="C48" i="33"/>
  <c r="M65" i="40"/>
  <c r="N63" i="40"/>
  <c r="R50" i="34"/>
  <c r="E49" i="34"/>
  <c r="I53" i="34"/>
  <c r="J53" i="34"/>
  <c r="I54" i="34"/>
  <c r="J54" i="34"/>
  <c r="F58" i="21"/>
  <c r="AA7" i="35"/>
  <c r="R38" i="35"/>
  <c r="S7" i="35"/>
  <c r="AB7" i="37"/>
  <c r="T42" i="37"/>
  <c r="G42" i="37"/>
  <c r="U7" i="37"/>
  <c r="AA7" i="37"/>
  <c r="R42" i="37"/>
  <c r="S7" i="37"/>
  <c r="F46" i="36"/>
  <c r="G46" i="36"/>
  <c r="H46" i="36"/>
  <c r="I46" i="36"/>
  <c r="J46" i="36"/>
  <c r="K46" i="36"/>
  <c r="L46" i="36"/>
  <c r="M46" i="36"/>
  <c r="N46" i="36"/>
  <c r="O46" i="36"/>
  <c r="J7" i="36"/>
  <c r="F7" i="36"/>
  <c r="E53" i="33"/>
  <c r="F53" i="33"/>
  <c r="E52" i="33"/>
  <c r="F52" i="33"/>
  <c r="J7" i="37"/>
  <c r="H7" i="35"/>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J26" i="67"/>
  <c r="J29" i="67"/>
  <c r="J24" i="67"/>
  <c r="J24" i="15"/>
  <c r="J26" i="15"/>
  <c r="C53" i="67"/>
  <c r="C48" i="67"/>
  <c r="C10" i="67"/>
  <c r="C5" i="67"/>
  <c r="C53" i="15"/>
  <c r="C48" i="15"/>
  <c r="C10" i="15"/>
  <c r="C5" i="15"/>
  <c r="F25" i="12"/>
  <c r="F22" i="69"/>
  <c r="F24" i="67"/>
  <c r="C24" i="67"/>
  <c r="F22" i="11"/>
  <c r="F22" i="68"/>
  <c r="F24" i="15"/>
  <c r="C24" i="15"/>
  <c r="C17" i="78"/>
  <c r="F41" i="15"/>
  <c r="F69" i="15"/>
  <c r="J29" i="15"/>
  <c r="G16" i="1"/>
  <c r="D31" i="6"/>
  <c r="E7" i="70"/>
  <c r="E2" i="70"/>
  <c r="AC33" i="37"/>
  <c r="W33" i="37"/>
  <c r="AA33" i="37"/>
  <c r="S33" i="37"/>
  <c r="AB33" i="37"/>
  <c r="U33" i="37"/>
  <c r="C36" i="43"/>
  <c r="E36" i="43"/>
  <c r="T5" i="43"/>
  <c r="V5" i="43"/>
  <c r="C29" i="43"/>
  <c r="C30" i="43"/>
  <c r="E30" i="43"/>
  <c r="T2" i="43"/>
  <c r="V2" i="43"/>
  <c r="C34" i="43"/>
  <c r="G34" i="43"/>
  <c r="I34" i="43"/>
  <c r="T3" i="43"/>
  <c r="V3" i="43"/>
  <c r="T7" i="43"/>
  <c r="V7" i="43"/>
  <c r="T6" i="43"/>
  <c r="V6" i="43"/>
  <c r="T4" i="43"/>
  <c r="V4" i="43"/>
  <c r="C37" i="43"/>
  <c r="G37" i="43"/>
  <c r="I37" i="43"/>
  <c r="C33" i="43"/>
  <c r="G33" i="43"/>
  <c r="I33" i="43"/>
  <c r="E39" i="43"/>
  <c r="G39" i="43"/>
  <c r="I39" i="43"/>
  <c r="C38" i="43"/>
  <c r="T11" i="43"/>
  <c r="V11" i="43"/>
  <c r="T15" i="43"/>
  <c r="V15" i="43"/>
  <c r="T12" i="43"/>
  <c r="V12" i="43"/>
  <c r="T16" i="43"/>
  <c r="V16" i="43"/>
  <c r="T14" i="43"/>
  <c r="V14" i="43"/>
  <c r="T9" i="43"/>
  <c r="V9" i="43"/>
  <c r="T13" i="43"/>
  <c r="V13" i="43"/>
  <c r="T10" i="43"/>
  <c r="V10" i="43"/>
  <c r="T8" i="43"/>
  <c r="V8" i="43"/>
  <c r="E35" i="43"/>
  <c r="G35" i="43"/>
  <c r="I35" i="43"/>
  <c r="C19" i="15"/>
  <c r="C20" i="15"/>
  <c r="C26" i="15"/>
  <c r="AQ7" i="1"/>
  <c r="AR7" i="1"/>
  <c r="T7" i="1"/>
  <c r="S16" i="1"/>
  <c r="S20" i="6"/>
  <c r="H20" i="6"/>
  <c r="R20" i="6"/>
  <c r="R7" i="1"/>
  <c r="C38" i="78"/>
  <c r="C66" i="78"/>
  <c r="C60" i="78"/>
  <c r="S19" i="6"/>
  <c r="I27" i="6"/>
  <c r="H19" i="6"/>
  <c r="C16" i="12"/>
  <c r="C21" i="12"/>
  <c r="C22" i="12"/>
  <c r="C30" i="12"/>
  <c r="C28" i="12"/>
  <c r="C10" i="69"/>
  <c r="C8" i="69"/>
  <c r="C5" i="69"/>
  <c r="C23" i="69"/>
  <c r="D19" i="69"/>
  <c r="C10" i="68"/>
  <c r="D19" i="68"/>
  <c r="I5" i="6"/>
  <c r="I6" i="6"/>
  <c r="W7" i="36"/>
  <c r="AC7" i="36"/>
  <c r="V36" i="36"/>
  <c r="I36" i="36"/>
  <c r="W7" i="37"/>
  <c r="AC7" i="37"/>
  <c r="V42" i="37"/>
  <c r="I42" i="37"/>
  <c r="G47" i="37"/>
  <c r="H47" i="37"/>
  <c r="E54" i="34"/>
  <c r="F54" i="34"/>
  <c r="E53" i="34"/>
  <c r="F53" i="34"/>
  <c r="N65" i="40"/>
  <c r="O63" i="40"/>
  <c r="O65" i="40"/>
  <c r="J7" i="40"/>
  <c r="H7" i="40"/>
  <c r="AB7" i="35"/>
  <c r="T38" i="35"/>
  <c r="G38" i="35"/>
  <c r="U7" i="35"/>
  <c r="AA7" i="36"/>
  <c r="R36" i="36"/>
  <c r="S7" i="36"/>
  <c r="E42" i="37"/>
  <c r="R43" i="37"/>
  <c r="G46" i="37"/>
  <c r="H46" i="37"/>
  <c r="R39" i="35"/>
  <c r="E38" i="35"/>
  <c r="G58" i="21"/>
  <c r="C49" i="34"/>
  <c r="C50" i="34"/>
  <c r="B2" i="34"/>
  <c r="B3" i="34"/>
  <c r="W7" i="35"/>
  <c r="AC7" i="35"/>
  <c r="V38" i="35"/>
  <c r="I38" i="35"/>
  <c r="H7" i="36"/>
  <c r="C60" i="15"/>
  <c r="C66" i="15"/>
  <c r="C26" i="69"/>
  <c r="D22" i="69"/>
  <c r="C44" i="69"/>
  <c r="D41" i="69"/>
  <c r="C44" i="68"/>
  <c r="D41" i="68"/>
  <c r="C26" i="68"/>
  <c r="D22" i="68"/>
  <c r="C26" i="12"/>
  <c r="D25" i="12"/>
  <c r="C44" i="11"/>
  <c r="D41" i="11"/>
  <c r="C23" i="11"/>
  <c r="C24" i="11"/>
  <c r="C43" i="11"/>
  <c r="C25" i="11"/>
  <c r="C26" i="11"/>
  <c r="D22" i="11"/>
  <c r="C42" i="11"/>
  <c r="C38" i="67"/>
  <c r="C38" i="15"/>
  <c r="C66" i="67"/>
  <c r="C60" i="67"/>
  <c r="C23" i="67"/>
  <c r="C29" i="67"/>
  <c r="C14" i="78"/>
  <c r="E34" i="43"/>
  <c r="E37" i="43"/>
  <c r="E29" i="43"/>
  <c r="J10" i="39"/>
  <c r="J10" i="40"/>
  <c r="F10" i="40"/>
  <c r="H10" i="40"/>
  <c r="H10" i="39"/>
  <c r="F10" i="39"/>
  <c r="S27" i="6"/>
  <c r="C18" i="78"/>
  <c r="C15" i="78"/>
  <c r="T16" i="1"/>
  <c r="E33" i="43"/>
  <c r="G36" i="43"/>
  <c r="I36" i="43"/>
  <c r="G38" i="43"/>
  <c r="I38" i="43"/>
  <c r="E38" i="43"/>
  <c r="C23" i="15"/>
  <c r="C29" i="15"/>
  <c r="C57" i="15"/>
  <c r="H27" i="6"/>
  <c r="R19" i="6"/>
  <c r="C19" i="68"/>
  <c r="D37" i="68"/>
  <c r="C37" i="68"/>
  <c r="C33" i="68"/>
  <c r="C19" i="69"/>
  <c r="C24" i="69"/>
  <c r="D37" i="69"/>
  <c r="C37" i="69"/>
  <c r="C33" i="69"/>
  <c r="C27" i="12"/>
  <c r="C25" i="12"/>
  <c r="C32" i="12"/>
  <c r="B2" i="12"/>
  <c r="B3" i="12"/>
  <c r="AC7" i="40"/>
  <c r="W7" i="40"/>
  <c r="I42" i="35"/>
  <c r="J42" i="35"/>
  <c r="I43" i="35"/>
  <c r="J43" i="35"/>
  <c r="E43" i="35"/>
  <c r="F43" i="35"/>
  <c r="E42" i="35"/>
  <c r="F42" i="35"/>
  <c r="C42" i="37"/>
  <c r="C43" i="37"/>
  <c r="B2" i="37"/>
  <c r="B3" i="37"/>
  <c r="U7" i="36"/>
  <c r="AB7" i="36"/>
  <c r="T36" i="36"/>
  <c r="G36" i="36"/>
  <c r="H58" i="21"/>
  <c r="C39" i="35"/>
  <c r="B2" i="35"/>
  <c r="B3" i="35"/>
  <c r="C38" i="35"/>
  <c r="E47" i="37"/>
  <c r="F47" i="37"/>
  <c r="E46" i="37"/>
  <c r="F46" i="37"/>
  <c r="E36" i="36"/>
  <c r="R37" i="36"/>
  <c r="G42" i="35"/>
  <c r="H42" i="35"/>
  <c r="G43" i="35"/>
  <c r="H43" i="35"/>
  <c r="F7" i="40"/>
  <c r="U7" i="40"/>
  <c r="AB7" i="40"/>
  <c r="I47" i="37"/>
  <c r="J47" i="37"/>
  <c r="I46" i="37"/>
  <c r="J46" i="37"/>
  <c r="I40" i="36"/>
  <c r="J40" i="36"/>
  <c r="I41" i="36"/>
  <c r="J41" i="36"/>
  <c r="C33" i="15"/>
  <c r="J59" i="15"/>
  <c r="J60" i="15"/>
  <c r="C41" i="11"/>
  <c r="C49" i="11"/>
  <c r="C51" i="11"/>
  <c r="C22" i="11"/>
  <c r="C31" i="11"/>
  <c r="C36" i="67"/>
  <c r="C33" i="67"/>
  <c r="C31" i="67"/>
  <c r="J14" i="67"/>
  <c r="C13" i="67"/>
  <c r="J19" i="67"/>
  <c r="J17" i="67"/>
  <c r="C57" i="67"/>
  <c r="Q49" i="67"/>
  <c r="J59" i="67"/>
  <c r="J60" i="67"/>
  <c r="AA10" i="39"/>
  <c r="S10" i="39"/>
  <c r="U10" i="40"/>
  <c r="AB10" i="40"/>
  <c r="T42" i="40"/>
  <c r="G42" i="40"/>
  <c r="G46" i="40"/>
  <c r="H46" i="40"/>
  <c r="AC10" i="40"/>
  <c r="V42" i="40"/>
  <c r="I42" i="40"/>
  <c r="W10" i="40"/>
  <c r="U10" i="39"/>
  <c r="AB10" i="39"/>
  <c r="S10" i="40"/>
  <c r="AA10" i="40"/>
  <c r="AC10" i="39"/>
  <c r="W10" i="39"/>
  <c r="C19" i="78"/>
  <c r="C20" i="78"/>
  <c r="C26" i="78"/>
  <c r="C27" i="43"/>
  <c r="C26" i="43"/>
  <c r="J19" i="15"/>
  <c r="J14" i="15"/>
  <c r="J13" i="15"/>
  <c r="J23" i="15"/>
  <c r="C13" i="15"/>
  <c r="C56" i="15"/>
  <c r="C65" i="15"/>
  <c r="C36" i="15"/>
  <c r="Q49" i="15"/>
  <c r="J59" i="78"/>
  <c r="J60" i="78"/>
  <c r="Q48" i="78"/>
  <c r="R27" i="6"/>
  <c r="R6" i="1"/>
  <c r="C20" i="69"/>
  <c r="C39" i="69"/>
  <c r="C43" i="69"/>
  <c r="C42" i="69"/>
  <c r="C39" i="68"/>
  <c r="C42" i="68"/>
  <c r="C24" i="68"/>
  <c r="C36" i="36"/>
  <c r="C37" i="36"/>
  <c r="B2" i="36"/>
  <c r="B3" i="36"/>
  <c r="G40" i="36"/>
  <c r="H40" i="36"/>
  <c r="G41" i="36"/>
  <c r="H41" i="36"/>
  <c r="AA7" i="40"/>
  <c r="S7" i="40"/>
  <c r="E40" i="36"/>
  <c r="F40" i="36"/>
  <c r="E41" i="36"/>
  <c r="F41" i="36"/>
  <c r="I58" i="21"/>
  <c r="C52" i="11"/>
  <c r="B2" i="11"/>
  <c r="B3" i="11"/>
  <c r="Q48" i="15"/>
  <c r="J13" i="67"/>
  <c r="J23" i="67"/>
  <c r="J22" i="67"/>
  <c r="C61" i="67"/>
  <c r="C59" i="67"/>
  <c r="C64" i="67"/>
  <c r="C64" i="15"/>
  <c r="C61" i="15"/>
  <c r="Q48" i="67"/>
  <c r="L46" i="67"/>
  <c r="C56" i="67"/>
  <c r="C65" i="67"/>
  <c r="C75" i="67"/>
  <c r="Q70" i="67"/>
  <c r="C37" i="67"/>
  <c r="C30" i="67"/>
  <c r="C39" i="67"/>
  <c r="F35" i="15"/>
  <c r="M21" i="78"/>
  <c r="E6" i="76"/>
  <c r="L51" i="67"/>
  <c r="F35" i="78"/>
  <c r="M21" i="15"/>
  <c r="R42" i="40"/>
  <c r="R43" i="40"/>
  <c r="I46" i="40"/>
  <c r="J46" i="40"/>
  <c r="G47" i="40"/>
  <c r="H47" i="40"/>
  <c r="C23" i="78"/>
  <c r="C29" i="78"/>
  <c r="J22" i="15"/>
  <c r="C75" i="15"/>
  <c r="Q70" i="15"/>
  <c r="C37" i="15"/>
  <c r="E2" i="76"/>
  <c r="B2" i="43"/>
  <c r="C6" i="68"/>
  <c r="C7" i="68"/>
  <c r="C5" i="68"/>
  <c r="F63" i="78"/>
  <c r="C62" i="78"/>
  <c r="C34" i="78"/>
  <c r="C31" i="78"/>
  <c r="J20" i="78"/>
  <c r="C56" i="11"/>
  <c r="C57" i="11"/>
  <c r="J20" i="15"/>
  <c r="J17" i="15"/>
  <c r="F63" i="15"/>
  <c r="C62" i="15"/>
  <c r="C59" i="15"/>
  <c r="C58" i="15"/>
  <c r="C67" i="15"/>
  <c r="C68" i="15"/>
  <c r="C71" i="15"/>
  <c r="C34" i="15"/>
  <c r="C31" i="15"/>
  <c r="R16" i="1"/>
  <c r="C41" i="69"/>
  <c r="C46" i="68"/>
  <c r="C45" i="68"/>
  <c r="C43" i="68"/>
  <c r="C41" i="68"/>
  <c r="C46" i="69"/>
  <c r="C45" i="69"/>
  <c r="C28" i="69"/>
  <c r="C27" i="69"/>
  <c r="C25" i="69"/>
  <c r="C22" i="69"/>
  <c r="H7" i="21"/>
  <c r="J58" i="21"/>
  <c r="K58" i="21"/>
  <c r="L58" i="21"/>
  <c r="M58" i="21"/>
  <c r="N58" i="21"/>
  <c r="O58" i="21"/>
  <c r="F7" i="21"/>
  <c r="J7" i="21"/>
  <c r="J16" i="67"/>
  <c r="J25" i="67"/>
  <c r="C80" i="67"/>
  <c r="C79" i="67"/>
  <c r="C58" i="67"/>
  <c r="C67" i="67"/>
  <c r="C68" i="67"/>
  <c r="Q69" i="67"/>
  <c r="Q68" i="67"/>
  <c r="C40" i="67"/>
  <c r="B6" i="76"/>
  <c r="E42" i="40"/>
  <c r="E46" i="40"/>
  <c r="F46" i="40"/>
  <c r="J16" i="15"/>
  <c r="J25" i="15"/>
  <c r="C30" i="15"/>
  <c r="C39" i="15"/>
  <c r="C40" i="15"/>
  <c r="Q56" i="15"/>
  <c r="J14" i="78"/>
  <c r="C13" i="78"/>
  <c r="C57" i="78"/>
  <c r="J19" i="78"/>
  <c r="J17" i="78"/>
  <c r="C36" i="78"/>
  <c r="Q49" i="78"/>
  <c r="C23" i="68"/>
  <c r="C20" i="68"/>
  <c r="B2" i="76"/>
  <c r="B3" i="76"/>
  <c r="B3" i="43"/>
  <c r="C49" i="69"/>
  <c r="C51" i="69"/>
  <c r="C31" i="69"/>
  <c r="C49" i="68"/>
  <c r="C51" i="68"/>
  <c r="E47" i="40"/>
  <c r="F47" i="40"/>
  <c r="I47" i="40"/>
  <c r="J47" i="40"/>
  <c r="C42" i="40"/>
  <c r="C43" i="40"/>
  <c r="AA7" i="21"/>
  <c r="R48" i="21"/>
  <c r="S7" i="21"/>
  <c r="AC7" i="21"/>
  <c r="V48" i="21"/>
  <c r="I48" i="21"/>
  <c r="W7" i="21"/>
  <c r="U7" i="21"/>
  <c r="AB7" i="21"/>
  <c r="T48" i="21"/>
  <c r="G48" i="21"/>
  <c r="L57" i="15"/>
  <c r="L60" i="15"/>
  <c r="L46" i="15"/>
  <c r="Q67" i="67"/>
  <c r="L57" i="67"/>
  <c r="L60" i="67"/>
  <c r="C45" i="67"/>
  <c r="C46" i="67"/>
  <c r="C71" i="67"/>
  <c r="C43" i="67"/>
  <c r="D2" i="67"/>
  <c r="Q47" i="67"/>
  <c r="Q53" i="67"/>
  <c r="Q56" i="67"/>
  <c r="Q65" i="67"/>
  <c r="C83" i="67"/>
  <c r="C82" i="67"/>
  <c r="L51" i="15"/>
  <c r="Q69" i="15"/>
  <c r="Q68" i="15"/>
  <c r="C80" i="15"/>
  <c r="C79" i="15"/>
  <c r="Q67" i="15"/>
  <c r="C75" i="78"/>
  <c r="Q70" i="78"/>
  <c r="C37" i="78"/>
  <c r="C30" i="78"/>
  <c r="C39" i="78"/>
  <c r="C40" i="78"/>
  <c r="C56" i="78"/>
  <c r="C65" i="78"/>
  <c r="C61" i="78"/>
  <c r="C59" i="78"/>
  <c r="C64" i="78"/>
  <c r="J22" i="78"/>
  <c r="J13" i="78"/>
  <c r="J23" i="78"/>
  <c r="B2" i="15"/>
  <c r="B3" i="15"/>
  <c r="C28" i="68"/>
  <c r="C27" i="68"/>
  <c r="C25" i="68"/>
  <c r="C22" i="68"/>
  <c r="Q47" i="15"/>
  <c r="Q53" i="15"/>
  <c r="C46" i="15"/>
  <c r="Q65" i="15"/>
  <c r="C83" i="15"/>
  <c r="C82" i="15"/>
  <c r="C43" i="15"/>
  <c r="C52" i="69"/>
  <c r="B2" i="69"/>
  <c r="B3" i="69"/>
  <c r="I52" i="21"/>
  <c r="J52" i="21"/>
  <c r="R49" i="21"/>
  <c r="E48" i="21"/>
  <c r="G52" i="21"/>
  <c r="H52" i="21"/>
  <c r="G53" i="21"/>
  <c r="H53" i="21"/>
  <c r="B56" i="40"/>
  <c r="F56" i="40"/>
  <c r="B60" i="40"/>
  <c r="F60" i="40"/>
  <c r="B57" i="40"/>
  <c r="F57" i="40"/>
  <c r="B51" i="40"/>
  <c r="F51" i="40"/>
  <c r="F61" i="40"/>
  <c r="B2" i="40"/>
  <c r="B3" i="40"/>
  <c r="B55" i="40"/>
  <c r="F55" i="40"/>
  <c r="B58" i="40"/>
  <c r="F58" i="40"/>
  <c r="B54" i="40"/>
  <c r="F54" i="40"/>
  <c r="B53" i="40"/>
  <c r="F53" i="40"/>
  <c r="B59" i="40"/>
  <c r="F59" i="40"/>
  <c r="B52" i="40"/>
  <c r="F52" i="40"/>
  <c r="Q66" i="15"/>
  <c r="Q57" i="15"/>
  <c r="Q62" i="15"/>
  <c r="Q66" i="67"/>
  <c r="Q75" i="67"/>
  <c r="Q57" i="67"/>
  <c r="Q62" i="67"/>
  <c r="B2" i="67"/>
  <c r="B3" i="67"/>
  <c r="AO6" i="1"/>
  <c r="C80" i="78"/>
  <c r="C79" i="78"/>
  <c r="J16" i="78"/>
  <c r="J25" i="78"/>
  <c r="C58" i="78"/>
  <c r="C67" i="78"/>
  <c r="C68" i="78"/>
  <c r="C71" i="78"/>
  <c r="Q69" i="78"/>
  <c r="Q68" i="78"/>
  <c r="B6" i="70"/>
  <c r="Q75" i="15"/>
  <c r="C31" i="68"/>
  <c r="C52" i="68"/>
  <c r="B2" i="68"/>
  <c r="C43" i="78"/>
  <c r="Q65" i="78"/>
  <c r="C83" i="78"/>
  <c r="C82" i="78"/>
  <c r="Q56" i="78"/>
  <c r="Q47" i="78"/>
  <c r="Q53" i="78"/>
  <c r="C57" i="69"/>
  <c r="C56" i="69"/>
  <c r="E52" i="21"/>
  <c r="F52" i="21"/>
  <c r="E53" i="21"/>
  <c r="F53" i="21"/>
  <c r="I53" i="21"/>
  <c r="J53" i="21"/>
  <c r="C49" i="21"/>
  <c r="B2" i="21"/>
  <c r="B3" i="21"/>
  <c r="C48" i="21"/>
  <c r="L51" i="78"/>
  <c r="C19" i="9"/>
  <c r="L57" i="78"/>
  <c r="L60" i="78"/>
  <c r="Q67" i="78"/>
  <c r="C46" i="78"/>
  <c r="C57" i="68"/>
  <c r="C56" i="68"/>
  <c r="C102" i="9"/>
  <c r="C21" i="9"/>
  <c r="B3" i="68"/>
  <c r="C20" i="9"/>
  <c r="D34" i="9"/>
  <c r="D35" i="9"/>
  <c r="Q66" i="78"/>
  <c r="Q75" i="78"/>
  <c r="Q57" i="78"/>
  <c r="Q62" i="78"/>
  <c r="L46" i="78"/>
  <c r="B2" i="78"/>
  <c r="C103" i="9"/>
  <c r="AO7" i="1"/>
  <c r="B7" i="70"/>
  <c r="B2" i="70"/>
  <c r="B3" i="78"/>
  <c r="D19" i="9"/>
  <c r="D21" i="9"/>
  <c r="D22" i="9"/>
  <c r="D102" i="9"/>
  <c r="G19" i="9"/>
  <c r="B3" i="70"/>
  <c r="D20" i="9"/>
  <c r="D103" i="9"/>
  <c r="G20" i="9"/>
  <c r="G21" i="9"/>
  <c r="C32" i="9"/>
  <c r="H118" i="9"/>
  <c r="C35" i="9"/>
  <c r="D14" i="74"/>
  <c r="H4" i="52"/>
  <c r="I118" i="9"/>
  <c r="H101" i="9"/>
  <c r="H119" i="9"/>
  <c r="H5" i="52"/>
  <c r="C104" i="9"/>
  <c r="F118" i="9"/>
  <c r="C34" i="9"/>
  <c r="D118" i="9"/>
  <c r="F14" i="74"/>
  <c r="E14" i="74"/>
  <c r="B5" i="74"/>
  <c r="D119" i="9"/>
  <c r="D5" i="52"/>
  <c r="B49" i="72"/>
  <c r="D4" i="52"/>
  <c r="B47" i="72"/>
  <c r="D45" i="9"/>
  <c r="D5" i="53"/>
  <c r="H107" i="9"/>
  <c r="M48" i="9"/>
  <c r="F4" i="52"/>
  <c r="B51" i="72"/>
  <c r="G118" i="9"/>
  <c r="G4" i="52"/>
  <c r="B52" i="72"/>
  <c r="F119" i="9"/>
  <c r="F5" i="52"/>
  <c r="B53" i="72"/>
  <c r="C105" i="9"/>
  <c r="H102" i="9"/>
  <c r="D7" i="53"/>
  <c r="B21" i="72"/>
  <c r="I4" i="52"/>
  <c r="M49" i="9"/>
  <c r="H108" i="9"/>
  <c r="D15" i="53"/>
  <c r="B31" i="72"/>
  <c r="D122" i="9"/>
  <c r="D13" i="53"/>
  <c r="B20" i="72"/>
  <c r="D6" i="53"/>
  <c r="B22" i="72"/>
  <c r="C5" i="74"/>
  <c r="D5" i="74"/>
  <c r="E118" i="9"/>
  <c r="E4" i="52"/>
  <c r="B48" i="72"/>
  <c r="C78" i="9"/>
  <c r="C73" i="9"/>
  <c r="D55" i="9"/>
  <c r="M53" i="9"/>
  <c r="C72" i="9"/>
  <c r="D53" i="9"/>
  <c r="C64" i="9"/>
  <c r="C63" i="9"/>
  <c r="C67" i="9"/>
  <c r="C68" i="9"/>
  <c r="D54" i="9"/>
  <c r="C85" i="9"/>
  <c r="D52" i="9"/>
  <c r="C93" i="9"/>
  <c r="C86" i="9"/>
  <c r="C79" i="9"/>
  <c r="B30" i="72"/>
  <c r="D14" i="53"/>
  <c r="B32" i="72"/>
  <c r="C95" i="9"/>
  <c r="D123" i="9"/>
  <c r="D9" i="52"/>
  <c r="D8" i="52"/>
  <c r="G14" i="74"/>
  <c r="B6" i="74"/>
  <c r="L67" i="9"/>
  <c r="M67" i="9"/>
  <c r="L68" i="9"/>
  <c r="M68" i="9"/>
  <c r="L64" i="9"/>
  <c r="M64" i="9"/>
  <c r="L63" i="9"/>
  <c r="M63" i="9"/>
  <c r="L65" i="9"/>
  <c r="M65" i="9"/>
  <c r="L66" i="9"/>
  <c r="M66" i="9"/>
  <c r="M69" i="9"/>
  <c r="N69" i="9"/>
  <c r="C80" i="9"/>
  <c r="E80" i="9"/>
  <c r="E81" i="9"/>
  <c r="C96" i="9"/>
  <c r="E96" i="9"/>
  <c r="E97" i="9"/>
  <c r="D6" i="74"/>
  <c r="C6" i="74"/>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<sst xmlns="http://schemas.openxmlformats.org/spreadsheetml/2006/main" count="7814" uniqueCount="3153">
  <si>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</si>
  <si>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</si>
  <si>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</si>
  <si>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</si>
  <si>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</si>
  <si>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</si>
  <si>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</si>
  <si>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</si>
  <si>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</si>
  <si>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</si>
  <si>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</si>
  <si>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</si>
  <si>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</si>
  <si>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</si>
  <si>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</si>
  <si>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</si>
  <si>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</si>
  <si>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</si>
  <si>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</si>
  <si>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</si>
  <si>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</si>
  <si>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</si>
  <si>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</si>
  <si>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</si>
  <si>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</si>
  <si>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</si>
  <si>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</si>
  <si>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</si>
  <si>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</si>
  <si>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</si>
  <si>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</si>
  <si>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</si>
  <si>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</si>
  <si>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</si>
  <si>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</si>
  <si>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</si>
  <si>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</si>
  <si>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</si>
  <si>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</si>
  <si>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</si>
  <si>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</si>
  <si>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</si>
  <si>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</si>
  <si>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</si>
  <si>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</si>
  <si>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</si>
  <si>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</si>
  <si>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</si>
  <si>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</si>
  <si>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</si>
  <si>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</si>
  <si>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</si>
  <si>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</si>
  <si>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</si>
  <si>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</si>
  <si>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</si>
  <si>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</si>
  <si>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</si>
  <si>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</si>
  <si>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</si>
  <si>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</si>
  <si>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</si>
  <si>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</si>
  <si>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</si>
  <si>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</si>
  <si>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</si>
  <si>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</si>
  <si>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</si>
  <si>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</si>
  <si>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</si>
  <si>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</si>
  <si>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</si>
  <si>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</si>
  <si>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</si>
  <si>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</si>
  <si>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</si>
  <si>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</si>
  <si>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</si>
  <si>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</si>
  <si>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</si>
  <si>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</si>
  <si>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</si>
  <si>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</si>
  <si>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</si>
  <si>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</si>
  <si>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</si>
  <si>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</si>
  <si>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</si>
  <si>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</si>
  <si>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</si>
  <si>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</si>
  <si>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</si>
  <si>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</si>
  <si>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</si>
  <si>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</si>
  <si>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</si>
  <si>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</si>
  <si>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</si>
  <si>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</si>
  <si>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</si>
  <si>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</si>
  <si>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</si>
  <si>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</si>
  <si>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</si>
  <si>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</si>
  <si>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</si>
  <si>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</si>
  <si>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</si>
  <si>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</si>
  <si>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</si>
  <si>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</si>
  <si>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</si>
  <si>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</si>
  <si>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</si>
  <si>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</si>
  <si>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</si>
  <si>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</si>
  <si>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</si>
  <si>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</si>
  <si>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</si>
  <si>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</si>
  <si>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</si>
  <si>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</si>
  <si>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</si>
  <si>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</si>
  <si>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</si>
  <si>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</si>
  <si>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</si>
  <si>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</si>
  <si>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</si>
  <si>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</si>
  <si>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</si>
  <si>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</si>
  <si>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</si>
  <si>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</si>
  <si>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</si>
  <si>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</si>
  <si>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</si>
  <si>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</si>
  <si>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</si>
  <si>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</si>
  <si>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</si>
  <si>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</si>
  <si>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</si>
  <si>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</si>
  <si>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</si>
  <si>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</si>
  <si>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</si>
  <si>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</si>
  <si>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</si>
  <si>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</si>
  <si>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</si>
  <si>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</si>
  <si>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</si>
  <si>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</si>
  <si>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</si>
  <si>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</si>
  <si>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</si>
  <si>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</si>
  <si>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</si>
  <si>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</si>
  <si>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</si>
  <si>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</si>
  <si>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</si>
  <si>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</si>
  <si>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</si>
  <si>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</si>
  <si>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</si>
  <si>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</si>
  <si>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</si>
  <si>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</si>
  <si>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</si>
  <si>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</si>
  <si>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</si>
  <si>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</si>
  <si>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</si>
  <si>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</si>
  <si>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</si>
  <si>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</si>
  <si>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</si>
  <si>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</si>
  <si>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</si>
  <si>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</si>
  <si>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</si>
  <si>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</si>
  <si>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</si>
  <si>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</si>
  <si>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</si>
  <si>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</si>
  <si>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</si>
  <si>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</si>
  <si>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</si>
  <si>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</si>
  <si>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</si>
  <si>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</si>
  <si>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</si>
  <si>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</si>
  <si>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</si>
  <si>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</si>
  <si>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</si>
  <si>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</si>
  <si>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</si>
  <si>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</si>
  <si>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</si>
  <si>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</si>
  <si>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</si>
  <si>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</si>
  <si>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</si>
  <si>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</si>
  <si>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</si>
  <si>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</si>
  <si>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</si>
  <si>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</si>
  <si>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</si>
  <si>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</si>
  <si>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</si>
  <si>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</si>
  <si>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</si>
  <si>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</si>
  <si>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</si>
  <si>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</si>
  <si>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</si>
  <si>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</si>
  <si>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</si>
  <si>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</si>
  <si>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</si>
  <si>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</si>
  <si>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</si>
  <si>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</si>
  <si>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</si>
  <si>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</si>
  <si>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</si>
  <si>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</si>
  <si>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</si>
  <si>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</si>
  <si>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</si>
  <si>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</si>
  <si>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</si>
  <si>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</si>
  <si>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</si>
  <si>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</si>
  <si>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</si>
  <si>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</si>
  <si>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</si>
  <si>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</si>
  <si>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</si>
  <si>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</si>
  <si>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</si>
  <si>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</si>
  <si>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</si>
  <si>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</si>
  <si>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</si>
  <si>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</si>
  <si>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</si>
  <si>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</si>
  <si>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</si>
  <si>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</si>
  <si>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</si>
  <si>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</si>
  <si>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</si>
  <si>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</si>
  <si>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</si>
  <si>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</si>
  <si>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</si>
  <si>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</si>
  <si>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</si>
  <si>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</si>
  <si>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</si>
  <si>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</si>
  <si>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</si>
  <si>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</si>
  <si>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</si>
  <si>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</si>
  <si>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</si>
  <si>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</si>
  <si>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</si>
  <si>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</si>
  <si>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</si>
  <si>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</si>
  <si>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</si>
  <si>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</si>
  <si>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</si>
  <si>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</si>
  <si>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</si>
  <si>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</si>
  <si>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</si>
  <si>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</si>
  <si>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</si>
  <si>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</si>
  <si>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</si>
  <si>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</si>
  <si>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</si>
  <si>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</si>
  <si>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</si>
  <si>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</si>
  <si>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</si>
  <si>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</si>
  <si>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</si>
  <si>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</si>
  <si>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</si>
  <si>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</si>
  <si>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</si>
  <si>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</si>
  <si>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</si>
  <si>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</si>
  <si>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</si>
  <si>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</si>
  <si>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</si>
  <si>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</si>
  <si>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</si>
  <si>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</si>
  <si>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</si>
  <si>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</si>
  <si>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</si>
  <si>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</si>
  <si>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</si>
  <si>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</si>
  <si>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</si>
  <si>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</si>
  <si>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</si>
  <si>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</si>
  <si>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</si>
  <si>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</si>
  <si>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</si>
  <si>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</si>
  <si>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</si>
  <si>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</si>
  <si>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</si>
  <si>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</si>
  <si>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</si>
  <si>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</si>
  <si>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</si>
  <si>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</si>
  <si>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</si>
  <si>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</si>
  <si>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</si>
  <si>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</si>
  <si>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</si>
  <si>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</si>
  <si>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</si>
  <si>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</si>
  <si>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</si>
  <si>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</si>
  <si>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</si>
  <si>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</si>
  <si>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</si>
  <si>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</si>
  <si>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</si>
  <si>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</si>
  <si>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</si>
  <si>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</si>
  <si>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</si>
  <si>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</si>
  <si>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</si>
  <si>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</si>
  <si>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</si>
  <si>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</si>
  <si>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</si>
  <si>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</si>
  <si>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</si>
  <si>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</si>
  <si>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</si>
  <si>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</si>
  <si>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</si>
  <si>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</si>
  <si>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</si>
  <si>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</si>
  <si>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</si>
  <si>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</si>
  <si>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</si>
  <si>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</si>
  <si>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</si>
  <si>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</si>
  <si>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</si>
  <si>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</si>
  <si>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</si>
  <si>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</si>
  <si>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</si>
  <si>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</si>
  <si>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</si>
  <si>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</si>
  <si>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</si>
  <si>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</si>
  <si>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</si>
  <si>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</si>
  <si>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</si>
  <si>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</si>
  <si>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</si>
  <si>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</si>
  <si>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</si>
  <si>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</si>
  <si>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</si>
  <si>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</si>
  <si>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</si>
  <si>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</si>
  <si>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</si>
  <si>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</si>
  <si>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</si>
  <si>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</si>
  <si>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</si>
  <si>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</si>
  <si>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</si>
  <si>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</si>
  <si>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</si>
  <si>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</si>
  <si>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</si>
  <si>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</si>
  <si>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</si>
  <si>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</si>
  <si>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</si>
  <si>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</si>
  <si>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</si>
  <si>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</si>
  <si>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</si>
  <si>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</si>
  <si>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</si>
  <si>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</si>
  <si>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</si>
  <si>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</si>
  <si>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</si>
  <si>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</si>
  <si>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</si>
  <si>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</si>
  <si>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</si>
  <si>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</si>
  <si>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</si>
  <si>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</si>
  <si>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</si>
  <si>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</si>
  <si>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</si>
  <si>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</si>
  <si>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</si>
  <si>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</si>
  <si>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</si>
  <si>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</si>
  <si>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</si>
  <si>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</si>
  <si>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</si>
  <si>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</si>
  <si>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</si>
  <si>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</si>
  <si>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</si>
  <si>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</si>
  <si>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</si>
  <si>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</si>
  <si>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</si>
  <si>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</si>
  <si>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</si>
  <si>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</si>
  <si>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</si>
  <si>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</si>
  <si>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</si>
  <si>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</si>
  <si>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</si>
  <si>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</si>
  <si>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</si>
  <si>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</si>
  <si>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</si>
  <si>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</si>
  <si>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</si>
  <si>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</si>
  <si>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</si>
  <si>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</si>
  <si>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</si>
  <si>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</si>
  <si>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</si>
  <si>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</si>
  <si>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</si>
  <si>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</si>
  <si>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</si>
  <si>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</si>
  <si>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</si>
  <si>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</si>
  <si>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</si>
  <si>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</si>
  <si>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</si>
  <si>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</si>
  <si>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</si>
  <si>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</si>
  <si>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</si>
  <si>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</si>
  <si>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</si>
  <si>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</si>
  <si>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</si>
  <si>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</si>
  <si>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</si>
  <si>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</si>
  <si>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</si>
  <si>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</si>
  <si>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</si>
  <si>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</si>
  <si>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</si>
  <si>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</si>
  <si>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</si>
  <si>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</si>
  <si>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</si>
  <si>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</si>
  <si>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</si>
  <si>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</si>
  <si>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</si>
  <si>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</si>
  <si>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</si>
  <si>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</si>
  <si>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</si>
  <si>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</si>
  <si>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</si>
  <si>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</si>
  <si>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</si>
  <si>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</si>
  <si>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</si>
  <si>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</si>
  <si>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</si>
  <si>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</si>
  <si>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</si>
  <si>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</si>
  <si>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</si>
  <si>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</si>
  <si>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</si>
  <si>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</si>
  <si>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</si>
  <si>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</si>
  <si>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</si>
  <si>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</si>
  <si>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</si>
  <si>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</si>
  <si>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</si>
  <si>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</si>
  <si>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</si>
  <si>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</si>
  <si>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</si>
  <si>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</si>
  <si>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</si>
  <si>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</si>
  <si>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</si>
  <si>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</si>
  <si>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</si>
  <si>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</si>
  <si>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</si>
  <si>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</si>
  <si>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</si>
  <si>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</si>
  <si>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</si>
  <si>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</si>
  <si>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</si>
  <si>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</si>
  <si>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</si>
  <si>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</si>
  <si>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</si>
  <si>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</si>
  <si>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</si>
  <si>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</si>
  <si>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</si>
  <si>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</si>
  <si>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</si>
  <si>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</si>
  <si>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</si>
  <si>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</si>
  <si>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</si>
  <si>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</si>
  <si>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</si>
  <si>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</si>
  <si>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</si>
  <si>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</si>
  <si>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</si>
  <si>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</si>
  <si>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</si>
  <si>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</si>
  <si>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</si>
  <si>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</si>
  <si>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</si>
  <si>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</si>
  <si>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</si>
  <si>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</si>
  <si>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</si>
  <si>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</si>
  <si>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</si>
  <si>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</si>
  <si>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</si>
  <si>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</si>
  <si>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</si>
  <si>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</si>
  <si>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</si>
  <si>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</si>
  <si>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</si>
  <si>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</si>
  <si>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</si>
  <si>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</si>
  <si>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</si>
  <si>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</si>
  <si>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</si>
  <si>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</si>
  <si>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</si>
  <si>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</si>
  <si>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</si>
  <si>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</si>
  <si>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</si>
  <si>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</si>
  <si>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</si>
  <si>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</si>
  <si>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</si>
  <si>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</si>
  <si>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</si>
  <si>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</si>
  <si>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</si>
  <si>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</si>
  <si>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</si>
  <si>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</si>
  <si>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</si>
  <si>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</si>
  <si>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</si>
  <si>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</si>
  <si>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</si>
  <si>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</si>
  <si>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</si>
  <si>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</si>
  <si>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</si>
  <si>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</si>
  <si>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</si>
  <si>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</si>
  <si>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</si>
  <si>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</si>
  <si>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</si>
  <si>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</si>
  <si>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</si>
  <si>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</si>
  <si>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</si>
  <si>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</si>
  <si>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</si>
  <si>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</si>
  <si>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</si>
  <si>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</si>
  <si>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</si>
  <si>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</si>
  <si>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</si>
  <si>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</si>
  <si>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</si>
  <si>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</si>
  <si>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</si>
  <si>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</si>
  <si>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</si>
  <si>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</si>
  <si>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</si>
  <si>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</si>
  <si>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</si>
  <si>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</si>
  <si>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</si>
  <si>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</si>
  <si>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</si>
  <si>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</si>
  <si>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</si>
  <si>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</si>
  <si>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</si>
  <si>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</si>
  <si>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</si>
  <si>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</si>
  <si>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</si>
  <si>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</si>
  <si>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</si>
  <si>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</si>
  <si>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</si>
  <si>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</si>
  <si>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</si>
  <si>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</si>
  <si>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</si>
  <si>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</si>
  <si>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</si>
  <si>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</si>
  <si>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</si>
  <si>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</si>
  <si>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</si>
  <si>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</si>
  <si>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</si>
  <si>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</si>
  <si>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</si>
  <si>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</si>
  <si>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</si>
  <si>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</si>
  <si>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</si>
  <si>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</si>
  <si>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</si>
  <si>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</si>
  <si>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</si>
  <si>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</si>
  <si>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</si>
  <si>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</si>
  <si>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</si>
  <si>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</si>
  <si>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</si>
  <si>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</si>
  <si>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</si>
  <si>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</si>
  <si>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</si>
  <si>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</si>
  <si>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</si>
  <si>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</si>
  <si>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</si>
  <si>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</si>
  <si>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</si>
  <si>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</si>
  <si>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</si>
  <si>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</si>
  <si>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</si>
  <si>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</si>
  <si>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</si>
  <si>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</si>
  <si>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</si>
  <si>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</si>
  <si>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</si>
  <si>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</si>
  <si>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</si>
  <si>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</si>
  <si>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</si>
  <si>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</si>
  <si>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</si>
  <si>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</si>
  <si>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</si>
  <si>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</si>
  <si>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</si>
  <si>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</si>
  <si>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</si>
  <si>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</si>
  <si>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</si>
  <si>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</si>
  <si>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</si>
  <si>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</si>
  <si>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</si>
  <si>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</si>
  <si>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</si>
  <si>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</si>
  <si>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</si>
  <si>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</si>
  <si>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</si>
  <si>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</si>
  <si>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</si>
  <si>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</si>
  <si>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</si>
  <si>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</si>
  <si>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</si>
  <si>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</si>
  <si>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</si>
  <si>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</si>
  <si>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</si>
  <si>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</si>
  <si>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</si>
  <si>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</si>
  <si>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</si>
  <si>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</si>
  <si>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</si>
  <si>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</si>
  <si>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</si>
  <si>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</si>
  <si>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</si>
  <si>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</si>
  <si>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</si>
  <si>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</si>
  <si>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</si>
  <si>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</si>
  <si>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</si>
  <si>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</si>
  <si>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</si>
  <si>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</si>
  <si>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</si>
  <si>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</si>
  <si>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</si>
  <si>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</si>
  <si>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</si>
  <si>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</si>
  <si>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</si>
  <si>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</si>
  <si>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</si>
  <si>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</si>
  <si>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</si>
  <si>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</si>
  <si>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</si>
  <si>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</si>
  <si>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</si>
  <si>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</si>
  <si>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</si>
  <si>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</si>
  <si>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</si>
  <si>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</si>
  <si>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</si>
  <si>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</si>
  <si>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</si>
  <si>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</si>
  <si>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</si>
  <si>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</si>
  <si>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</si>
  <si>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</si>
  <si>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</si>
  <si>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</si>
  <si>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</si>
  <si>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</si>
  <si>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</si>
  <si>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</si>
  <si>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</si>
  <si>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</si>
  <si>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</si>
  <si>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</si>
  <si>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</si>
  <si>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</si>
  <si>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</si>
  <si>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</si>
  <si>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</si>
  <si>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</si>
  <si>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</si>
  <si>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</si>
  <si>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</si>
  <si>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</si>
  <si>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</si>
  <si>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</si>
  <si>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</si>
  <si>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</si>
  <si>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</si>
  <si>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</si>
  <si>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</si>
  <si>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</si>
  <si>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</si>
  <si>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</si>
  <si>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</si>
  <si>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</si>
  <si>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</si>
  <si>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</si>
  <si>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</si>
  <si>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</si>
  <si>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</si>
  <si>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</si>
  <si>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</si>
  <si>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</si>
  <si>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</si>
  <si>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</si>
  <si>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</si>
  <si>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</si>
  <si>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</si>
  <si>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</si>
  <si>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</si>
  <si>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</si>
  <si>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</si>
  <si>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</si>
  <si>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</si>
  <si>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</si>
  <si>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</si>
  <si>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</si>
  <si>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</si>
  <si>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</si>
  <si>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</si>
  <si>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</si>
  <si>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</si>
  <si>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</si>
  <si>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</si>
  <si>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</si>
  <si>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</si>
  <si>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</si>
  <si>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</si>
  <si>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</si>
  <si>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</si>
  <si>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</si>
  <si>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</si>
  <si>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</si>
  <si>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</si>
  <si>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</si>
  <si>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</si>
  <si>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</si>
  <si>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</si>
  <si>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</si>
  <si>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</si>
  <si>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</si>
  <si>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</si>
  <si>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</si>
  <si>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</si>
  <si>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</si>
  <si>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</si>
  <si>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</si>
  <si>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</si>
  <si>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</si>
  <si>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</si>
  <si>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</si>
  <si>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</si>
  <si>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</si>
  <si>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</si>
  <si>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</si>
  <si>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</si>
  <si>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</si>
  <si>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</si>
  <si>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</si>
  <si>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</si>
  <si>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</si>
  <si>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</si>
  <si>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</si>
  <si>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</si>
  <si>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</si>
  <si>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</si>
  <si>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</si>
  <si>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</si>
  <si>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</si>
  <si>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</si>
  <si>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</si>
  <si>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</si>
  <si>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</si>
  <si>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</si>
  <si>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</si>
  <si>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</si>
  <si>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</si>
  <si>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</si>
  <si>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</si>
  <si>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</si>
  <si>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</si>
  <si>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</si>
  <si>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</si>
  <si>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</si>
  <si>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</si>
  <si>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</si>
  <si>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</si>
  <si>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</si>
  <si>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</si>
  <si>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</si>
  <si>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</si>
  <si>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</si>
  <si>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</si>
  <si>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</si>
  <si>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</si>
  <si>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</si>
  <si>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</si>
  <si>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</si>
  <si>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</si>
  <si>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</si>
  <si>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</si>
  <si>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</si>
  <si>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</si>
  <si>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</si>
  <si>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</si>
  <si>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</si>
  <si>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</si>
  <si>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</si>
  <si>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</si>
  <si>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</si>
  <si>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</si>
  <si>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</si>
  <si>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</si>
  <si>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</si>
  <si>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</si>
  <si>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</si>
  <si>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</si>
  <si>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</si>
  <si>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</si>
  <si>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</si>
  <si>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</si>
  <si>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</si>
  <si>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</si>
  <si>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</si>
  <si>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</si>
  <si>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</si>
  <si>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</si>
  <si>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</si>
  <si>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</si>
  <si>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</si>
  <si>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</si>
  <si>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</si>
  <si>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</si>
  <si>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</si>
  <si>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</si>
  <si>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</si>
  <si>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</si>
  <si>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</si>
  <si>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</si>
  <si>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</si>
  <si>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</si>
  <si>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</si>
  <si>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</si>
  <si>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</si>
  <si>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</si>
  <si>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</si>
  <si>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</si>
  <si>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</si>
  <si>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</si>
  <si>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</si>
  <si>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</si>
  <si>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</si>
  <si>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</si>
  <si>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</si>
  <si>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</si>
  <si>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</si>
  <si>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</si>
  <si>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</si>
  <si>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</si>
  <si>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</si>
  <si>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</si>
  <si>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</si>
  <si>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</si>
  <si>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</si>
  <si>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</si>
  <si>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</si>
  <si>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</si>
  <si>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</si>
  <si>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</si>
  <si>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</si>
  <si>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</si>
  <si>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</si>
  <si>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</si>
  <si>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</si>
  <si>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</si>
  <si>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</si>
  <si>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</si>
  <si>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</si>
  <si>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</si>
  <si>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</si>
  <si>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</si>
  <si>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</si>
  <si>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</si>
  <si>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</si>
  <si>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</si>
  <si>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</si>
  <si>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</si>
  <si>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</si>
  <si>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</si>
  <si>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</si>
  <si>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</si>
  <si>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</si>
  <si>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</si>
  <si>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</si>
  <si>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</si>
  <si>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</si>
  <si>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</si>
  <si>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</si>
  <si>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</si>
  <si>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</si>
  <si>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</si>
  <si>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</si>
  <si>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</si>
  <si>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</si>
  <si>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</si>
  <si>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</si>
  <si>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</si>
  <si>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</si>
  <si>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</si>
  <si>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</si>
  <si>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</si>
  <si>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</si>
  <si>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</si>
  <si>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</si>
  <si>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</si>
  <si>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</si>
  <si>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</si>
  <si>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</si>
  <si>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</si>
  <si>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</si>
  <si>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</si>
  <si>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</si>
  <si>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</si>
  <si>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</si>
  <si>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</si>
  <si>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</si>
  <si>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</si>
  <si>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</si>
  <si>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</si>
  <si>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</si>
  <si>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</si>
  <si>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</si>
  <si>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</si>
  <si>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</si>
  <si>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</si>
  <si>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</si>
  <si>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</si>
  <si>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</si>
  <si>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</si>
  <si>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</si>
  <si>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</si>
  <si>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</si>
  <si>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</si>
  <si>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</si>
  <si>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</si>
  <si>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</si>
  <si>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</si>
  <si>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</si>
  <si>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</si>
  <si>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</si>
  <si>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</si>
  <si>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</si>
  <si>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</si>
  <si>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</si>
  <si>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</si>
  <si>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</si>
  <si>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</si>
  <si>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</si>
  <si>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</si>
  <si>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</si>
  <si>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</si>
  <si>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</si>
  <si>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</si>
  <si>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</si>
  <si>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</si>
  <si>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</si>
  <si>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</si>
  <si>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</si>
  <si>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</si>
  <si>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</si>
  <si>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</si>
  <si>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</si>
  <si>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</si>
  <si>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</si>
  <si>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</si>
  <si>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</si>
  <si>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</si>
  <si>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</si>
  <si>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</si>
  <si>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</si>
  <si>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</si>
  <si>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</si>
  <si>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</si>
  <si>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</si>
  <si>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</si>
  <si>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</si>
  <si>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</si>
  <si>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</si>
  <si>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</si>
  <si>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</si>
  <si>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</si>
  <si>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</si>
  <si>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</si>
  <si>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</si>
  <si>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</si>
  <si>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</si>
  <si>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</si>
  <si>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</si>
  <si>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</si>
  <si>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</si>
  <si>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</si>
  <si>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</si>
  <si>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</si>
  <si>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</si>
  <si>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</si>
  <si>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</si>
  <si>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</si>
  <si>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</si>
  <si>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</si>
  <si>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</si>
  <si>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</si>
  <si>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</si>
  <si>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</si>
  <si>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</si>
  <si>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</si>
  <si>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</si>
  <si>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</si>
  <si>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</si>
  <si>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</si>
  <si>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</si>
  <si>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</si>
  <si>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</si>
  <si>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</si>
  <si>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</si>
  <si>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</si>
  <si>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</si>
  <si>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</si>
  <si>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</si>
  <si>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</si>
  <si>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</si>
  <si>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</si>
  <si>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</si>
  <si>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</si>
  <si>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</si>
  <si>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</si>
  <si>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</si>
  <si>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</si>
  <si>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</si>
  <si>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</si>
  <si>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</si>
  <si>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</si>
  <si>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</si>
  <si>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</si>
  <si>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</si>
  <si>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</si>
  <si>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</si>
  <si>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</si>
  <si>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</si>
  <si>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</si>
  <si>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</si>
  <si>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</si>
  <si>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</si>
  <si>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</si>
  <si>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</si>
  <si>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</si>
  <si>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</si>
  <si>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</si>
  <si>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</si>
  <si>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</si>
  <si>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</si>
  <si>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</si>
  <si>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</si>
  <si>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</si>
  <si>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</si>
  <si>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</si>
  <si>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</si>
  <si>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</si>
  <si>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</si>
  <si>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</si>
  <si>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</si>
  <si>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</si>
  <si>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</si>
  <si>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</si>
  <si>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</si>
  <si>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</si>
  <si>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</si>
  <si>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</si>
  <si>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</si>
  <si>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</si>
  <si>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</si>
  <si>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</si>
  <si>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</si>
  <si>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</si>
  <si>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</si>
  <si>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</si>
  <si>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</si>
  <si>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</si>
  <si>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</si>
  <si>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</si>
  <si>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</si>
  <si>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</si>
  <si>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</si>
  <si>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</si>
  <si>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</si>
  <si>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</si>
  <si>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</si>
  <si>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</si>
  <si>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</si>
  <si>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</si>
  <si>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</si>
  <si>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</si>
  <si>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</si>
  <si>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</si>
  <si>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</si>
  <si>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</si>
  <si>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</si>
  <si>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</si>
  <si>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</si>
  <si>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</si>
  <si>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</si>
  <si>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</si>
  <si>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</si>
  <si>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</si>
  <si>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</si>
  <si>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</si>
  <si>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</si>
  <si>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</si>
  <si>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</si>
  <si>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</si>
  <si>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</si>
  <si>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</si>
  <si>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</si>
  <si>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</si>
  <si>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</si>
  <si>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</si>
  <si>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</si>
  <si>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</si>
  <si>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</si>
  <si>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</si>
  <si>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</si>
  <si>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</si>
  <si>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</si>
  <si>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</si>
  <si>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</si>
  <si>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</si>
  <si>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</si>
  <si>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</si>
  <si>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</si>
  <si>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</si>
  <si>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</si>
  <si>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</si>
  <si>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</si>
  <si>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</si>
  <si>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</si>
  <si>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</si>
  <si>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</si>
  <si>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</si>
  <si>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</si>
  <si>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</si>
  <si>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</si>
  <si>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</si>
  <si>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</si>
  <si>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</si>
  <si>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</si>
  <si>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</si>
  <si>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</si>
  <si>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</si>
  <si>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</si>
  <si>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</si>
  <si>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</si>
  <si>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</si>
  <si>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</si>
  <si>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</si>
  <si>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</si>
  <si>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</si>
  <si>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</si>
  <si>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</si>
  <si>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</si>
  <si>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</si>
  <si>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</si>
  <si>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</si>
  <si>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</si>
  <si>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</si>
  <si>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</si>
  <si>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</si>
  <si>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</si>
  <si>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</si>
  <si>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</si>
  <si>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</si>
  <si>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</si>
  <si>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</si>
  <si>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</si>
  <si>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</si>
  <si>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</si>
  <si>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</si>
  <si>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</si>
  <si>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</si>
  <si>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</si>
  <si>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</si>
  <si>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</si>
  <si>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</si>
  <si>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</si>
  <si>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</si>
  <si>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</si>
  <si>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</si>
  <si>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</si>
  <si>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</si>
  <si>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</si>
  <si>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</si>
  <si>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</si>
  <si>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</si>
  <si>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</si>
  <si>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</si>
  <si>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</si>
  <si>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</si>
  <si>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</si>
  <si>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</si>
  <si>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</si>
  <si>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</si>
  <si>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</si>
  <si>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</si>
  <si>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</si>
  <si>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</si>
  <si>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</si>
  <si>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</si>
  <si>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</si>
  <si>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</si>
  <si>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</si>
  <si>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</si>
  <si>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</si>
  <si>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</si>
  <si>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</si>
  <si>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</si>
  <si>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</si>
  <si>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</si>
  <si>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</si>
  <si>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</si>
  <si>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</si>
  <si>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</si>
  <si>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</si>
  <si>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</si>
  <si>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</si>
  <si>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</si>
  <si>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</si>
  <si>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</si>
  <si>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</si>
  <si>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</si>
  <si>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</si>
  <si>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</si>
  <si>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</si>
  <si>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</si>
  <si>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</si>
  <si>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</si>
  <si>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</si>
  <si>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</si>
  <si>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</si>
  <si>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</si>
  <si>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</si>
  <si>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</si>
  <si>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</si>
  <si>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</si>
  <si>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</si>
  <si>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</si>
  <si>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</si>
  <si>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</si>
  <si>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</si>
  <si>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</si>
  <si>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</si>
  <si>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</si>
  <si>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</si>
  <si>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</si>
  <si>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</si>
  <si>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</si>
  <si>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</si>
  <si>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</si>
  <si>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</si>
  <si>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</si>
  <si>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</si>
  <si>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</si>
  <si>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</si>
  <si>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</si>
  <si>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</si>
  <si>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</si>
  <si>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</si>
  <si>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</si>
  <si>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</si>
  <si>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</si>
  <si>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</si>
  <si>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</si>
  <si>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</si>
  <si>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</si>
  <si>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</si>
  <si>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</si>
  <si>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</si>
  <si>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</si>
  <si>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</si>
  <si>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</si>
  <si>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</si>
  <si>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</si>
  <si>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</si>
  <si>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</si>
  <si>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</si>
  <si>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</si>
  <si>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</si>
  <si>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</si>
  <si>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</si>
  <si>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</si>
  <si>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</si>
  <si>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</si>
  <si>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</si>
  <si>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</si>
  <si>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</si>
  <si>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</si>
  <si>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</si>
  <si>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</si>
  <si>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</si>
  <si>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</si>
  <si>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</si>
  <si>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</si>
  <si>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</si>
  <si>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</si>
  <si>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</si>
  <si>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</si>
  <si>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</si>
  <si>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</si>
  <si>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</si>
  <si>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</si>
  <si>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</si>
  <si>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</si>
  <si>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</si>
  <si>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</si>
  <si>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</si>
  <si>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</si>
  <si>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</si>
  <si>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</si>
  <si>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</si>
  <si>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</si>
  <si>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</si>
  <si>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</si>
  <si>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</si>
  <si>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</si>
  <si>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</si>
  <si>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</si>
  <si>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</si>
  <si>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</si>
  <si>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</si>
  <si>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</si>
  <si>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</si>
  <si>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</si>
  <si>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</si>
  <si>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</si>
  <si>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</si>
  <si>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</si>
  <si>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</si>
  <si>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</si>
  <si>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</si>
  <si>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</si>
  <si>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</si>
  <si>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</si>
  <si>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</si>
  <si>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</si>
  <si>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</si>
  <si>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</si>
  <si>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</si>
  <si>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</si>
  <si>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</si>
  <si>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</si>
  <si>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</si>
  <si>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</si>
  <si>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</si>
  <si>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</si>
  <si>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</si>
  <si>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</si>
  <si>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</si>
  <si>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</si>
  <si>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</si>
  <si>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</si>
  <si>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</si>
  <si>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</si>
  <si>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</si>
  <si>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</si>
  <si>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</si>
  <si>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</si>
  <si>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</si>
  <si>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</si>
  <si>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</si>
  <si>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</si>
  <si>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</si>
  <si>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</si>
  <si>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</si>
  <si>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</si>
  <si>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</si>
  <si>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</si>
  <si>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</si>
  <si>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</si>
  <si>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</si>
  <si>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</si>
  <si>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</si>
  <si>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</si>
  <si>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</si>
  <si>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</si>
  <si>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</si>
  <si>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</si>
  <si>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</si>
  <si>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</si>
  <si>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</si>
  <si>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</si>
  <si>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</si>
  <si>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</si>
  <si>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</si>
  <si>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</si>
  <si>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</si>
  <si>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</si>
  <si>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</si>
  <si>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</si>
  <si>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</si>
  <si>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</si>
  <si>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</si>
  <si>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</si>
  <si>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</si>
  <si>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</si>
  <si>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</si>
  <si>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</si>
  <si>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</si>
  <si>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</si>
  <si>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</si>
  <si>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</si>
  <si>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</si>
  <si>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</si>
  <si>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</si>
  <si>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</si>
  <si>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</si>
  <si>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</si>
  <si>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</si>
  <si>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</si>
  <si>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</si>
  <si>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</si>
  <si>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</si>
  <si>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</si>
  <si>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</si>
  <si>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</si>
  <si>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</si>
  <si>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</si>
  <si>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</si>
  <si>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</si>
  <si>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</si>
  <si>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</si>
  <si>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</si>
  <si>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</si>
  <si>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</si>
  <si>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</si>
  <si>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</si>
  <si>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</si>
  <si>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</si>
  <si>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</si>
  <si>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</si>
  <si>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</si>
  <si>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</si>
  <si>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</si>
  <si>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</si>
  <si>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</si>
  <si>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</si>
  <si>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</si>
  <si>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</si>
  <si>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</si>
  <si>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</si>
  <si>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</si>
  <si>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</si>
  <si>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</si>
  <si>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</si>
  <si>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</si>
  <si>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</si>
  <si>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</si>
  <si>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</si>
  <si>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</si>
  <si>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</si>
  <si>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</si>
  <si>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</si>
  <si>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</si>
  <si>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</si>
  <si>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</si>
  <si>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</si>
  <si>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</si>
  <si>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</si>
  <si>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</si>
  <si>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</si>
  <si>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</si>
  <si>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</si>
  <si>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</si>
  <si>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</si>
  <si>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</si>
  <si>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</si>
  <si>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</si>
  <si>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</si>
  <si>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</si>
  <si>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</si>
  <si>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</si>
  <si>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</si>
  <si>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</si>
  <si>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</si>
  <si>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</si>
  <si>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</si>
  <si>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</si>
  <si>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</si>
  <si>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</si>
  <si>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</si>
  <si>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</si>
  <si>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</si>
  <si>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</si>
  <si>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</si>
  <si>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</si>
  <si>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</si>
  <si>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</si>
  <si>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</si>
  <si>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</si>
  <si>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</si>
  <si>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</si>
  <si>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</si>
  <si>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</si>
  <si>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</si>
  <si>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</si>
  <si>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</si>
  <si>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</si>
  <si>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</si>
  <si>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</si>
  <si>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</si>
  <si>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</si>
  <si>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</si>
  <si>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</si>
  <si>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</si>
  <si>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</si>
  <si>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</si>
  <si>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</si>
  <si>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</si>
  <si>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</si>
  <si>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</si>
  <si>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</si>
  <si>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</si>
  <si>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</si>
  <si>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</si>
  <si>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</si>
  <si>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</si>
  <si>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</si>
  <si>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</si>
  <si>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</si>
  <si>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</si>
  <si>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</si>
  <si>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</si>
  <si>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</si>
  <si>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</si>
  <si>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</si>
  <si>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</si>
  <si>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</si>
  <si>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</si>
  <si>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</si>
  <si>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</si>
  <si>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</si>
  <si>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</si>
  <si>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</si>
  <si>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</si>
  <si>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</si>
  <si>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</si>
  <si>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</si>
  <si>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</si>
  <si>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</si>
  <si>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</si>
  <si>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</si>
  <si>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</si>
  <si>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</si>
  <si>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</si>
  <si>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</si>
  <si>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</si>
  <si>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</si>
  <si>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</si>
  <si>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</si>
  <si>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</si>
  <si>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</si>
  <si>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</si>
  <si>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</si>
  <si>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</si>
  <si>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</si>
  <si>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</si>
  <si>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</si>
  <si>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</si>
  <si>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</si>
  <si>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</si>
  <si>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</si>
  <si>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</si>
  <si>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</si>
  <si>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</si>
  <si>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</si>
  <si>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</si>
  <si>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</si>
  <si>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</si>
  <si>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</si>
  <si>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</si>
  <si>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</si>
  <si>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</si>
  <si>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</si>
  <si>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</si>
  <si>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</si>
  <si>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</si>
  <si>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</si>
  <si>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</si>
  <si>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</si>
  <si>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</si>
  <si>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</si>
  <si>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</si>
  <si>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</si>
  <si>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</si>
  <si>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</si>
  <si>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</si>
  <si>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</si>
  <si>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</si>
  <si>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</si>
  <si>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</si>
  <si>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</si>
  <si>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</si>
  <si>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</si>
  <si>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</si>
  <si>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</si>
  <si>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</si>
  <si>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</si>
  <si>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</si>
  <si>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</si>
  <si>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</si>
  <si>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</si>
  <si>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</si>
  <si>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</si>
  <si>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</si>
  <si>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</si>
  <si>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</si>
  <si>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</si>
  <si>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</si>
  <si>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</si>
  <si>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</si>
  <si>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</si>
  <si>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</si>
  <si>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</si>
  <si>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</si>
  <si>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</si>
  <si>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</si>
  <si>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</si>
  <si>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</si>
  <si>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</si>
  <si>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</si>
  <si>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</si>
  <si>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</si>
  <si>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</si>
  <si>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</si>
  <si>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</si>
  <si>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</si>
  <si>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</si>
  <si>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</si>
  <si>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</si>
  <si>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</si>
  <si>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</si>
  <si>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</si>
  <si>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</si>
  <si>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</si>
  <si>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</si>
  <si>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</si>
  <si>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</si>
  <si>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</si>
  <si>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</si>
  <si>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</si>
  <si>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</si>
  <si>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</si>
  <si>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</si>
  <si>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</si>
  <si>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</si>
  <si>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</si>
  <si>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</si>
  <si>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</si>
  <si>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</si>
  <si>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</si>
  <si>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</si>
  <si>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</si>
  <si>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</si>
  <si>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</si>
  <si>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</si>
  <si>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</si>
  <si>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</si>
  <si>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</si>
  <si>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</si>
  <si>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</si>
  <si>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</si>
  <si>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</si>
  <si>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</si>
  <si>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</si>
  <si>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</si>
  <si>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</si>
  <si>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</si>
  <si>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</si>
  <si>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</si>
  <si>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</si>
  <si>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</si>
  <si>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</si>
  <si>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</si>
  <si>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</si>
  <si>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</si>
  <si>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</si>
  <si>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</si>
  <si>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</si>
  <si>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</si>
  <si>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</si>
  <si>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</si>
  <si>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</si>
  <si>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</si>
  <si>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</si>
  <si>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</si>
  <si>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</si>
  <si>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</si>
  <si>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</si>
  <si>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</si>
  <si>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</si>
  <si>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</si>
  <si>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</si>
  <si>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</si>
  <si>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</si>
  <si>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</si>
  <si>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</si>
  <si>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</si>
  <si>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</si>
  <si>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</si>
  <si>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</si>
  <si>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</si>
  <si>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</si>
  <si>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</si>
  <si>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</si>
  <si>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</si>
  <si>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</si>
  <si>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</si>
  <si>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</si>
  <si>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</si>
  <si>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</si>
  <si>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</si>
  <si>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</si>
  <si>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</si>
  <si>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</si>
  <si>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</si>
  <si>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</si>
  <si>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</si>
  <si>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</si>
  <si>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</si>
  <si>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</si>
  <si>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</si>
  <si>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</si>
  <si>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</si>
  <si>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</si>
  <si>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</si>
  <si>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</si>
  <si>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</si>
  <si>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</si>
  <si>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</si>
  <si>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</si>
  <si>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</si>
  <si>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</si>
  <si>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</si>
  <si>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</si>
  <si>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</si>
  <si>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</si>
  <si>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</si>
  <si>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</si>
  <si>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</si>
  <si>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</si>
  <si>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</si>
  <si>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</si>
  <si>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</si>
  <si>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</si>
  <si>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</si>
  <si>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</si>
  <si>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</si>
  <si>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</si>
  <si>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</si>
  <si>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</si>
  <si>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</si>
  <si>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</si>
  <si>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</si>
  <si>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</si>
  <si>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</si>
  <si>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</si>
  <si>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</si>
  <si>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</si>
  <si>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</si>
  <si>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</si>
  <si>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</si>
  <si>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</si>
  <si>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</si>
  <si>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</si>
  <si>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</si>
  <si>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</si>
  <si>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</si>
  <si>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</si>
  <si>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</si>
  <si>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</si>
  <si>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</si>
  <si>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</si>
  <si>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</si>
  <si>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</si>
  <si>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</si>
  <si>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</si>
  <si>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</si>
  <si>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</si>
  <si>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</si>
  <si>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</si>
  <si>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</si>
  <si>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</si>
  <si>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</si>
  <si>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</si>
  <si>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</si>
  <si>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</si>
  <si>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</si>
  <si>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</si>
  <si>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</si>
  <si>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</si>
  <si>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</si>
  <si>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</si>
  <si>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</si>
  <si>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</si>
  <si>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</si>
  <si>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</si>
  <si>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</si>
  <si>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</si>
  <si>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</si>
  <si>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</si>
  <si>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</si>
  <si>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</si>
  <si>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</si>
  <si>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</si>
  <si>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</si>
  <si>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</si>
  <si>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</si>
  <si>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</si>
  <si>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</si>
  <si>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</si>
  <si>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</si>
  <si>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</si>
  <si>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</si>
  <si>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</si>
  <si>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</si>
  <si>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</si>
  <si>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</si>
  <si>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</si>
  <si>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</si>
  <si>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</si>
  <si>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</si>
  <si>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</si>
  <si>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</si>
  <si>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</si>
  <si>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</si>
  <si>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</si>
  <si>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</si>
  <si>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</si>
  <si>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</si>
  <si>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</si>
  <si>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</si>
  <si>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</si>
  <si>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</si>
  <si>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</si>
  <si>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</si>
  <si>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</si>
  <si>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</si>
  <si>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</si>
  <si>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</si>
  <si>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</si>
  <si>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</si>
  <si>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</si>
  <si>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</si>
  <si>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</si>
  <si>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</si>
  <si>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</si>
  <si>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</si>
  <si>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</si>
  <si>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</si>
  <si>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</si>
  <si>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</si>
  <si>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</si>
  <si>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</si>
  <si>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</si>
  <si>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</si>
  <si>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</si>
  <si>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</si>
  <si>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</si>
  <si>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</si>
  <si>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</si>
  <si>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</si>
  <si>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</si>
  <si>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</si>
  <si>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</si>
  <si>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</si>
  <si>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</si>
  <si>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</si>
  <si>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</si>
  <si>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</si>
  <si>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</si>
  <si>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</si>
  <si>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</si>
  <si>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</si>
  <si>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</si>
  <si>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</si>
  <si>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</si>
  <si>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</si>
  <si>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</si>
  <si>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</si>
  <si>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</si>
  <si>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</si>
  <si>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</si>
  <si>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</si>
  <si>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</si>
  <si>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</si>
  <si>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</si>
  <si>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</si>
  <si>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</si>
  <si>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</si>
  <si>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</si>
  <si>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</si>
  <si>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</si>
  <si>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</si>
  <si>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</si>
  <si>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</si>
  <si>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</si>
  <si>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</si>
  <si>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</si>
  <si>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</si>
  <si>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</si>
  <si>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</si>
  <si>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</si>
  <si>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</si>
  <si>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</si>
  <si>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</si>
  <si>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</si>
  <si>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</si>
  <si>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</si>
  <si>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</si>
  <si>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</si>
  <si>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</si>
  <si>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</si>
  <si>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</si>
  <si>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</si>
  <si>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</si>
  <si>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</si>
  <si>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</si>
  <si>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</si>
  <si>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</si>
  <si>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</si>
  <si>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</si>
  <si>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</si>
  <si>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</si>
  <si>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</si>
  <si>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</si>
  <si>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</si>
  <si>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</si>
  <si>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</si>
  <si>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</si>
  <si>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</si>
  <si>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</si>
  <si>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</si>
  <si>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</si>
  <si>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</si>
  <si>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</si>
  <si>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</si>
  <si>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</si>
  <si>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</si>
  <si>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</si>
  <si>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</si>
  <si>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</si>
  <si>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</si>
  <si>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</si>
  <si>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</si>
  <si>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</si>
  <si>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</si>
  <si>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</si>
  <si>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</si>
  <si>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</si>
  <si>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</si>
  <si>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</si>
  <si>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</si>
  <si>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</si>
  <si>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</si>
  <si>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</si>
  <si>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</si>
  <si>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</si>
  <si>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</si>
  <si>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</si>
  <si>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</si>
  <si>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</si>
  <si>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</si>
  <si>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</si>
  <si>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</si>
  <si>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</si>
  <si>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</si>
  <si>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</si>
  <si>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</si>
  <si>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</si>
  <si>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</si>
  <si>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</si>
  <si>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</si>
  <si>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</si>
  <si>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</si>
  <si>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</si>
  <si>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</si>
  <si>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</si>
  <si>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</si>
  <si>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</si>
  <si>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</si>
  <si>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</si>
  <si>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</si>
  <si>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</si>
  <si>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</si>
  <si>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</si>
  <si>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</si>
  <si>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</si>
  <si>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</si>
  <si>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</si>
  <si>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</si>
  <si>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</si>
  <si>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</si>
  <si>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</si>
  <si>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</si>
  <si>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</si>
  <si>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</si>
  <si>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</si>
  <si>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</si>
  <si>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</si>
  <si>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</si>
  <si>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</si>
  <si>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</si>
  <si>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</si>
  <si>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</si>
  <si>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</si>
  <si>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</si>
  <si>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</si>
  <si>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</si>
  <si>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</si>
  <si>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</si>
  <si>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</si>
  <si>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</si>
  <si>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</si>
  <si>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</si>
  <si>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</si>
  <si>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</si>
  <si>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</si>
  <si>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</si>
  <si>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</si>
  <si>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</si>
  <si>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</si>
  <si>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</si>
  <si>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</si>
  <si>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</si>
  <si>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</si>
  <si>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</si>
  <si>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</si>
  <si>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</si>
  <si>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</si>
  <si>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</si>
  <si>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</si>
  <si>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</si>
  <si>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</si>
  <si>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</si>
  <si>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</si>
  <si>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</si>
  <si>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</si>
  <si>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</si>
  <si>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</si>
  <si>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</si>
  <si>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</si>
  <si>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</si>
  <si>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</si>
  <si>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</si>
  <si>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</si>
  <si>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</si>
  <si>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</si>
  <si>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</si>
  <si>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</si>
  <si>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</si>
  <si>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</si>
  <si>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</si>
  <si>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</si>
  <si>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</si>
  <si>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</si>
  <si>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</si>
  <si>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</si>
  <si>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</si>
  <si>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</si>
  <si>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</si>
  <si>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</si>
  <si>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</si>
  <si>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</si>
  <si>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</si>
  <si>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</si>
  <si>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</si>
  <si>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</si>
  <si>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</si>
  <si>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</si>
  <si>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</si>
  <si>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</si>
  <si>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</si>
  <si>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</si>
  <si>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</si>
  <si>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</si>
  <si>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</si>
  <si>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</si>
  <si>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</si>
  <si>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</si>
  <si>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</si>
  <si>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</si>
  <si>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</si>
  <si>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</si>
  <si>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</si>
  <si>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</si>
  <si>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</si>
  <si>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</si>
  <si>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</si>
  <si>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</si>
  <si>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</si>
  <si>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</si>
  <si>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</si>
  <si>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</si>
  <si>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</si>
  <si>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</si>
  <si>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</si>
  <si>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</si>
  <si>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</si>
  <si>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</si>
  <si>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</si>
  <si>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</si>
  <si>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</si>
  <si>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</si>
  <si>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</si>
  <si>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</si>
  <si>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</si>
  <si>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</si>
  <si>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</si>
  <si>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</si>
  <si>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</si>
  <si>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</si>
  <si>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</si>
  <si>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</si>
  <si>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</si>
  <si>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</si>
  <si>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</si>
  <si>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</si>
  <si>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</si>
  <si>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</si>
  <si>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</si>
  <si>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</si>
  <si>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</si>
  <si>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</si>
  <si>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</si>
  <si>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</si>
  <si>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</si>
  <si>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</si>
  <si>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</si>
  <si>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</si>
  <si>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</si>
  <si>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</si>
  <si>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</si>
  <si>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</si>
  <si>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</si>
  <si>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</si>
  <si>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</si>
  <si>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</si>
  <si>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</si>
  <si>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</si>
  <si>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</si>
  <si>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</si>
  <si>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</si>
  <si>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</si>
  <si>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</si>
  <si>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</si>
  <si>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</si>
  <si>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</si>
  <si>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</si>
  <si>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</si>
  <si>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</si>
  <si>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</si>
  <si>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</si>
  <si>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</si>
  <si>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</si>
  <si>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</si>
  <si>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</si>
  <si>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</si>
  <si>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</si>
  <si>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</si>
  <si>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</si>
  <si>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</si>
  <si>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</si>
  <si>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</si>
  <si>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</si>
  <si>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</si>
  <si>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</si>
  <si>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</si>
  <si>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</si>
  <si>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</si>
  <si>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</si>
  <si>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</si>
  <si>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</si>
  <si>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</si>
  <si>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</si>
  <si>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</si>
  <si>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</si>
  <si>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</si>
  <si>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</si>
  <si>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</si>
  <si>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</si>
  <si>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</si>
  <si>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</si>
  <si>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</si>
  <si>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</si>
  <si>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</si>
  <si>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</si>
  <si>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</si>
  <si>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</si>
  <si>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</si>
  <si>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</si>
  <si>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</si>
  <si>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</si>
  <si>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</si>
  <si>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</si>
  <si>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</si>
  <si>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</si>
  <si>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</si>
  <si>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</si>
  <si>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</si>
  <si>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</si>
  <si>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</si>
  <si>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</si>
  <si>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</si>
  <si>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</si>
  <si>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</si>
  <si>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</si>
  <si>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</si>
  <si>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</si>
  <si>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</si>
  <si>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</si>
  <si>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</si>
  <si>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</si>
  <si>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</si>
  <si>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</si>
  <si>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</si>
  <si>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</si>
  <si>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</si>
  <si>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</si>
  <si>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</si>
  <si>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</si>
  <si>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</si>
  <si>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</si>
  <si>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</si>
  <si>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</si>
  <si>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</si>
  <si>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</si>
  <si>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</si>
  <si>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</si>
  <si>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</si>
  <si>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</si>
  <si>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</si>
  <si>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</si>
  <si>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</si>
  <si>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</si>
  <si>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</si>
  <si>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</si>
  <si>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</si>
  <si>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</si>
  <si>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</si>
  <si>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</si>
  <si>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</si>
  <si>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</si>
  <si>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</si>
  <si>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</si>
  <si>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</si>
  <si>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</si>
  <si>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</si>
  <si>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</si>
  <si>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</si>
  <si>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</si>
  <si>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</si>
  <si>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</si>
  <si>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</si>
  <si>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</si>
  <si>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</si>
  <si>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</si>
  <si>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</si>
  <si>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</si>
  <si>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</si>
  <si>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</si>
  <si>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</si>
  <si>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</si>
  <si>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</si>
  <si>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</si>
  <si>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</si>
  <si>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</si>
  <si>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</si>
  <si>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</si>
  <si>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</si>
  <si>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</si>
  <si>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</si>
  <si>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</si>
  <si>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</si>
  <si>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</si>
  <si>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</si>
  <si>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</si>
  <si>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</si>
  <si>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</si>
  <si>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</si>
  <si>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</si>
  <si>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</si>
  <si>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</si>
  <si>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</si>
  <si>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</si>
  <si>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</si>
  <si>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</si>
  <si>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</si>
  <si>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</si>
  <si>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</si>
  <si>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</si>
  <si>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</si>
  <si>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</si>
  <si>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</si>
  <si>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</si>
  <si>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</si>
  <si>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</si>
  <si>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</si>
  <si>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</si>
  <si>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</si>
  <si>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</si>
  <si>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</si>
  <si>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</si>
  <si>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</si>
  <si>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</si>
  <si>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</si>
  <si>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</si>
  <si>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</si>
  <si>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</si>
  <si>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</si>
  <si>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</si>
  <si>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</si>
  <si>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</si>
  <si>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</si>
  <si>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</si>
  <si>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</si>
  <si>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</si>
  <si>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</si>
  <si>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</si>
  <si>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</si>
  <si>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</si>
  <si>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</si>
  <si>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</si>
  <si>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</si>
  <si>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</si>
  <si>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</si>
  <si>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</si>
  <si>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</si>
  <si>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</si>
  <si>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</si>
  <si>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</si>
  <si>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</si>
  <si>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</si>
  <si>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</si>
  <si>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</si>
  <si>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</si>
  <si>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</si>
  <si>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</si>
  <si>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</si>
  <si>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</si>
  <si>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</si>
  <si>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</si>
  <si>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</si>
  <si>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</si>
  <si>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</si>
  <si>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</si>
  <si>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</si>
  <si>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</si>
  <si>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</si>
  <si>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</si>
  <si>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</si>
  <si>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</si>
  <si>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</si>
  <si>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</si>
  <si>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</si>
  <si>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</si>
  <si>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</si>
  <si>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</si>
  <si>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</si>
  <si>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</si>
  <si>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</si>
  <si>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</si>
  <si>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</si>
  <si>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</si>
  <si>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</si>
  <si>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</si>
  <si>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</si>
  <si>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</si>
  <si>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</si>
  <si>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</si>
  <si>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</si>
  <si>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</si>
  <si>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</si>
  <si>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</si>
  <si>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</si>
  <si>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</si>
  <si>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</si>
  <si>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</si>
  <si>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</si>
  <si>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</si>
  <si>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</si>
  <si>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</si>
  <si>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</si>
  <si>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</si>
  <si>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</si>
  <si>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</si>
  <si>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</si>
  <si>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</si>
  <si>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</si>
  <si>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</si>
  <si>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</si>
  <si>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</si>
  <si>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</si>
  <si>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</si>
  <si>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</si>
  <si>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</si>
  <si>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</si>
  <si>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</si>
  <si>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</si>
  <si>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</si>
  <si>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</si>
  <si>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</si>
  <si>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</si>
  <si>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</si>
  <si>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</si>
  <si>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</si>
  <si>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</si>
  <si>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</si>
  <si>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</si>
  <si>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</si>
  <si>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</si>
  <si>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</si>
  <si>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</si>
  <si>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</si>
  <si>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</si>
  <si>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</si>
  <si>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</si>
  <si>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</si>
  <si>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</si>
  <si>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</si>
  <si>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</si>
  <si>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</si>
  <si>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</si>
  <si>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</si>
  <si>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</si>
  <si>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</si>
  <si>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</si>
  <si>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</si>
  <si>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</si>
  <si>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</si>
  <si>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</si>
  <si>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</si>
  <si>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</si>
  <si>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</si>
  <si>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</si>
  <si>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</si>
  <si>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</si>
  <si>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</si>
  <si>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</si>
  <si>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</si>
  <si>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</si>
  <si>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</si>
  <si>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</si>
  <si>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</si>
  <si>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</si>
  <si>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</si>
  <si>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</si>
  <si>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</si>
  <si>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</si>
  <si>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</si>
  <si>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</si>
  <si>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</si>
  <si>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</si>
  <si>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</si>
  <si>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</si>
  <si>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</si>
  <si>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</si>
  <si>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</si>
  <si>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</si>
  <si>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</si>
  <si>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</si>
  <si>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</si>
  <si>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</si>
  <si>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</si>
  <si>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</si>
  <si>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</si>
  <si>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</si>
  <si>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</si>
  <si>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</si>
  <si>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</si>
  <si>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</si>
  <si>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</si>
  <si>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</si>
  <si>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</si>
  <si>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</si>
  <si>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</si>
  <si>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</si>
  <si>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</si>
  <si>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</si>
  <si>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</si>
  <si>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</si>
  <si>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</si>
  <si>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</si>
  <si>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</si>
  <si>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</si>
  <si>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</si>
  <si>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</si>
  <si>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</si>
  <si>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</si>
  <si>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</si>
  <si>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</si>
  <si>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</si>
  <si>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</si>
  <si>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</si>
  <si>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</si>
  <si>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</si>
  <si>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</si>
  <si>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</si>
  <si>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</si>
  <si>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</si>
  <si>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</si>
  <si>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</si>
  <si>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</si>
  <si>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</si>
  <si>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</si>
  <si>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</si>
  <si>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</si>
  <si>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</si>
  <si>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</si>
  <si>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</si>
  <si>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</si>
  <si>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</si>
  <si>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</si>
  <si>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</si>
  <si>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</si>
  <si>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</si>
  <si>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</si>
  <si>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</si>
  <si>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</si>
  <si>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</si>
  <si>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</si>
  <si>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</si>
  <si>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</si>
  <si>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</si>
  <si>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</si>
  <si>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</si>
  <si>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</si>
  <si>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</si>
  <si>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</si>
  <si>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</si>
  <si>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</si>
  <si>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</si>
  <si>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</si>
  <si>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</si>
  <si>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</si>
  <si>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</si>
  <si>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</si>
  <si>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</si>
  <si>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</si>
  <si>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</si>
  <si>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</si>
  <si>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</si>
  <si>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</si>
  <si>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</si>
  <si>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</si>
  <si>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</si>
  <si>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</si>
  <si>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</si>
  <si>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</si>
  <si>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</si>
  <si>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</si>
  <si>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</si>
  <si>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</si>
  <si>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</si>
  <si>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</si>
  <si>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</si>
  <si>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</si>
  <si>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</si>
  <si>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</si>
  <si>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</si>
  <si>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</si>
  <si>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</si>
  <si>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</si>
  <si>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</si>
  <si>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</si>
  <si>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</si>
  <si>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</si>
  <si>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</si>
  <si>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</si>
  <si>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</si>
  <si>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</si>
  <si>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</si>
  <si>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</si>
  <si>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</si>
  <si>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</si>
  <si>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</si>
  <si>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</si>
  <si>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</si>
  <si>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</si>
  <si>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</si>
  <si>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</si>
  <si>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</si>
  <si>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</si>
  <si>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</si>
  <si>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</si>
  <si>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</si>
  <si>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</si>
  <si>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</si>
  <si>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</si>
  <si>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</si>
  <si>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</si>
  <si>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</si>
  <si>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</si>
  <si>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</si>
  <si>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</si>
  <si>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</si>
  <si>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</si>
  <si>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</si>
  <si>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</si>
  <si>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</si>
  <si>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</si>
  <si>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</si>
  <si>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</si>
  <si>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</si>
  <si>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</si>
  <si>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</si>
  <si>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</si>
  <si>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</si>
  <si>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</si>
  <si>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</si>
  <si>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</si>
  <si>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</si>
  <si>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</si>
  <si>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</si>
  <si>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</si>
  <si>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</si>
  <si>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</si>
  <si>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</si>
  <si>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</si>
  <si>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</si>
  <si>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</si>
  <si>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</si>
  <si>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</si>
  <si>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</si>
  <si>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</si>
  <si>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</si>
  <si>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</si>
  <si>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</si>
  <si>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</si>
  <si>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</si>
  <si>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</si>
  <si>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</si>
  <si>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</si>
  <si>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</si>
  <si>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</si>
  <si>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</si>
  <si>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</si>
  <si>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</si>
  <si>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</si>
  <si>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</si>
  <si>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</si>
  <si>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</si>
  <si>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</si>
  <si>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</si>
  <si>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</si>
  <si>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</si>
  <si>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</si>
  <si>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</si>
  <si>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</si>
  <si>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</si>
  <si>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</si>
  <si>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</si>
  <si>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</si>
  <si>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</si>
  <si>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</si>
  <si>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</si>
  <si>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</si>
  <si>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</si>
  <si>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</si>
  <si>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</si>
  <si>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</si>
  <si>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</si>
  <si>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</si>
  <si>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</si>
  <si>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</si>
  <si>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</si>
  <si>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</si>
  <si>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</si>
  <si>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</si>
  <si>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</si>
  <si>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</si>
  <si>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</si>
  <si>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</si>
  <si>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</si>
  <si>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</si>
  <si>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</si>
  <si>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</si>
  <si>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</si>
  <si>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</si>
  <si>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</si>
  <si>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</si>
  <si>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</si>
  <si>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</si>
  <si>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</si>
  <si>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</si>
  <si>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</si>
  <si>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</si>
  <si>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</si>
  <si>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</si>
  <si>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</si>
  <si>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</si>
  <si>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</si>
  <si>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</si>
  <si>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</si>
  <si>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</si>
  <si>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</si>
  <si>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</si>
  <si>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</si>
  <si>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</si>
  <si>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</si>
  <si>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</si>
  <si>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</si>
  <si>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</si>
  <si>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</si>
  <si>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</si>
  <si>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</si>
  <si>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</si>
  <si>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</si>
  <si>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</si>
  <si>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</si>
  <si>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</si>
  <si>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</si>
  <si>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</si>
  <si>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</si>
  <si>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</si>
  <si>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</si>
  <si>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</si>
  <si>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</si>
  <si>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</si>
  <si>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</si>
  <si>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</si>
  <si>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</si>
  <si>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</si>
  <si>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</si>
  <si>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</si>
  <si>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</si>
  <si>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</si>
  <si>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</si>
  <si>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</si>
  <si>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</si>
  <si>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</si>
  <si>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</si>
  <si>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</si>
  <si>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</si>
  <si>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</si>
  <si>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</si>
  <si>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</si>
  <si>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</si>
  <si>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</si>
  <si>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</si>
  <si>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</si>
  <si>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</si>
  <si>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</si>
  <si>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</si>
  <si>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</si>
  <si>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</si>
  <si>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</si>
  <si>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</si>
  <si>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</si>
  <si>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</si>
  <si>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</si>
  <si>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</si>
  <si>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</si>
  <si>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</si>
  <si>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</si>
  <si>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</si>
  <si>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</si>
  <si>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</si>
  <si>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</si>
  <si>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</si>
  <si>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</si>
  <si>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</si>
  <si>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</si>
  <si>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</si>
  <si>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</si>
  <si>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</si>
  <si>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</si>
  <si>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</si>
  <si>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</si>
  <si>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</si>
  <si>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</si>
  <si>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</si>
  <si>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</si>
  <si>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</si>
  <si>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</si>
  <si>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</si>
  <si>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</si>
  <si>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</si>
  <si>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</si>
  <si>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</si>
  <si>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</si>
  <si>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</si>
  <si>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</si>
  <si>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</si>
  <si>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</si>
  <si>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</si>
  <si>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</si>
  <si>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</si>
  <si>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</si>
  <si>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</si>
  <si>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</si>
  <si>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</si>
  <si>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</si>
  <si>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</si>
  <si>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</si>
  <si>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</si>
  <si>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</si>
  <si>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</si>
  <si>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</si>
  <si>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</si>
  <si>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</si>
  <si>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</si>
  <si>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</si>
  <si>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</si>
  <si>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</si>
  <si>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</si>
  <si>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</si>
  <si>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</si>
  <si>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</si>
  <si>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</si>
  <si>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</si>
  <si>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</si>
  <si>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</si>
  <si>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</si>
  <si>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</si>
  <si>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</si>
  <si>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</si>
  <si>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</si>
  <si>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</si>
  <si>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</si>
  <si>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</si>
  <si>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</si>
  <si>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</si>
  <si>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</si>
  <si>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</si>
  <si>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</si>
  <si>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</si>
  <si>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</si>
  <si>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</si>
  <si>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</si>
  <si>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</si>
  <si>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</si>
  <si>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</si>
  <si>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</si>
  <si>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</si>
  <si>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</si>
  <si>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</si>
  <si>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</si>
  <si>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</si>
  <si>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</si>
  <si>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</si>
  <si>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</si>
  <si>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</si>
  <si>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</si>
  <si>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</si>
  <si>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</si>
  <si>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</si>
  <si>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</si>
  <si>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</si>
  <si>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</si>
  <si>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</si>
  <si>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</si>
  <si>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</si>
  <si>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</si>
  <si>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</si>
  <si>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</si>
  <si>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</si>
  <si>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</si>
  <si>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</si>
  <si>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</si>
  <si>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</si>
  <si>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</si>
  <si>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</si>
  <si>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</si>
  <si>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</si>
  <si>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</si>
  <si>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</si>
  <si>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</si>
  <si>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</si>
  <si>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</si>
  <si>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</si>
  <si>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</si>
  <si>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</si>
  <si>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</si>
  <si>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</si>
  <si>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</si>
  <si>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</si>
  <si>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</si>
  <si>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</si>
  <si>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</si>
  <si>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</si>
  <si>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</si>
  <si>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</si>
  <si>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</si>
  <si>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</si>
  <si>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</si>
  <si>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</si>
  <si>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</si>
  <si>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</si>
  <si>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</si>
  <si>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</si>
  <si>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</si>
  <si>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</si>
  <si>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</si>
  <si>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</si>
  <si>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</si>
  <si>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</si>
  <si>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</si>
  <si>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</si>
  <si>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</si>
  <si>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</si>
  <si>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</si>
  <si>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</si>
  <si>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</si>
  <si>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</si>
  <si>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</si>
  <si>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</si>
  <si>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</si>
  <si>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</si>
  <si>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</si>
  <si>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</si>
  <si>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</si>
  <si>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</si>
  <si>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</si>
  <si>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</si>
  <si>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</si>
  <si>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</si>
  <si>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</si>
  <si>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</si>
  <si>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</si>
  <si>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</si>
  <si>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</si>
  <si>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</si>
  <si>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</si>
  <si>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</si>
  <si>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</si>
  <si>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</si>
  <si>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</si>
  <si>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</si>
  <si>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</si>
  <si>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</si>
  <si>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</si>
  <si>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</si>
  <si>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</si>
  <si>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</si>
  <si>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</si>
  <si>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</si>
  <si>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</si>
  <si>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</si>
  <si>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</si>
  <si>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</si>
  <si>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</si>
  <si>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</si>
  <si>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</si>
  <si>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</si>
  <si>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通路</t>
  </si>
  <si>
    <t>通电</t>
  </si>
  <si>
    <t>通讯</t>
  </si>
  <si>
    <t>通上水</t>
  </si>
  <si>
    <t>通下水</t>
  </si>
  <si>
    <t>地价指数</t>
  </si>
  <si>
    <t>容积率修正</t>
  </si>
  <si>
    <t>较好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</si>
  <si>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</si>
  <si>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</si>
  <si>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</si>
  <si>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</si>
  <si>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</si>
  <si>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</si>
  <si>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</si>
  <si>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</si>
  <si>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</si>
  <si>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</si>
  <si>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</si>
  <si>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</si>
  <si>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</si>
  <si>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</si>
  <si>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</si>
  <si>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</si>
  <si>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</si>
  <si>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</si>
  <si>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</si>
  <si>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</si>
  <si>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</si>
  <si>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</si>
  <si>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</si>
  <si>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</si>
  <si>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</si>
  <si>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</si>
  <si>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</si>
  <si>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</si>
  <si>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</si>
  <si>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</si>
  <si>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</si>
  <si>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</si>
  <si>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</si>
  <si>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</si>
  <si>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</si>
  <si>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</si>
  <si>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</si>
  <si>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</si>
  <si>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</si>
  <si>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</si>
  <si>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</si>
  <si>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</si>
  <si>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</si>
  <si>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</si>
  <si>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</si>
  <si>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</si>
  <si>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</si>
  <si>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</si>
  <si>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</si>
  <si>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</si>
  <si>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</si>
  <si>
    <t>观察</t>
    <phoneticPr fontId="3" type="noConversion"/>
  </si>
  <si>
    <t>钢</t>
    <phoneticPr fontId="3" type="noConversion"/>
  </si>
  <si>
    <t>混合</t>
    <phoneticPr fontId="3" type="noConversion"/>
  </si>
  <si>
    <t>吴薇</t>
  </si>
  <si>
    <t>燃气</t>
  </si>
  <si>
    <t>与级别开发程度不一致</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</si>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</sst>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255" fillId="5" borderId="0" xfId="0" applyFont="1" applyFill="1" applyAlignment="1">
      <alignment horizontal="left" vertical="center"/>
    </xf>
    <xf numFmtId="0" fontId="255" fillId="19" borderId="0" xfId="0" applyFont="1" applyFill="1" applyAlignment="1">
      <alignment horizontal="left" vertical="center"/>
    </xf>
    <xf numFmtId="181" fontId="50" fillId="0" borderId="10"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1214</v>
      </c>
      <c r="B1" s="1582" t="s">
        <v>1293</v>
      </c>
    </row>
    <row r="2" spans="1:2" s="1587" customFormat="1" ht="16.2"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 ca="1">'预评函-封皮'!B46</f>
        <v>吴薇（注册号：1419970001)、（注册号：0)</v>
      </c>
    </row>
    <row r="5" spans="1:2" s="1584" customFormat="1" ht="16.2" thickBot="1">
      <c r="A5" s="1591" t="s">
        <v>1218</v>
      </c>
      <c r="B5" s="1592" t="str">
        <f>'预评函-封皮'!B49</f>
        <v>康正预评字号</v>
      </c>
    </row>
    <row r="6" spans="1:2" s="1587" customFormat="1" ht="16.2"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1227</v>
      </c>
      <c r="B18" s="1592" t="str">
        <f>'预评函-1'!A24</f>
        <v>本次评估采用的主估价方法为成本法和收益法。</v>
      </c>
    </row>
    <row r="19" spans="1:2" s="1587" customFormat="1" ht="16.2"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37886</v>
      </c>
    </row>
    <row r="21" spans="1:2" s="1590" customFormat="1">
      <c r="A21" s="1588" t="s">
        <v>1230</v>
      </c>
      <c r="B21" s="1589">
        <f ca="1">'预评函-2'!D7</f>
        <v>5656</v>
      </c>
    </row>
    <row r="22" spans="1:2" s="1590" customFormat="1">
      <c r="A22" s="1588" t="s">
        <v>1231</v>
      </c>
      <c r="B22" s="1589" t="str">
        <f ca="1">'预评函-2'!D6</f>
        <v>叁亿柒仟捌佰捌拾陆万元整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37886</v>
      </c>
    </row>
    <row r="31" spans="1:2" s="1590" customFormat="1">
      <c r="A31" s="1588" t="s">
        <v>1269</v>
      </c>
      <c r="B31" s="1589">
        <f ca="1">'预评函-2'!D15</f>
        <v>5656</v>
      </c>
    </row>
    <row r="32" spans="1:2" s="1590" customFormat="1">
      <c r="A32" s="1588" t="s">
        <v>1236</v>
      </c>
      <c r="B32" s="1589" t="str">
        <f ca="1">'预评函-2'!D14</f>
        <v>叁亿柒仟捌佰捌拾陆万元整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ht="31.2">
      <c r="A42" s="1588" t="s">
        <v>1283</v>
      </c>
      <c r="B42" s="1589" t="str">
        <f>'预评函-3'!B2</f>
        <v>建筑面积</v>
      </c>
    </row>
    <row r="43" spans="1:2" s="1590" customFormat="1">
      <c r="A43" s="1588" t="s">
        <v>1284</v>
      </c>
      <c r="B43" s="1589">
        <f>'预评函-3'!B4</f>
        <v>66988.94</v>
      </c>
    </row>
    <row r="44" spans="1:2" s="1590" customFormat="1" ht="31.2">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f ca="1">'预评函-3'!D4</f>
        <v>19814</v>
      </c>
    </row>
    <row r="48" spans="1:2" s="1590" customFormat="1">
      <c r="A48" s="1588" t="s">
        <v>1242</v>
      </c>
      <c r="B48" s="1589">
        <f ca="1">'预评函-3'!E4</f>
        <v>2958</v>
      </c>
    </row>
    <row r="49" spans="1:2" s="1590" customFormat="1">
      <c r="A49" s="1588" t="s">
        <v>1243</v>
      </c>
      <c r="B49" s="1589" t="str">
        <f ca="1">'预评函-3'!D5</f>
        <v>壹亿玖仟捌佰壹拾肆万元整</v>
      </c>
    </row>
    <row r="50" spans="1:2" s="1590" customFormat="1">
      <c r="A50" s="1588" t="s">
        <v>1267</v>
      </c>
      <c r="B50" s="1589" t="str">
        <f>'预评函-3'!F2</f>
        <v>建筑物价值</v>
      </c>
    </row>
    <row r="51" spans="1:2" s="1590" customFormat="1">
      <c r="A51" s="1588" t="s">
        <v>1244</v>
      </c>
      <c r="B51" s="1589">
        <f ca="1">'预评函-3'!F4</f>
        <v>18072</v>
      </c>
    </row>
    <row r="52" spans="1:2" s="1590" customFormat="1">
      <c r="A52" s="1588" t="s">
        <v>1245</v>
      </c>
      <c r="B52" s="1589">
        <f ca="1">'预评函-3'!G4</f>
        <v>2698</v>
      </c>
    </row>
    <row r="53" spans="1:2" s="1590" customFormat="1">
      <c r="A53" s="1588" t="s">
        <v>1273</v>
      </c>
      <c r="B53" s="1589" t="str">
        <f ca="1">'预评函-3'!F5</f>
        <v>壹亿捌仟零柒拾贰万元整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6.2" thickBot="1">
      <c r="A57" s="1591" t="s">
        <v>1292</v>
      </c>
      <c r="B57" s="1592" t="str">
        <f>'预评函-3'!A6</f>
        <v>估价师知悉的法定优先受偿款</v>
      </c>
    </row>
    <row r="58" spans="1:2" s="1587" customFormat="1" ht="16.2"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6.2" thickBot="1">
      <c r="A69" s="1591" t="s">
        <v>1254</v>
      </c>
      <c r="B69" s="1593">
        <f>'预评函-4'!C31</f>
        <v>42551</v>
      </c>
    </row>
    <row r="70" spans="1:2" ht="16.2" thickTop="1">
      <c r="A70" s="1594" t="s">
        <v>1255</v>
      </c>
      <c r="B70" s="1595" t="str">
        <f>'预评函-4'!A4</f>
        <v>吴薇</v>
      </c>
    </row>
    <row r="71" spans="1:2">
      <c r="A71" s="1588" t="s">
        <v>1256</v>
      </c>
      <c r="B71" s="1589">
        <f ca="1">'预评函-4'!B4</f>
        <v>1419970001</v>
      </c>
    </row>
    <row r="72" spans="1:2">
      <c r="A72" s="1588" t="s">
        <v>1257</v>
      </c>
      <c r="B72" s="1597">
        <f>'预评函-4'!A5</f>
        <v>0</v>
      </c>
    </row>
    <row r="73" spans="1:2" s="1584" customFormat="1" ht="16.2" thickBot="1">
      <c r="A73" s="1591" t="s">
        <v>1258</v>
      </c>
      <c r="B73" s="1592">
        <f>'预评函-4'!B5</f>
        <v>0</v>
      </c>
    </row>
    <row r="74" spans="1:2" ht="16.2"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4.4"/>
  <cols>
    <col min="1" max="1" width="13.44140625" style="2012" customWidth="1"/>
    <col min="2" max="2" width="23.21875" style="1963" customWidth="1"/>
    <col min="3" max="3" width="13" style="2007" customWidth="1"/>
    <col min="4" max="4" width="5.77734375" style="2004" customWidth="1"/>
    <col min="5" max="5" width="7.109375" style="2004" customWidth="1"/>
    <col min="6" max="6" width="10.6640625" style="2004" customWidth="1"/>
    <col min="7" max="7" width="7.44140625" style="2004" customWidth="1"/>
    <col min="8" max="8" width="9" style="2007" customWidth="1"/>
    <col min="9" max="9" width="11.6640625" style="2007" customWidth="1"/>
    <col min="10" max="10" width="9" style="2007" customWidth="1"/>
    <col min="11" max="19" width="9" style="2004" customWidth="1"/>
    <col min="20" max="23" width="9" style="2007" customWidth="1"/>
    <col min="24" max="24" width="21.109375" style="1963" customWidth="1"/>
    <col min="25" max="16384" width="9" style="1963"/>
  </cols>
  <sheetData>
    <row r="1" spans="1:23" s="2001" customFormat="1" ht="28.8">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3083</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24"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0" t="s">
        <v>860</v>
      </c>
      <c r="C54" s="2007" t="s">
        <v>1276</v>
      </c>
    </row>
    <row r="55" spans="1:4">
      <c r="A55" s="3024"/>
      <c r="B55" s="2010" t="s">
        <v>861</v>
      </c>
      <c r="C55" s="2007" t="s">
        <v>1277</v>
      </c>
    </row>
    <row r="56" spans="1:4">
      <c r="A56" s="3024"/>
      <c r="B56" s="2010" t="s">
        <v>862</v>
      </c>
      <c r="C56" s="2007" t="s">
        <v>1281</v>
      </c>
    </row>
    <row r="57" spans="1:4">
      <c r="A57" s="3024"/>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8671875" style="2020" customWidth="1"/>
    <col min="2" max="2" width="10" style="2020" customWidth="1"/>
    <col min="3" max="3" width="11.44140625" style="2020" customWidth="1"/>
    <col min="4" max="6" width="10" style="2020" customWidth="1"/>
    <col min="7" max="7" width="10.77734375" style="2020" customWidth="1"/>
    <col min="8" max="8" width="10" style="2020" customWidth="1"/>
    <col min="9" max="9" width="11.10937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t="s">
        <v>3148</v>
      </c>
      <c r="C4" s="1034">
        <f ca="1">SUMIF(注册房地产估价师,B4,估价师及机构信息!B3:B24)</f>
        <v>1419970001</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3058</v>
      </c>
      <c r="C8" s="2044"/>
      <c r="D8" s="3028" t="s">
        <v>1779</v>
      </c>
      <c r="E8" s="2045" t="s">
        <v>3059</v>
      </c>
      <c r="F8" s="2046"/>
      <c r="G8" s="2014"/>
      <c r="H8" s="2014"/>
      <c r="I8" s="2014"/>
      <c r="J8" s="2030"/>
      <c r="K8" s="2031"/>
      <c r="L8" s="2016"/>
      <c r="M8" s="2016"/>
      <c r="N8" s="2017"/>
      <c r="O8" s="2018"/>
      <c r="P8" s="2017"/>
      <c r="Q8" s="2017"/>
      <c r="R8" s="2017"/>
    </row>
    <row r="9" spans="1:19" ht="18" customHeight="1" thickBot="1">
      <c r="A9" s="2028" t="s">
        <v>1780</v>
      </c>
      <c r="B9" s="2047" t="s">
        <v>3059</v>
      </c>
      <c r="C9" s="2048"/>
      <c r="D9" s="3029"/>
      <c r="E9" s="2047"/>
      <c r="F9" s="2049"/>
      <c r="G9" s="2050"/>
      <c r="H9" s="2050"/>
      <c r="I9" s="2050"/>
      <c r="J9" s="2030"/>
      <c r="K9" s="2042"/>
      <c r="L9" s="2016"/>
      <c r="M9" s="2016"/>
      <c r="N9" s="2017"/>
      <c r="O9" s="2018"/>
      <c r="P9" s="2017"/>
      <c r="Q9" s="2017"/>
      <c r="R9" s="2017"/>
    </row>
    <row r="10" spans="1:19" ht="18" customHeight="1" thickTop="1">
      <c r="A10" s="2051" t="s">
        <v>1781</v>
      </c>
      <c r="B10" s="2052" t="s">
        <v>3060</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3061</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3062</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35"/>
      <c r="C16" s="3036"/>
      <c r="D16" s="3037"/>
      <c r="E16" s="2074" t="s">
        <v>1796</v>
      </c>
      <c r="F16" s="3038"/>
      <c r="G16" s="3039"/>
      <c r="H16" s="3039"/>
      <c r="I16" s="3040"/>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41" t="s">
        <v>1800</v>
      </c>
      <c r="F17" s="3042"/>
      <c r="G17" s="3042"/>
      <c r="H17" s="3042"/>
      <c r="I17" s="3043"/>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44" t="s">
        <v>1803</v>
      </c>
      <c r="F18" s="3045"/>
      <c r="G18" s="3045"/>
      <c r="H18" s="3045"/>
      <c r="I18" s="3046"/>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31" t="s">
        <v>1808</v>
      </c>
      <c r="C20" s="3032"/>
      <c r="D20" s="3033" t="s">
        <v>1809</v>
      </c>
      <c r="E20" s="3034"/>
      <c r="F20" s="2086" t="s">
        <v>1810</v>
      </c>
      <c r="G20" s="2030"/>
      <c r="H20" s="2030"/>
      <c r="I20" s="2030"/>
      <c r="J20" s="2030"/>
      <c r="K20" s="3030"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3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3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48"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48"/>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48"/>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49"/>
      <c r="B30" s="2023" t="s">
        <v>1827</v>
      </c>
      <c r="C30" s="3050"/>
      <c r="D30" s="3051"/>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52"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53"/>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53"/>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47" t="s">
        <v>1837</v>
      </c>
      <c r="T34" s="2123" t="str">
        <f>NUMBERSTRING(7-K34,1)&amp;"通"</f>
        <v>七通</v>
      </c>
      <c r="U34" s="2017"/>
      <c r="V34" s="2017"/>
    </row>
    <row r="35" spans="1:22" ht="18" customHeight="1">
      <c r="A35" s="2124"/>
      <c r="B35" s="3054" t="s">
        <v>1838</v>
      </c>
      <c r="C35" s="3054"/>
      <c r="D35" s="3054"/>
      <c r="E35" s="3054"/>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3084</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1874</v>
      </c>
      <c r="B5" s="1792"/>
      <c r="C5" s="1792"/>
      <c r="D5" s="1795"/>
      <c r="E5" s="16" t="s">
        <v>1</v>
      </c>
      <c r="F5" s="16">
        <f>SUM(F13:F587)</f>
        <v>0</v>
      </c>
      <c r="G5" s="16">
        <f>SUM(G13:G587)</f>
        <v>66988.94</v>
      </c>
      <c r="H5" s="16">
        <f t="shared" ref="H5:AT5" si="0">SUM(H13:H656)</f>
        <v>66988.94</v>
      </c>
      <c r="I5" s="16">
        <f t="shared" si="0"/>
        <v>62390.71</v>
      </c>
      <c r="J5" s="16">
        <f t="shared" si="0"/>
        <v>0</v>
      </c>
      <c r="K5" s="16">
        <f t="shared" si="0"/>
        <v>3236.8600000000006</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62390.71</v>
      </c>
      <c r="BC5" s="18">
        <f t="shared" si="1"/>
        <v>3236.8600000000006</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1875</v>
      </c>
      <c r="B6" s="2163"/>
      <c r="C6" s="2163"/>
      <c r="D6" s="2164"/>
      <c r="E6" s="16">
        <f>H6+AC6+AT6</f>
        <v>120628.8</v>
      </c>
      <c r="F6" s="16" t="s">
        <v>1</v>
      </c>
      <c r="G6" s="16" t="s">
        <v>2</v>
      </c>
      <c r="H6" s="20">
        <f>SUMIF(I$12:AB$12,"总值",I6:AB6)</f>
        <v>120628.8</v>
      </c>
      <c r="I6" s="16">
        <f t="shared" ref="I6:AB6" si="2">ROUND($A$3*I5/$B$3,2)</f>
        <v>112348.64</v>
      </c>
      <c r="J6" s="16">
        <f t="shared" si="2"/>
        <v>0</v>
      </c>
      <c r="K6" s="16">
        <f t="shared" si="2"/>
        <v>5828.7</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112348.64</v>
      </c>
      <c r="BC6" s="16">
        <f t="shared" ref="BC6:BH6" si="4">ROUND($AY$6*BC5/$AZ$5,2)</f>
        <v>5828.7</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3.2">
      <c r="A9" s="2171"/>
      <c r="B9" s="2171"/>
      <c r="C9" s="2171"/>
      <c r="D9" s="2171"/>
      <c r="E9" s="2171"/>
      <c r="F9" s="2171"/>
      <c r="G9" s="1289"/>
      <c r="H9" s="2179" t="s">
        <v>1894</v>
      </c>
      <c r="I9" s="2180" t="s">
        <v>3063</v>
      </c>
      <c r="J9" s="978"/>
      <c r="K9" s="2180" t="s">
        <v>3063</v>
      </c>
      <c r="L9" s="978"/>
      <c r="M9" s="2180" t="s">
        <v>3138</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3.2">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3.2">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3.2">
      <c r="A13" s="1269"/>
      <c r="B13" s="1269"/>
      <c r="C13" s="1269"/>
      <c r="D13" s="2202" t="s">
        <v>3064</v>
      </c>
      <c r="E13" s="16">
        <f>IF($C$3="是",ROUND($A$3*G13/$B$3,2),ROUND($A$3*(G13-AT13)/$B$3,2))</f>
        <v>120628.8</v>
      </c>
      <c r="F13" s="32"/>
      <c r="G13" s="33">
        <f>H13+AC13+AT13</f>
        <v>66988.94</v>
      </c>
      <c r="H13" s="20">
        <f>SUMIF(I$12:AB$12,"总值",I13:AB13)</f>
        <v>66988.94</v>
      </c>
      <c r="I13" s="2203">
        <f>面积表!G4+面积表!G5+面积表!G6+面积表!G10+面积表!G11+面积表!G12+面积表!G13+面积表!G14</f>
        <v>62390.71</v>
      </c>
      <c r="J13" s="2203"/>
      <c r="K13" s="2203">
        <f>面积表!G3+面积表!G7+面积表!G8+面积表!G9-面积表!H3</f>
        <v>3236.8600000000006</v>
      </c>
      <c r="L13" s="2203"/>
      <c r="M13" s="2203">
        <f>面积表!H3</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62390.71</v>
      </c>
      <c r="BC13" s="16">
        <f>IF($D13="是",K13-L13,0)</f>
        <v>3236.8600000000006</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46.8">
      <c r="A3" s="3055"/>
      <c r="B3" s="3055"/>
      <c r="C3" s="3055"/>
      <c r="D3" s="3056"/>
      <c r="E3" s="30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D21" sqref="D21"/>
    </sheetView>
  </sheetViews>
  <sheetFormatPr defaultColWidth="9" defaultRowHeight="16.2"/>
  <cols>
    <col min="1" max="6" width="9" style="2967"/>
    <col min="7" max="7" width="10.88671875" style="2967" customWidth="1"/>
    <col min="8" max="16384" width="9" style="2967"/>
  </cols>
  <sheetData>
    <row r="2" spans="4:11">
      <c r="D2" s="2968" t="s">
        <v>3070</v>
      </c>
      <c r="E2" s="2968" t="s">
        <v>3071</v>
      </c>
      <c r="F2" s="2968" t="s">
        <v>3072</v>
      </c>
      <c r="G2" s="2968" t="s">
        <v>3073</v>
      </c>
      <c r="H2" s="2967">
        <v>-1</v>
      </c>
      <c r="I2" s="2967" t="s">
        <v>3139</v>
      </c>
      <c r="J2" s="2967" t="s">
        <v>3140</v>
      </c>
      <c r="K2" s="2967" t="s">
        <v>3141</v>
      </c>
    </row>
    <row r="3" spans="4:11">
      <c r="D3" s="2967">
        <v>1</v>
      </c>
      <c r="E3" s="2967" t="s">
        <v>3078</v>
      </c>
      <c r="F3" s="2967" t="s">
        <v>3074</v>
      </c>
      <c r="G3" s="2977">
        <v>4084.11</v>
      </c>
      <c r="H3" s="2967">
        <f>ROUND(G3/3,2)</f>
        <v>1361.37</v>
      </c>
      <c r="I3" s="2967">
        <f>H3</f>
        <v>1361.37</v>
      </c>
      <c r="J3" s="2967">
        <f>H3</f>
        <v>1361.37</v>
      </c>
    </row>
    <row r="4" spans="4:11">
      <c r="D4" s="2967">
        <v>2</v>
      </c>
      <c r="E4" s="2967">
        <v>1</v>
      </c>
      <c r="F4" s="2967" t="s">
        <v>3074</v>
      </c>
      <c r="G4" s="2976">
        <v>12.2</v>
      </c>
      <c r="I4" s="2967">
        <f>G4</f>
        <v>12.2</v>
      </c>
    </row>
    <row r="5" spans="4:11">
      <c r="D5" s="2967">
        <v>3</v>
      </c>
      <c r="E5" s="2967">
        <v>1</v>
      </c>
      <c r="F5" s="2967" t="s">
        <v>3074</v>
      </c>
      <c r="G5" s="2976">
        <v>279.3</v>
      </c>
      <c r="I5" s="2967">
        <f>G5</f>
        <v>279.3</v>
      </c>
    </row>
    <row r="6" spans="4:11">
      <c r="D6" s="2967">
        <v>4</v>
      </c>
      <c r="E6" s="2967">
        <v>3</v>
      </c>
      <c r="F6" s="2967" t="s">
        <v>3076</v>
      </c>
      <c r="G6" s="2976">
        <v>30049.22</v>
      </c>
      <c r="I6" s="2967">
        <f>J6</f>
        <v>10016.4</v>
      </c>
      <c r="J6" s="2967">
        <v>10016.4</v>
      </c>
      <c r="K6" s="2967">
        <f>ROUND(G6/3,2)</f>
        <v>10016.41</v>
      </c>
    </row>
    <row r="7" spans="4:11">
      <c r="D7" s="2967">
        <v>5</v>
      </c>
      <c r="E7" s="2967">
        <v>1</v>
      </c>
      <c r="F7" s="2967" t="s">
        <v>3077</v>
      </c>
      <c r="G7" s="2977">
        <v>199.29</v>
      </c>
      <c r="I7" s="2967">
        <f>G7</f>
        <v>199.29</v>
      </c>
    </row>
    <row r="8" spans="4:11">
      <c r="D8" s="2967">
        <v>6</v>
      </c>
      <c r="E8" s="2967">
        <v>1</v>
      </c>
      <c r="F8" s="2967" t="s">
        <v>3077</v>
      </c>
      <c r="G8" s="2977">
        <v>64.44</v>
      </c>
      <c r="I8" s="2967">
        <f>G8</f>
        <v>64.44</v>
      </c>
    </row>
    <row r="9" spans="4:11">
      <c r="D9" s="2967">
        <v>7</v>
      </c>
      <c r="E9" s="2967">
        <v>1</v>
      </c>
      <c r="F9" s="2967" t="s">
        <v>3077</v>
      </c>
      <c r="G9" s="2977">
        <v>250.39</v>
      </c>
      <c r="I9" s="2967">
        <f>G9</f>
        <v>250.39</v>
      </c>
    </row>
    <row r="10" spans="4:11">
      <c r="D10" s="2967">
        <v>8</v>
      </c>
      <c r="E10" s="2967">
        <v>2</v>
      </c>
      <c r="F10" s="2967" t="s">
        <v>3074</v>
      </c>
      <c r="G10" s="2976">
        <v>4941.49</v>
      </c>
      <c r="I10" s="2967">
        <v>2470.7399999999998</v>
      </c>
      <c r="J10" s="2967">
        <f>ROUND(G10/2,2)</f>
        <v>2470.75</v>
      </c>
    </row>
    <row r="11" spans="4:11">
      <c r="D11" s="2967">
        <v>9</v>
      </c>
      <c r="E11" s="2967">
        <v>1</v>
      </c>
      <c r="F11" s="2967" t="s">
        <v>3074</v>
      </c>
      <c r="G11" s="2976">
        <v>510.64</v>
      </c>
      <c r="I11" s="2967">
        <f>G11</f>
        <v>510.64</v>
      </c>
    </row>
    <row r="12" spans="4:11">
      <c r="D12" s="2967">
        <v>10</v>
      </c>
      <c r="E12" s="2967">
        <v>1</v>
      </c>
      <c r="F12" s="2967" t="s">
        <v>3074</v>
      </c>
      <c r="G12" s="2976">
        <v>466.18</v>
      </c>
      <c r="I12" s="2967">
        <f>G12</f>
        <v>466.18</v>
      </c>
    </row>
    <row r="13" spans="4:11">
      <c r="D13" s="2967">
        <v>11</v>
      </c>
      <c r="E13" s="2967">
        <v>1</v>
      </c>
      <c r="F13" s="2967" t="s">
        <v>3074</v>
      </c>
      <c r="G13" s="2976">
        <v>126.07</v>
      </c>
      <c r="I13" s="2967">
        <f>G13</f>
        <v>126.07</v>
      </c>
    </row>
    <row r="14" spans="4:11">
      <c r="D14" s="2967">
        <v>12</v>
      </c>
      <c r="E14" s="2967">
        <v>1</v>
      </c>
      <c r="F14" s="2967" t="s">
        <v>3074</v>
      </c>
      <c r="G14" s="2976">
        <v>26005.61</v>
      </c>
      <c r="I14" s="2967">
        <f>G14</f>
        <v>26005.61</v>
      </c>
    </row>
    <row r="15" spans="4:11">
      <c r="G15" s="2967">
        <f>SUM(G3:G14)</f>
        <v>66988.94</v>
      </c>
      <c r="H15" s="2967">
        <f>H3</f>
        <v>1361.37</v>
      </c>
      <c r="I15" s="2967">
        <f>SUM(I3:I14)</f>
        <v>41762.630000000005</v>
      </c>
      <c r="J15" s="2967">
        <f>J6+J3+J10</f>
        <v>13848.52</v>
      </c>
      <c r="K15" s="2967">
        <f>K6</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1933</v>
      </c>
      <c r="B1" s="1389"/>
      <c r="C1" s="1389"/>
      <c r="D1" s="1389"/>
      <c r="E1" s="1389"/>
      <c r="F1" s="1389"/>
      <c r="G1" s="1389"/>
      <c r="H1" s="1389"/>
      <c r="I1" s="1389"/>
      <c r="J1" s="1389"/>
      <c r="K1" s="1389"/>
      <c r="L1" s="1389"/>
      <c r="M1" s="1389"/>
      <c r="N1" s="1389"/>
      <c r="O1" s="1389"/>
      <c r="P1" s="1389"/>
    </row>
    <row r="2" spans="1:16" ht="14.4">
      <c r="A2" s="3066" t="s">
        <v>1934</v>
      </c>
      <c r="B2" s="3066"/>
      <c r="C2" s="3066"/>
      <c r="D2" s="964" t="s">
        <v>1910</v>
      </c>
      <c r="E2" s="2216" t="s">
        <v>1911</v>
      </c>
      <c r="F2" s="1389"/>
      <c r="G2" s="2217"/>
      <c r="H2" s="2218"/>
      <c r="I2" s="2219" t="s">
        <v>1935</v>
      </c>
      <c r="J2" s="1389"/>
      <c r="K2" s="1389"/>
      <c r="L2" s="1389"/>
      <c r="M2" s="1389"/>
      <c r="N2" s="1424"/>
      <c r="O2" s="1389"/>
      <c r="P2" s="1389"/>
    </row>
    <row r="3" spans="1:16" ht="15" thickBot="1">
      <c r="A3" s="3067" t="s">
        <v>1908</v>
      </c>
      <c r="B3" s="3067"/>
      <c r="C3" s="3067"/>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4.4">
      <c r="A4" s="3068"/>
      <c r="B4" s="3069"/>
      <c r="C4" s="3070"/>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ht="14.4">
      <c r="A5" s="47" t="s">
        <v>1912</v>
      </c>
      <c r="B5" s="3071" t="s">
        <v>1913</v>
      </c>
      <c r="C5" s="3071"/>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71" t="s">
        <v>1914</v>
      </c>
      <c r="C6" s="3071"/>
      <c r="D6" s="48">
        <f>ROUND($D$3*E6/$E$3,2)</f>
        <v>120628.8</v>
      </c>
      <c r="E6" s="49">
        <f>E3-E5</f>
        <v>66988.94</v>
      </c>
      <c r="F6" s="1389"/>
      <c r="G6" s="2224" t="s">
        <v>1915</v>
      </c>
      <c r="H6" s="1396" t="s">
        <v>1916</v>
      </c>
      <c r="I6" s="936">
        <f>ROUND(F31/D31,2)</f>
        <v>0.54</v>
      </c>
      <c r="J6" s="1389"/>
      <c r="K6" s="1389"/>
      <c r="L6" s="1389"/>
      <c r="M6" s="1389"/>
      <c r="N6" s="1389"/>
      <c r="O6" s="1389"/>
      <c r="P6" s="1389"/>
    </row>
    <row r="7" spans="1:16" ht="14.4">
      <c r="A7" s="3063"/>
      <c r="B7" s="3064"/>
      <c r="C7" s="3065"/>
      <c r="D7" s="2220" t="s">
        <v>1910</v>
      </c>
      <c r="E7" s="2225" t="s">
        <v>1917</v>
      </c>
      <c r="F7" s="1389"/>
      <c r="G7" s="2217" t="s">
        <v>1918</v>
      </c>
      <c r="H7" s="64"/>
      <c r="I7" s="418"/>
      <c r="J7" s="1389"/>
      <c r="K7" s="1389"/>
      <c r="L7" s="1389"/>
      <c r="M7" s="1389"/>
      <c r="N7" s="1389"/>
      <c r="O7" s="1389"/>
      <c r="P7" s="1389"/>
    </row>
    <row r="8" spans="1:16" ht="14.4">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ht="14.4">
      <c r="A9" s="2227"/>
      <c r="B9" s="2228"/>
      <c r="C9" s="48" t="s">
        <v>1922</v>
      </c>
      <c r="D9" s="48">
        <f t="shared" si="0"/>
        <v>0</v>
      </c>
      <c r="E9" s="52">
        <v>0</v>
      </c>
      <c r="F9" s="1389"/>
      <c r="G9" s="2226"/>
      <c r="H9" s="2226"/>
      <c r="I9" s="1389"/>
      <c r="J9" s="1389"/>
      <c r="K9" s="1389"/>
      <c r="L9" s="1389"/>
      <c r="M9" s="1389"/>
      <c r="N9" s="1389"/>
      <c r="O9" s="1389"/>
      <c r="P9" s="1389"/>
    </row>
    <row r="10" spans="1:16" ht="14.4">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ht="14.4">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ht="14.4">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ht="14.4">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ht="14.4">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 thickBot="1">
      <c r="A16" s="2223"/>
      <c r="B16" s="2228"/>
      <c r="C16" s="50" t="s">
        <v>1926</v>
      </c>
      <c r="D16" s="50">
        <f>SUM(D8:D15)</f>
        <v>118177.34</v>
      </c>
      <c r="E16" s="53">
        <f>SUM(E8:E15)</f>
        <v>65627.570000000007</v>
      </c>
      <c r="F16" s="1389"/>
      <c r="G16" s="2226"/>
      <c r="H16" s="2229" t="s">
        <v>1938</v>
      </c>
      <c r="I16" s="2230"/>
      <c r="J16" s="1389"/>
      <c r="K16" s="3060" t="s">
        <v>1938</v>
      </c>
      <c r="L16" s="3061"/>
      <c r="M16" s="3061"/>
      <c r="N16" s="3061"/>
      <c r="O16" s="3061"/>
      <c r="P16" s="3062"/>
    </row>
    <row r="17" spans="1:19" ht="14.4">
      <c r="A17" s="2231" t="s">
        <v>1939</v>
      </c>
      <c r="B17" s="2232" t="s">
        <v>1940</v>
      </c>
      <c r="C17" s="2233" t="s">
        <v>1941</v>
      </c>
      <c r="D17" s="2234" t="s">
        <v>1929</v>
      </c>
      <c r="E17" s="2235" t="s">
        <v>1930</v>
      </c>
      <c r="F17" s="2236"/>
      <c r="G17" s="2237"/>
      <c r="H17" s="2238" t="s">
        <v>1942</v>
      </c>
      <c r="I17" s="2239" t="s">
        <v>1927</v>
      </c>
      <c r="J17" s="1389"/>
      <c r="K17" s="3057" t="s">
        <v>1943</v>
      </c>
      <c r="L17" s="3058"/>
      <c r="M17" s="3059"/>
      <c r="N17" s="3057" t="s">
        <v>1944</v>
      </c>
      <c r="O17" s="3058"/>
      <c r="P17" s="3059"/>
      <c r="R17" s="2217" t="s">
        <v>1945</v>
      </c>
      <c r="S17" s="64"/>
    </row>
    <row r="18" spans="1:19" ht="14.4">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ht="14.4">
      <c r="A19" s="2248"/>
      <c r="B19" s="50" t="s">
        <v>1928</v>
      </c>
      <c r="C19" s="2966" t="s">
        <v>3065</v>
      </c>
      <c r="D19" s="48">
        <f>ROUND($D$3*E19/$E$3,2)</f>
        <v>112348.64</v>
      </c>
      <c r="E19" s="56">
        <f t="shared" ref="E19:E26" si="1">SUM(F19:G19)</f>
        <v>62390.71</v>
      </c>
      <c r="F19" s="57">
        <f>'数据-基础表'!I13</f>
        <v>62390.71</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112348.64</v>
      </c>
      <c r="S19" s="1245">
        <f t="shared" si="5"/>
        <v>62390.71</v>
      </c>
    </row>
    <row r="20" spans="1:19" ht="14.4">
      <c r="A20" s="2252"/>
      <c r="B20" s="50" t="s">
        <v>1956</v>
      </c>
      <c r="C20" s="2249" t="s">
        <v>3079</v>
      </c>
      <c r="D20" s="48">
        <f t="shared" ref="D20:D26" si="6">ROUND($D$3*E20/$E$3,2)</f>
        <v>8280.16</v>
      </c>
      <c r="E20" s="56">
        <f t="shared" si="1"/>
        <v>4598.2300000000005</v>
      </c>
      <c r="F20" s="57">
        <f>'数据-基础表'!K13</f>
        <v>3236.8600000000006</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8280.16</v>
      </c>
      <c r="S20" s="1245">
        <f t="shared" si="5"/>
        <v>4598.2300000000005</v>
      </c>
    </row>
    <row r="21" spans="1:19" ht="14.4">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ht="14.4">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ht="14.4">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ht="14.4">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ht="14.4">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ht="14.4">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 thickBot="1">
      <c r="A27" s="2252"/>
      <c r="B27" s="48"/>
      <c r="C27" s="2255" t="s">
        <v>1957</v>
      </c>
      <c r="D27" s="1390">
        <f>SUM(D19:D26)</f>
        <v>120628.8</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120628.8</v>
      </c>
      <c r="S27" s="1244">
        <f>IF(SUM(S19:S26)=$E$3,SUM(S19:S26),SUM(S19:S26)&amp;"误差"&amp;ROUND(SUM(S19:S26)-E3,2))</f>
        <v>66988.94</v>
      </c>
    </row>
    <row r="28" spans="1:19" ht="14.4">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8"/>
      <c r="B31" s="2259"/>
      <c r="C31" s="1004" t="s">
        <v>1961</v>
      </c>
      <c r="D31" s="726">
        <f>D27+D30</f>
        <v>120628.8</v>
      </c>
      <c r="E31" s="726">
        <f>E27+E30</f>
        <v>66988.94</v>
      </c>
      <c r="F31" s="727">
        <f>F27+F30</f>
        <v>65627.570000000007</v>
      </c>
      <c r="G31" s="728">
        <f>G27+G30</f>
        <v>1361.37</v>
      </c>
      <c r="H31" s="1389"/>
      <c r="I31" s="1389"/>
      <c r="J31" s="1389"/>
      <c r="K31" s="1389"/>
      <c r="L31" s="1389"/>
      <c r="M31" s="1389"/>
      <c r="N31" s="1389"/>
      <c r="O31" s="1389"/>
      <c r="P31" s="1389"/>
    </row>
    <row r="32" spans="1:19" ht="14.4">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8" sqref="L38"/>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10"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4.4"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57.6">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3066</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3.8">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5.5E-2</v>
      </c>
      <c r="J6" s="74">
        <v>8.5000000000000006E-2</v>
      </c>
      <c r="K6" s="1248">
        <f>SUMIF('数据-汇总表'!C$19:C$33,A6,'数据-汇总表'!E$19:E$33)</f>
        <v>62390.71</v>
      </c>
      <c r="L6" s="2971">
        <v>2700</v>
      </c>
      <c r="M6" s="75">
        <f t="shared" ref="M6:M14" si="0">ROUND(K6*L6/10000,0)</f>
        <v>16845</v>
      </c>
      <c r="N6" s="798">
        <v>0.81</v>
      </c>
      <c r="O6" s="75" t="str">
        <f>IF($N$5="成新度","——",ROUND(M6*N6,0))</f>
        <v>——</v>
      </c>
      <c r="P6" s="76" t="str">
        <f>IF($N$5="成新度","——",M6-O6)</f>
        <v>——</v>
      </c>
      <c r="Q6" s="2972">
        <v>0.15</v>
      </c>
      <c r="R6" s="77">
        <f ca="1">SUMIF('数据-汇总表'!C$19:C$33,A6,'数据-汇总表'!R$19:R$27)</f>
        <v>112348.64</v>
      </c>
      <c r="S6" s="54">
        <f>IF('数据-汇总表'!$I$17="按面积比例",SUMIF('数据-汇总表'!C$19:C$33,A6,'数据-汇总表'!K$19:K$33),SUMIF('数据-汇总表'!C$19:C$33,A6,'数据-汇总表'!N$19:N$33))</f>
        <v>0</v>
      </c>
      <c r="T6" s="1440">
        <f>ROUND($L$14*S6/10000,0)</f>
        <v>0</v>
      </c>
      <c r="U6" s="78">
        <v>1.3</v>
      </c>
      <c r="V6" s="79">
        <v>0</v>
      </c>
      <c r="W6" s="2980">
        <v>0.1</v>
      </c>
      <c r="X6" s="1258"/>
      <c r="Y6" s="80">
        <f>N6</f>
        <v>0.81</v>
      </c>
      <c r="Z6" s="81"/>
      <c r="AA6" s="74"/>
      <c r="AB6" s="74"/>
      <c r="AC6" s="1258"/>
      <c r="AD6" s="82"/>
      <c r="AE6" s="1259">
        <f ca="1">IF(AN6="",0,SUMIF(INDIRECT("'"&amp;AN6&amp;"'"&amp;"!E:E"),$AE$5,INDIRECT("'"&amp;AN6&amp;"'"&amp;"!F:F")))</f>
        <v>33.049999999999997</v>
      </c>
      <c r="AF6" s="1793"/>
      <c r="AG6" s="145">
        <f>IF(AF6="",0,AE6-AF6)</f>
        <v>0</v>
      </c>
      <c r="AH6" s="83"/>
      <c r="AI6" s="85">
        <v>365</v>
      </c>
      <c r="AJ6" s="86"/>
      <c r="AK6" s="87">
        <v>8.0000000000000002E-3</v>
      </c>
      <c r="AL6" s="88">
        <v>1E-3</v>
      </c>
      <c r="AM6" s="89">
        <v>5.0000000000000001E-3</v>
      </c>
      <c r="AN6" s="2298" t="s">
        <v>3067</v>
      </c>
      <c r="AO6" s="55">
        <f ca="1">SUMIF(INDIRECT("'"&amp;AN6&amp;"'"&amp;"!A:A"),"总价",INDIRECT("'"&amp;AN6&amp;"'"&amp;"!B:B"))</f>
        <v>29820</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3.8">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5.5E-2</v>
      </c>
      <c r="J7" s="74">
        <f>J6</f>
        <v>8.5000000000000006E-2</v>
      </c>
      <c r="K7" s="1248">
        <f>SUMIF('数据-汇总表'!C$19:C$33,A7,'数据-汇总表'!E$19:E$33)</f>
        <v>4598.2300000000005</v>
      </c>
      <c r="L7" s="2971">
        <v>2000</v>
      </c>
      <c r="M7" s="75">
        <f t="shared" si="0"/>
        <v>920</v>
      </c>
      <c r="N7" s="798">
        <v>0.72</v>
      </c>
      <c r="O7" s="75" t="str">
        <f t="shared" ref="O7:O14" si="3">IF($N$5="成新度","——",ROUND(M7*N7,0))</f>
        <v>——</v>
      </c>
      <c r="P7" s="76" t="str">
        <f t="shared" ref="P7:P14" si="4">IF($N$5="成新度","——",M7-O7)</f>
        <v>——</v>
      </c>
      <c r="Q7" s="2972">
        <f>Q6</f>
        <v>0.15</v>
      </c>
      <c r="R7" s="77">
        <f ca="1">SUMIF('数据-汇总表'!C$19:C$33,A7,'数据-汇总表'!R$19:R$27)</f>
        <v>8280.16</v>
      </c>
      <c r="S7" s="54">
        <f>IF('数据-汇总表'!$I$17="按面积比例",SUMIF('数据-汇总表'!C$19:C$33,A7,'数据-汇总表'!K$19:K$33),SUMIF('数据-汇总表'!C$19:C$33,A7,'数据-汇总表'!N$19:N$33))</f>
        <v>0</v>
      </c>
      <c r="T7" s="1440">
        <f t="shared" ref="T7:T13" si="5">ROUND($L$14*S7/10000,0)</f>
        <v>0</v>
      </c>
      <c r="U7" s="78">
        <f>U6</f>
        <v>1.3</v>
      </c>
      <c r="V7" s="79">
        <v>0</v>
      </c>
      <c r="W7" s="2980">
        <f>W6</f>
        <v>0.1</v>
      </c>
      <c r="X7" s="1258"/>
      <c r="Y7" s="80">
        <f>N7</f>
        <v>0.72</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8.0000000000000002E-3</v>
      </c>
      <c r="AL7" s="88">
        <f>AL6</f>
        <v>1E-3</v>
      </c>
      <c r="AM7" s="89">
        <f>AM6</f>
        <v>5.0000000000000001E-3</v>
      </c>
      <c r="AN7" s="2298" t="s">
        <v>3082</v>
      </c>
      <c r="AO7" s="55">
        <f t="shared" ref="AO7:AO13" ca="1" si="8">SUMIF(INDIRECT("'"&amp;AN7&amp;"'"&amp;"!A:A"),"总价",INDIRECT("'"&amp;AN7&amp;"'"&amp;"!B:B"))</f>
        <v>2247</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3.8">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3.8">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3.8">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3.8">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3.8">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3.8">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4">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8.8">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2652</v>
      </c>
      <c r="M16" s="102">
        <f>SUM(M6:M14)</f>
        <v>17765</v>
      </c>
      <c r="N16" s="103">
        <f>ROUND(SUMPRODUCT(M6:M14,N6:N14)/M16,3)</f>
        <v>0.80500000000000005</v>
      </c>
      <c r="O16" s="102">
        <f>SUM(O6:O14)</f>
        <v>0</v>
      </c>
      <c r="P16" s="102">
        <f>SUM(P6:P14)</f>
        <v>0</v>
      </c>
      <c r="Q16" s="104">
        <f>ROUND(SUMPRODUCT(Q6:Q13,K6:K13)/SUMPRODUCT((Q6:Q13&gt;0)*(K6:K13)),2)</f>
        <v>0.15</v>
      </c>
      <c r="R16" s="1252">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2003</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07" t="s">
        <v>2018</v>
      </c>
      <c r="B21" s="113">
        <v>1.5</v>
      </c>
      <c r="C21" s="2266"/>
      <c r="D21" s="2267"/>
      <c r="E21" s="2266"/>
      <c r="F21" s="2266"/>
      <c r="G21" s="2266"/>
      <c r="H21" s="2266"/>
      <c r="I21" s="2266"/>
      <c r="J21" s="2266"/>
      <c r="K21" s="166"/>
      <c r="L21" s="166"/>
      <c r="M21" s="2975" t="s">
        <v>3145</v>
      </c>
      <c r="N21" s="1578">
        <v>0.85</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06" t="s">
        <v>2019</v>
      </c>
      <c r="B22" s="114">
        <f>B19+B20</f>
        <v>1.5</v>
      </c>
      <c r="C22" s="2266"/>
      <c r="D22" s="2267"/>
      <c r="E22" s="2266"/>
      <c r="F22" s="2266"/>
      <c r="G22" s="2266"/>
      <c r="H22" s="2266"/>
      <c r="I22" s="2266"/>
      <c r="J22" s="2266"/>
      <c r="K22" s="166"/>
      <c r="L22" s="166"/>
      <c r="M22" s="2975" t="s">
        <v>3146</v>
      </c>
      <c r="N22" s="1578">
        <f>ROUND(1-(2020-N18)/70,2)</f>
        <v>0.76</v>
      </c>
      <c r="O22" s="1578">
        <f>(N21+N22)/2</f>
        <v>0.80499999999999994</v>
      </c>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07" t="s">
        <v>2020</v>
      </c>
      <c r="B23" s="114">
        <f>B19+B21</f>
        <v>1.5</v>
      </c>
      <c r="C23" s="2266"/>
      <c r="D23" s="2267"/>
      <c r="E23" s="2266"/>
      <c r="F23" s="2266"/>
      <c r="G23" s="2266"/>
      <c r="H23" s="2266"/>
      <c r="I23" s="2266"/>
      <c r="J23" s="2266"/>
      <c r="K23" s="166"/>
      <c r="L23" s="166"/>
      <c r="M23" s="2975" t="s">
        <v>3147</v>
      </c>
      <c r="N23" s="1578">
        <f>ROUND(1-(1-0.02)*(2020-N18)/40,2)</f>
        <v>0.57999999999999996</v>
      </c>
      <c r="O23" s="1578">
        <f>(N21+N23)/2</f>
        <v>0.71499999999999997</v>
      </c>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8.8">
      <c r="A27" s="2311" t="s">
        <v>2025</v>
      </c>
      <c r="B27" s="2973">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8.8">
      <c r="A28" s="2314" t="s">
        <v>2027</v>
      </c>
      <c r="B28" s="2974">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9.4"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8.8">
      <c r="A30" s="2317" t="s">
        <v>2030</v>
      </c>
      <c r="B30" s="722">
        <v>180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8.8">
      <c r="A31" s="2314" t="s">
        <v>2031</v>
      </c>
      <c r="B31" s="119">
        <f>B30-B32</f>
        <v>180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9.4"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4">
      <c r="A33" s="2311" t="s">
        <v>2033</v>
      </c>
      <c r="B33" s="2978">
        <v>0.03</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4">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4">
      <c r="A35" s="2314" t="s">
        <v>2038</v>
      </c>
      <c r="B35" s="118">
        <v>180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17" t="s">
        <v>2042</v>
      </c>
      <c r="B37" s="2979">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4" t="s">
        <v>2044</v>
      </c>
      <c r="B38" s="121">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7"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6"/>
    <col min="30" max="16384" width="9" style="2357"/>
  </cols>
  <sheetData>
    <row r="1" spans="1:29" s="2350" customFormat="1" ht="18" thickBot="1">
      <c r="A1" s="3072" t="s">
        <v>2079</v>
      </c>
      <c r="B1" s="3073"/>
      <c r="C1" s="3073"/>
      <c r="D1" s="3073"/>
      <c r="E1" s="3073"/>
      <c r="F1" s="3073"/>
      <c r="G1" s="307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2080</v>
      </c>
      <c r="D2" s="2354"/>
      <c r="E2" s="2355"/>
      <c r="F2" s="2275"/>
      <c r="G2" s="2353" t="s">
        <v>2081</v>
      </c>
      <c r="H2" s="2356"/>
      <c r="I2" s="2356"/>
      <c r="J2" s="2356"/>
      <c r="K2" s="2356"/>
      <c r="L2" s="2356"/>
      <c r="M2" s="2356"/>
      <c r="N2" s="2356"/>
      <c r="O2" s="2356"/>
      <c r="P2" s="2356"/>
      <c r="Q2" s="2356"/>
      <c r="R2" s="2356"/>
    </row>
    <row r="3" spans="1:29" ht="57.6">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3.2">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3.2">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7.6">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3.8"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8.8">
      <c r="A8" s="429"/>
      <c r="B8" s="1784" t="s">
        <v>2096</v>
      </c>
      <c r="C8" s="2364" t="s">
        <v>2097</v>
      </c>
      <c r="D8" s="2365"/>
      <c r="E8" s="2365"/>
      <c r="F8" s="1130"/>
      <c r="G8" s="1130"/>
      <c r="H8" s="2356"/>
      <c r="I8" s="2356"/>
      <c r="J8" s="2356"/>
      <c r="K8" s="2356"/>
      <c r="L8" s="2356"/>
      <c r="M8" s="2356"/>
      <c r="N8" s="2356"/>
      <c r="O8" s="2356"/>
      <c r="P8" s="2356"/>
      <c r="Q8" s="2356"/>
      <c r="R8" s="2356"/>
    </row>
    <row r="9" spans="1:29" ht="43.2">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7.399999999999999">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8" thickBot="1">
      <c r="A13" s="2382" t="s">
        <v>2103</v>
      </c>
      <c r="B13" s="2376"/>
      <c r="C13" s="2376"/>
      <c r="D13" s="2383"/>
      <c r="E13" s="2376"/>
      <c r="F13" s="2376"/>
      <c r="G13" s="2376"/>
    </row>
    <row r="14" spans="1:29" ht="15" thickBot="1">
      <c r="A14" s="2387"/>
      <c r="B14" s="2388"/>
      <c r="C14" s="2389" t="s">
        <v>2104</v>
      </c>
      <c r="D14" s="2359"/>
      <c r="E14" s="2390"/>
      <c r="F14" s="2390"/>
      <c r="G14" s="2353" t="s">
        <v>2105</v>
      </c>
    </row>
    <row r="15" spans="1:29" ht="55.2">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1.4">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1.4">
      <c r="A17" s="643"/>
      <c r="B17" s="2393" t="s">
        <v>2091</v>
      </c>
      <c r="C17" s="2394" t="str">
        <f>C5</f>
        <v>估价对象位于XX商圈，周边办公楼项目较多，入驻率高，办公集聚程度较好</v>
      </c>
      <c r="D17" s="2365"/>
      <c r="E17" s="2395"/>
      <c r="F17" s="2396" t="s">
        <v>2109</v>
      </c>
      <c r="G17" s="1566"/>
    </row>
    <row r="18" spans="1:18" ht="55.2">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7.6">
      <c r="A19" s="643"/>
      <c r="B19" s="2396" t="s">
        <v>2110</v>
      </c>
      <c r="C19" s="1566"/>
      <c r="D19" s="2359"/>
      <c r="E19" s="2395"/>
      <c r="F19" s="1784" t="s">
        <v>2093</v>
      </c>
      <c r="G19" s="134" t="str">
        <f>G5</f>
        <v>估价对象所在区域公共配套设施齐备情况</v>
      </c>
    </row>
    <row r="20" spans="1:18" ht="41.4">
      <c r="A20" s="643"/>
      <c r="B20" s="2396" t="s">
        <v>2111</v>
      </c>
      <c r="C20" s="2394" t="str">
        <f>C9</f>
        <v>区域自然环境：；人文环境；综合评价环境状况一般</v>
      </c>
      <c r="D20" s="2365"/>
      <c r="E20" s="2395"/>
      <c r="F20" s="1784" t="s">
        <v>2112</v>
      </c>
      <c r="G20" s="134" t="str">
        <f>G6</f>
        <v>估价对象所在区域基础设施水平</v>
      </c>
    </row>
    <row r="21" spans="1:18" ht="27.6">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ColWidth="9" defaultRowHeight="14.4"/>
  <cols>
    <col min="1" max="1" width="23.33203125" style="2949" customWidth="1"/>
    <col min="2" max="9" width="15.77734375" style="2949" customWidth="1"/>
    <col min="10" max="16384" width="9" style="2949"/>
  </cols>
  <sheetData>
    <row r="1" spans="1:10" ht="16.2">
      <c r="A1" s="2950" t="s">
        <v>1360</v>
      </c>
      <c r="B1" s="2950">
        <f>SUM(B14:B23)</f>
        <v>66988.94</v>
      </c>
      <c r="C1" s="2947"/>
      <c r="D1" s="2947"/>
      <c r="E1" s="2947"/>
      <c r="F1" s="2947"/>
      <c r="G1" s="2948"/>
    </row>
    <row r="2" spans="1:10" ht="16.2">
      <c r="A2" s="2950" t="s">
        <v>1348</v>
      </c>
      <c r="B2" s="2950">
        <f>SUM(C14:C23)</f>
        <v>120628.8</v>
      </c>
      <c r="C2" s="2947"/>
      <c r="D2" s="2947"/>
      <c r="E2" s="2947"/>
      <c r="F2" s="2947"/>
      <c r="G2" s="2948"/>
    </row>
    <row r="3" spans="1:10" ht="15.6">
      <c r="A3" s="2950" t="s">
        <v>1357</v>
      </c>
      <c r="B3" s="2951">
        <f>项目基本情况!D3</f>
        <v>44005</v>
      </c>
      <c r="C3" s="2947"/>
      <c r="D3" s="2947"/>
      <c r="E3" s="2947"/>
      <c r="F3" s="2947"/>
      <c r="G3" s="2948"/>
    </row>
    <row r="4" spans="1:10" ht="31.2">
      <c r="A4" s="2950" t="s">
        <v>1356</v>
      </c>
      <c r="B4" s="2950" t="s">
        <v>1355</v>
      </c>
      <c r="C4" s="2950" t="s">
        <v>1354</v>
      </c>
      <c r="D4" s="2950" t="s">
        <v>1353</v>
      </c>
      <c r="E4" s="2947"/>
      <c r="F4" s="2948"/>
      <c r="G4" s="2948"/>
    </row>
    <row r="5" spans="1:10" ht="15.6">
      <c r="A5" s="2950" t="s">
        <v>1352</v>
      </c>
      <c r="B5" s="2950">
        <f ca="1">SUM(D14:D23)</f>
        <v>37886</v>
      </c>
      <c r="C5" s="2950">
        <f ca="1">ROUND(B5*10000/$B$1,0)</f>
        <v>5656</v>
      </c>
      <c r="D5" s="2950">
        <f ca="1">ROUND(B5*10000/$B$2,0)</f>
        <v>3141</v>
      </c>
      <c r="E5" s="2947"/>
      <c r="F5" s="2948"/>
      <c r="G5" s="2948"/>
    </row>
    <row r="6" spans="1:10" ht="15.6">
      <c r="A6" s="2950" t="s">
        <v>1351</v>
      </c>
      <c r="B6" s="2950">
        <f ca="1">SUM(G14:G23)</f>
        <v>37886</v>
      </c>
      <c r="C6" s="2950">
        <f ca="1">ROUND(B6*10000/$B$1,0)</f>
        <v>5656</v>
      </c>
      <c r="D6" s="2950">
        <f ca="1">ROUND(B6*10000/$B$2,0)</f>
        <v>3141</v>
      </c>
      <c r="E6" s="2947"/>
      <c r="F6" s="2948"/>
      <c r="G6" s="2948"/>
    </row>
    <row r="7" spans="1:10" ht="15.6">
      <c r="A7" s="2950" t="s">
        <v>1359</v>
      </c>
      <c r="B7" s="2950">
        <f>SUM(H14:H23)</f>
        <v>0</v>
      </c>
      <c r="C7" s="2950">
        <f>ROUND(B7*10000/$B$1,0)</f>
        <v>0</v>
      </c>
      <c r="D7" s="2950">
        <f>ROUND(B7*10000/$B$2,0)</f>
        <v>0</v>
      </c>
      <c r="E7" s="2947"/>
      <c r="F7" s="2948"/>
      <c r="G7" s="2948"/>
    </row>
    <row r="8" spans="1:10" ht="15.6">
      <c r="A8" s="2950" t="s">
        <v>1280</v>
      </c>
      <c r="B8" s="2950">
        <f>SUM(I14:I23)</f>
        <v>0</v>
      </c>
      <c r="C8" s="2950">
        <f>ROUND(B8*10000/$B$1,0)</f>
        <v>0</v>
      </c>
      <c r="D8" s="2950">
        <f>ROUND(B8*10000/$B$2,0)</f>
        <v>0</v>
      </c>
      <c r="E8" s="2947"/>
      <c r="F8" s="2948"/>
      <c r="G8" s="2948"/>
    </row>
    <row r="9" spans="1:10" ht="15.6">
      <c r="A9" s="2950" t="s">
        <v>1350</v>
      </c>
      <c r="B9" s="1735"/>
      <c r="C9" s="2947"/>
      <c r="D9" s="2947"/>
      <c r="E9" s="2947"/>
      <c r="F9" s="2948"/>
      <c r="G9" s="2948"/>
    </row>
    <row r="10" spans="1:10" ht="15.6">
      <c r="A10" s="2950" t="s">
        <v>1349</v>
      </c>
      <c r="B10" s="1735"/>
      <c r="C10" s="2947"/>
      <c r="D10" s="2947"/>
      <c r="E10" s="2947"/>
      <c r="F10" s="2948"/>
      <c r="G10" s="2948"/>
    </row>
    <row r="11" spans="1:10" ht="15.6">
      <c r="A11" s="2950" t="s">
        <v>1365</v>
      </c>
      <c r="B11" s="1735"/>
      <c r="C11" s="2947"/>
      <c r="D11" s="2947"/>
      <c r="E11" s="2947"/>
      <c r="F11" s="2948"/>
      <c r="G11" s="2948"/>
    </row>
    <row r="12" spans="1:10" ht="15.6">
      <c r="A12" s="2947"/>
      <c r="B12" s="2947"/>
      <c r="C12" s="2947"/>
      <c r="D12" s="2947"/>
      <c r="E12" s="2947"/>
      <c r="F12" s="2948"/>
      <c r="G12" s="2948"/>
    </row>
    <row r="13" spans="1:10" ht="31.8">
      <c r="A13" s="2952" t="s">
        <v>1364</v>
      </c>
      <c r="B13" s="2953" t="s">
        <v>1361</v>
      </c>
      <c r="C13" s="2953" t="s">
        <v>1363</v>
      </c>
      <c r="D13" s="2953" t="s">
        <v>1362</v>
      </c>
      <c r="E13" s="2950" t="s">
        <v>1354</v>
      </c>
      <c r="F13" s="2950" t="s">
        <v>1353</v>
      </c>
      <c r="G13" s="2953" t="s">
        <v>1347</v>
      </c>
      <c r="H13" s="2953" t="s">
        <v>1358</v>
      </c>
      <c r="I13" s="2953" t="s">
        <v>1346</v>
      </c>
      <c r="J13" s="2948"/>
    </row>
    <row r="14" spans="1:10" ht="15.6">
      <c r="A14" s="2954" t="s">
        <v>1345</v>
      </c>
      <c r="B14" s="2955">
        <f>结果表!B118</f>
        <v>66988.94</v>
      </c>
      <c r="C14" s="2955">
        <f>结果表!C118</f>
        <v>120628.8</v>
      </c>
      <c r="D14" s="2955">
        <f ca="1">结果表!H118</f>
        <v>37886</v>
      </c>
      <c r="E14" s="2953">
        <f ca="1">ROUND(D14*10000/B14,0)</f>
        <v>5656</v>
      </c>
      <c r="F14" s="2953">
        <f ca="1">ROUND(D14*10000/C14,0)</f>
        <v>3141</v>
      </c>
      <c r="G14" s="2955">
        <f ca="1">结果表!D122</f>
        <v>37886</v>
      </c>
      <c r="H14" s="2955" t="str">
        <f>结果表!D124</f>
        <v>——</v>
      </c>
      <c r="I14" s="2955" t="str">
        <f>结果表!D126</f>
        <v>——</v>
      </c>
      <c r="J14" s="2948"/>
    </row>
    <row r="15" spans="1:10" ht="15.6">
      <c r="A15" s="2954" t="s">
        <v>1344</v>
      </c>
      <c r="B15" s="1736"/>
      <c r="C15" s="1736"/>
      <c r="D15" s="1736"/>
      <c r="E15" s="2953" t="e">
        <f t="shared" ref="E15:E23" si="0">ROUND(D15*10000/B15,0)</f>
        <v>#DIV/0!</v>
      </c>
      <c r="F15" s="2953" t="e">
        <f t="shared" ref="F15:F23" si="1">ROUND(D15*10000/C15,0)</f>
        <v>#DIV/0!</v>
      </c>
      <c r="G15" s="1737"/>
      <c r="H15" s="1737"/>
      <c r="I15" s="1736"/>
      <c r="J15" s="2948"/>
    </row>
    <row r="16" spans="1:10" ht="15.6">
      <c r="A16" s="2954" t="s">
        <v>1343</v>
      </c>
      <c r="B16" s="1736"/>
      <c r="C16" s="1736"/>
      <c r="D16" s="1736"/>
      <c r="E16" s="2953" t="e">
        <f t="shared" si="0"/>
        <v>#DIV/0!</v>
      </c>
      <c r="F16" s="2953" t="e">
        <f t="shared" si="1"/>
        <v>#DIV/0!</v>
      </c>
      <c r="G16" s="1737"/>
      <c r="H16" s="1737"/>
      <c r="I16" s="1736"/>
    </row>
    <row r="17" spans="1:9" ht="15.6">
      <c r="A17" s="2954" t="s">
        <v>1342</v>
      </c>
      <c r="B17" s="1736"/>
      <c r="C17" s="1736"/>
      <c r="D17" s="1736"/>
      <c r="E17" s="2953" t="e">
        <f t="shared" si="0"/>
        <v>#DIV/0!</v>
      </c>
      <c r="F17" s="2953" t="e">
        <f t="shared" si="1"/>
        <v>#DIV/0!</v>
      </c>
      <c r="G17" s="1737"/>
      <c r="H17" s="1737"/>
      <c r="I17" s="1736"/>
    </row>
    <row r="18" spans="1:9" ht="15.6">
      <c r="A18" s="2954" t="s">
        <v>1341</v>
      </c>
      <c r="B18" s="1736"/>
      <c r="C18" s="1736"/>
      <c r="D18" s="1736"/>
      <c r="E18" s="2953" t="e">
        <f t="shared" si="0"/>
        <v>#DIV/0!</v>
      </c>
      <c r="F18" s="2953" t="e">
        <f t="shared" si="1"/>
        <v>#DIV/0!</v>
      </c>
      <c r="G18" s="1736"/>
      <c r="H18" s="1736"/>
      <c r="I18" s="1736"/>
    </row>
    <row r="19" spans="1:9" ht="15.6">
      <c r="A19" s="2954" t="s">
        <v>1340</v>
      </c>
      <c r="B19" s="1736"/>
      <c r="C19" s="1736"/>
      <c r="D19" s="1736"/>
      <c r="E19" s="2953" t="e">
        <f t="shared" si="0"/>
        <v>#DIV/0!</v>
      </c>
      <c r="F19" s="2953" t="e">
        <f t="shared" si="1"/>
        <v>#DIV/0!</v>
      </c>
      <c r="G19" s="1736"/>
      <c r="H19" s="1736"/>
      <c r="I19" s="1736"/>
    </row>
    <row r="20" spans="1:9" ht="15.6">
      <c r="A20" s="2954" t="s">
        <v>1339</v>
      </c>
      <c r="B20" s="1736"/>
      <c r="C20" s="1736"/>
      <c r="D20" s="1736"/>
      <c r="E20" s="2953" t="e">
        <f t="shared" si="0"/>
        <v>#DIV/0!</v>
      </c>
      <c r="F20" s="2953" t="e">
        <f t="shared" si="1"/>
        <v>#DIV/0!</v>
      </c>
      <c r="G20" s="1736"/>
      <c r="H20" s="1736"/>
      <c r="I20" s="1736"/>
    </row>
    <row r="21" spans="1:9" ht="15.6">
      <c r="A21" s="2954" t="s">
        <v>1338</v>
      </c>
      <c r="B21" s="1736"/>
      <c r="C21" s="1736"/>
      <c r="D21" s="1736"/>
      <c r="E21" s="2953" t="e">
        <f t="shared" si="0"/>
        <v>#DIV/0!</v>
      </c>
      <c r="F21" s="2953" t="e">
        <f t="shared" si="1"/>
        <v>#DIV/0!</v>
      </c>
      <c r="G21" s="1736"/>
      <c r="H21" s="1736"/>
      <c r="I21" s="1736"/>
    </row>
    <row r="22" spans="1:9" ht="15.6">
      <c r="A22" s="2954" t="s">
        <v>1337</v>
      </c>
      <c r="B22" s="1736"/>
      <c r="C22" s="1736"/>
      <c r="D22" s="1736"/>
      <c r="E22" s="2953" t="e">
        <f t="shared" si="0"/>
        <v>#DIV/0!</v>
      </c>
      <c r="F22" s="2953" t="e">
        <f t="shared" si="1"/>
        <v>#DIV/0!</v>
      </c>
      <c r="G22" s="1736"/>
      <c r="H22" s="1736"/>
      <c r="I22" s="1736"/>
    </row>
    <row r="23" spans="1:9" ht="15.6">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G25" sqref="G25"/>
    </sheetView>
  </sheetViews>
  <sheetFormatPr defaultColWidth="12.6640625" defaultRowHeight="21.75" customHeight="1"/>
  <cols>
    <col min="1" max="2" width="12.6640625" style="2413"/>
    <col min="3" max="4" width="12.6640625" style="2413" customWidth="1"/>
    <col min="5" max="9" width="12.6640625" style="2413"/>
    <col min="10" max="11" width="12.6640625" style="792" customWidth="1"/>
    <col min="12" max="12" width="12.6640625" style="792"/>
    <col min="13" max="13" width="14.109375" style="792" bestFit="1" customWidth="1"/>
    <col min="14" max="26" width="12.6640625" style="792"/>
    <col min="27" max="35" width="12.6640625" style="2412"/>
    <col min="36" max="16384" width="12.6640625" style="2413"/>
  </cols>
  <sheetData>
    <row r="1" spans="1:12" ht="21.75" customHeight="1" thickBot="1">
      <c r="A1" s="2214" t="s">
        <v>2116</v>
      </c>
      <c r="B1" s="2407"/>
      <c r="C1" s="2408"/>
      <c r="D1" s="2407"/>
      <c r="E1" s="2407"/>
      <c r="F1" s="2409" t="s">
        <v>2117</v>
      </c>
      <c r="G1" s="2059" t="s">
        <v>3096</v>
      </c>
      <c r="H1" s="2410" t="str">
        <f>IF(G1="现房","——","估价对象范围")</f>
        <v>——</v>
      </c>
      <c r="I1" s="2411"/>
    </row>
    <row r="2" spans="1:12" ht="21.75" customHeight="1" thickBot="1">
      <c r="A2" s="3148" t="str">
        <f>项目基本情况!S2</f>
        <v>北京市房地产</v>
      </c>
      <c r="B2" s="3149"/>
      <c r="C2" s="3149"/>
      <c r="D2" s="3149"/>
      <c r="E2" s="3149"/>
      <c r="F2" s="3149"/>
      <c r="G2" s="3149"/>
      <c r="H2" s="3149"/>
      <c r="I2" s="3150"/>
    </row>
    <row r="3" spans="1:12" ht="13.2">
      <c r="A3" s="3151" t="s">
        <v>2118</v>
      </c>
      <c r="B3" s="3152"/>
      <c r="C3" s="3152"/>
      <c r="D3" s="3152"/>
      <c r="E3" s="3152"/>
      <c r="F3" s="3152"/>
      <c r="G3" s="3152"/>
      <c r="H3" s="3152"/>
      <c r="I3" s="3152"/>
    </row>
    <row r="4" spans="1:12" ht="14.4">
      <c r="A4" s="2414" t="s">
        <v>2119</v>
      </c>
      <c r="B4" s="2415" t="s">
        <v>2120</v>
      </c>
      <c r="C4" s="2416" t="s">
        <v>3097</v>
      </c>
      <c r="D4" s="2416" t="s">
        <v>3098</v>
      </c>
      <c r="E4" s="3132" t="s">
        <v>2121</v>
      </c>
      <c r="F4" s="3145"/>
      <c r="G4" s="3145"/>
      <c r="H4" s="3145"/>
      <c r="I4" s="313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3.2">
      <c r="A5" s="3123" t="s">
        <v>2122</v>
      </c>
      <c r="B5" s="3047">
        <v>25</v>
      </c>
      <c r="C5" s="3153"/>
      <c r="D5" s="3141"/>
      <c r="E5" s="138" t="s">
        <v>2123</v>
      </c>
      <c r="F5" s="2418"/>
      <c r="G5" s="2418"/>
      <c r="H5" s="2418"/>
      <c r="I5" s="1820"/>
    </row>
    <row r="6" spans="1:12" ht="13.2">
      <c r="A6" s="3123"/>
      <c r="B6" s="3047"/>
      <c r="C6" s="3155"/>
      <c r="D6" s="3141"/>
      <c r="E6" s="138" t="s">
        <v>2124</v>
      </c>
      <c r="F6" s="2418"/>
      <c r="G6" s="2418"/>
      <c r="H6" s="2418"/>
      <c r="I6" s="1820"/>
    </row>
    <row r="7" spans="1:12" ht="13.2">
      <c r="A7" s="3123"/>
      <c r="B7" s="3047"/>
      <c r="C7" s="3154"/>
      <c r="D7" s="3141"/>
      <c r="E7" s="138" t="s">
        <v>2125</v>
      </c>
      <c r="F7" s="2418"/>
      <c r="G7" s="2418"/>
      <c r="H7" s="2418"/>
      <c r="I7" s="1820"/>
    </row>
    <row r="8" spans="1:12" ht="13.2">
      <c r="A8" s="3123" t="s">
        <v>2126</v>
      </c>
      <c r="B8" s="3047">
        <v>15</v>
      </c>
      <c r="C8" s="3153"/>
      <c r="D8" s="3141"/>
      <c r="E8" s="138" t="s">
        <v>2127</v>
      </c>
      <c r="F8" s="2418"/>
      <c r="G8" s="2418"/>
      <c r="H8" s="2418"/>
      <c r="I8" s="1820"/>
    </row>
    <row r="9" spans="1:12" ht="13.2">
      <c r="A9" s="3123"/>
      <c r="B9" s="3047"/>
      <c r="C9" s="3154"/>
      <c r="D9" s="3141"/>
      <c r="E9" s="138" t="s">
        <v>2128</v>
      </c>
      <c r="F9" s="2418"/>
      <c r="G9" s="2418"/>
      <c r="H9" s="2418"/>
      <c r="I9" s="1820"/>
    </row>
    <row r="10" spans="1:12" ht="13.2">
      <c r="A10" s="3123" t="s">
        <v>2129</v>
      </c>
      <c r="B10" s="3047">
        <v>15</v>
      </c>
      <c r="C10" s="3153"/>
      <c r="D10" s="3141"/>
      <c r="E10" s="138" t="s">
        <v>2130</v>
      </c>
      <c r="F10" s="2418"/>
      <c r="G10" s="2418"/>
      <c r="H10" s="2418"/>
      <c r="I10" s="1820"/>
    </row>
    <row r="11" spans="1:12" ht="13.2">
      <c r="A11" s="3123"/>
      <c r="B11" s="3047"/>
      <c r="C11" s="3154"/>
      <c r="D11" s="3141"/>
      <c r="E11" s="138" t="s">
        <v>2131</v>
      </c>
      <c r="F11" s="2418"/>
      <c r="G11" s="2418"/>
      <c r="H11" s="2418"/>
      <c r="I11" s="1820"/>
    </row>
    <row r="12" spans="1:12" ht="13.2">
      <c r="A12" s="3123" t="s">
        <v>2132</v>
      </c>
      <c r="B12" s="3047">
        <v>15</v>
      </c>
      <c r="C12" s="3153"/>
      <c r="D12" s="3141"/>
      <c r="E12" s="138" t="s">
        <v>2133</v>
      </c>
      <c r="F12" s="2418"/>
      <c r="G12" s="2418"/>
      <c r="H12" s="2418"/>
      <c r="I12" s="1820"/>
    </row>
    <row r="13" spans="1:12" ht="13.2">
      <c r="A13" s="3123"/>
      <c r="B13" s="3047"/>
      <c r="C13" s="3154"/>
      <c r="D13" s="3141"/>
      <c r="E13" s="138" t="s">
        <v>2134</v>
      </c>
      <c r="F13" s="2418"/>
      <c r="G13" s="2418"/>
      <c r="H13" s="2418"/>
      <c r="I13" s="1820"/>
    </row>
    <row r="14" spans="1:12" ht="13.2">
      <c r="A14" s="3123" t="s">
        <v>2135</v>
      </c>
      <c r="B14" s="3047">
        <v>30</v>
      </c>
      <c r="C14" s="3153">
        <v>5</v>
      </c>
      <c r="D14" s="3141">
        <v>5</v>
      </c>
      <c r="E14" s="138" t="s">
        <v>2136</v>
      </c>
      <c r="F14" s="2418"/>
      <c r="G14" s="2418"/>
      <c r="H14" s="2418"/>
      <c r="I14" s="1820"/>
    </row>
    <row r="15" spans="1:12" ht="13.2">
      <c r="A15" s="3123"/>
      <c r="B15" s="3047"/>
      <c r="C15" s="3155"/>
      <c r="D15" s="3141"/>
      <c r="E15" s="138" t="s">
        <v>2137</v>
      </c>
      <c r="F15" s="2418"/>
      <c r="G15" s="2418"/>
      <c r="H15" s="2418"/>
      <c r="I15" s="1820"/>
    </row>
    <row r="16" spans="1:12" ht="13.2">
      <c r="A16" s="3123"/>
      <c r="B16" s="3047"/>
      <c r="C16" s="3154"/>
      <c r="D16" s="3141"/>
      <c r="E16" s="138" t="s">
        <v>2138</v>
      </c>
      <c r="F16" s="2418"/>
      <c r="G16" s="2418"/>
      <c r="H16" s="2418"/>
      <c r="I16" s="1820"/>
    </row>
    <row r="17" spans="1:35" ht="14.4">
      <c r="A17" s="2419" t="s">
        <v>2139</v>
      </c>
      <c r="B17" s="64"/>
      <c r="C17" s="139">
        <f>SUM(C5:C16)</f>
        <v>5</v>
      </c>
      <c r="D17" s="139">
        <f>SUM(D5:D16)</f>
        <v>5</v>
      </c>
      <c r="E17" s="136"/>
      <c r="F17" s="136"/>
      <c r="G17" s="136"/>
      <c r="H17" s="136"/>
      <c r="I17" s="136"/>
      <c r="K17" s="2417"/>
      <c r="L17" s="2420" t="s">
        <v>2140</v>
      </c>
      <c r="M17" s="2420" t="s">
        <v>2141</v>
      </c>
    </row>
    <row r="18" spans="1:35" ht="1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4.4">
      <c r="A19" s="2423" t="s">
        <v>2144</v>
      </c>
      <c r="B19" s="2424" t="s">
        <v>2145</v>
      </c>
      <c r="C19" s="141">
        <f ca="1">SUMIF(INDIRECT("'"&amp;C4&amp;"'"&amp;"!A:A"),结果表!B19,INDIRECT("'"&amp;C4&amp;"'"&amp;"!B:B"))</f>
        <v>43704</v>
      </c>
      <c r="D19" s="142">
        <f ca="1">SUMIF(INDIRECT("'"&amp;D4&amp;"'"&amp;"!A:A"),结果表!B19,INDIRECT("'"&amp;D4&amp;"'"&amp;"!B:B"))</f>
        <v>32067</v>
      </c>
      <c r="E19" s="2423" t="s">
        <v>2146</v>
      </c>
      <c r="F19" s="2424" t="s">
        <v>2145</v>
      </c>
      <c r="G19" s="143">
        <f ca="1">ROUND(C19*$C$18+D19*$D$18,0)</f>
        <v>37886</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4.4">
      <c r="A20" s="2426"/>
      <c r="B20" s="1244" t="s">
        <v>2149</v>
      </c>
      <c r="C20" s="144">
        <f ca="1">SUMIF(INDIRECT("'"&amp;C4&amp;"'"&amp;"!A:A"),结果表!B20,INDIRECT("'"&amp;C4&amp;"'"&amp;"!B:B"))</f>
        <v>6524</v>
      </c>
      <c r="D20" s="145">
        <f ca="1">SUMIF(INDIRECT("'"&amp;D4&amp;"'"&amp;"!A:A"),结果表!B20,INDIRECT("'"&amp;D4&amp;"'"&amp;"!B:B"))</f>
        <v>4787</v>
      </c>
      <c r="E20" s="2426"/>
      <c r="F20" s="1244" t="s">
        <v>2149</v>
      </c>
      <c r="G20" s="146">
        <f ca="1">ROUND(C20*$C$18+D20*$D$18,0)</f>
        <v>5656</v>
      </c>
      <c r="H20" s="977" t="s">
        <v>2150</v>
      </c>
      <c r="I20" s="136"/>
    </row>
    <row r="21" spans="1:35" ht="15" customHeight="1" thickBot="1">
      <c r="A21" s="997"/>
      <c r="B21" s="2427" t="s">
        <v>2151</v>
      </c>
      <c r="C21" s="786">
        <f ca="1">ROUND(C19*10000/L19,0)</f>
        <v>3623</v>
      </c>
      <c r="D21" s="787">
        <f ca="1">ROUND(D19*10000/L19,0)</f>
        <v>2658</v>
      </c>
      <c r="E21" s="997"/>
      <c r="F21" s="2427" t="s">
        <v>2151</v>
      </c>
      <c r="G21" s="147">
        <f ca="1">ROUND(G19*10000/L19,0)</f>
        <v>3141</v>
      </c>
      <c r="H21" s="2428" t="s">
        <v>2150</v>
      </c>
      <c r="I21" s="136"/>
    </row>
    <row r="22" spans="1:35" ht="15" thickBot="1">
      <c r="A22" s="2270" t="s">
        <v>2152</v>
      </c>
      <c r="B22" s="2429"/>
      <c r="C22" s="2430"/>
      <c r="D22" s="788">
        <f ca="1">IF(C19&lt;D19,D19/C19-1,C19/D19-1)</f>
        <v>0.36289643558798756</v>
      </c>
      <c r="E22" s="136"/>
      <c r="F22" s="136"/>
      <c r="G22" s="136"/>
      <c r="H22" s="136"/>
      <c r="I22" s="136"/>
    </row>
    <row r="23" spans="1:35" ht="13.8" thickBot="1">
      <c r="A23" s="2407"/>
      <c r="B23" s="2407"/>
      <c r="C23" s="2407"/>
      <c r="D23" s="2407"/>
      <c r="E23" s="136"/>
      <c r="F23" s="136"/>
      <c r="G23" s="136"/>
      <c r="H23" s="136"/>
      <c r="I23" s="136"/>
    </row>
    <row r="24" spans="1:35" ht="14.4">
      <c r="A24" s="3162" t="s">
        <v>2153</v>
      </c>
      <c r="B24" s="2424" t="s">
        <v>2145</v>
      </c>
      <c r="C24" s="143">
        <f>IF(B30=0,0,D30)</f>
        <v>0</v>
      </c>
      <c r="D24" s="2431"/>
      <c r="E24" s="136"/>
      <c r="F24" s="136"/>
      <c r="G24" s="136"/>
      <c r="H24" s="136"/>
      <c r="I24" s="136"/>
    </row>
    <row r="25" spans="1:35" ht="14.4">
      <c r="A25" s="3163"/>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3.8">
      <c r="A27" s="2433"/>
      <c r="B27" s="149">
        <v>0</v>
      </c>
      <c r="C27" s="149">
        <v>0</v>
      </c>
      <c r="D27" s="150">
        <f>ROUND(C27*B27/10000,0)</f>
        <v>0</v>
      </c>
      <c r="E27" s="136"/>
      <c r="F27" s="136"/>
      <c r="G27" s="136"/>
      <c r="H27" s="136"/>
      <c r="I27" s="136"/>
    </row>
    <row r="28" spans="1:35" ht="13.8">
      <c r="A28" s="2433"/>
      <c r="B28" s="149"/>
      <c r="C28" s="149"/>
      <c r="D28" s="150"/>
      <c r="E28" s="136"/>
      <c r="F28" s="136"/>
      <c r="G28" s="136"/>
      <c r="H28" s="136"/>
      <c r="I28" s="136"/>
    </row>
    <row r="29" spans="1:35" ht="13.8">
      <c r="A29" s="2433"/>
      <c r="B29" s="149"/>
      <c r="C29" s="149"/>
      <c r="D29" s="150"/>
      <c r="E29" s="136"/>
      <c r="F29" s="136"/>
      <c r="G29" s="136"/>
      <c r="H29" s="136"/>
      <c r="I29" s="136"/>
    </row>
    <row r="30" spans="1:35" ht="14.4">
      <c r="A30" s="149" t="s">
        <v>2158</v>
      </c>
      <c r="B30" s="149"/>
      <c r="C30" s="149"/>
      <c r="D30" s="149"/>
      <c r="E30" s="2906" t="s">
        <v>3032</v>
      </c>
      <c r="F30" s="136"/>
      <c r="G30" s="136"/>
      <c r="H30" s="136"/>
      <c r="I30" s="136"/>
    </row>
    <row r="31" spans="1:35" s="2435" customFormat="1" ht="14.4"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 thickBot="1">
      <c r="A32" s="2436" t="s">
        <v>2159</v>
      </c>
      <c r="B32" s="2437"/>
      <c r="C32" s="151">
        <f ca="1">IF(D32="总价",G19-C24,G20-C25)</f>
        <v>37886</v>
      </c>
      <c r="D32" s="2438" t="s">
        <v>2160</v>
      </c>
      <c r="E32" s="136"/>
      <c r="F32" s="136"/>
      <c r="G32" s="136"/>
      <c r="H32" s="136"/>
      <c r="I32" s="136"/>
    </row>
    <row r="33" spans="1:15" ht="14.4">
      <c r="A33" s="954" t="s">
        <v>2161</v>
      </c>
      <c r="B33" s="2439"/>
      <c r="C33" s="2440" t="s">
        <v>3151</v>
      </c>
      <c r="D33" s="2441" t="s">
        <v>3097</v>
      </c>
      <c r="E33" s="2442" t="s">
        <v>2162</v>
      </c>
      <c r="F33" s="2443" t="str">
        <f>IF(D32="楼面单价","取值（单价）","取值（总价）")</f>
        <v>取值（总价）</v>
      </c>
      <c r="G33" s="136"/>
      <c r="H33" s="136"/>
      <c r="I33" s="136"/>
    </row>
    <row r="34" spans="1:15" ht="14.4">
      <c r="A34" s="2444"/>
      <c r="B34" s="2445" t="s">
        <v>2163</v>
      </c>
      <c r="C34" s="155">
        <f ca="1">IF(C33="自定义",F34,C32-C35)</f>
        <v>19814</v>
      </c>
      <c r="D34" s="1052">
        <f ca="1">IF(C33="自定义",ROUND(C34/C32,3),IF(C33="收益比率",SUMIF(INDIRECT("'"&amp;D33&amp;"'"&amp;"!b:b"),"土地收益比率",INDIRECT("'"&amp;D33&amp;"'"&amp;"!c:c")),SUMIF(INDIRECT("'"&amp;D33&amp;"'"&amp;"!b:b"),"土地成本比率",INDIRECT("'"&amp;D33&amp;"'"&amp;"!c:c"))))</f>
        <v>0.52300000000000002</v>
      </c>
      <c r="E34" s="2446" t="s">
        <v>2164</v>
      </c>
      <c r="F34" s="1733"/>
      <c r="G34" s="136"/>
      <c r="H34" s="136"/>
      <c r="I34" s="136"/>
    </row>
    <row r="35" spans="1:15" ht="15" thickBot="1">
      <c r="A35" s="2447"/>
      <c r="B35" s="2448" t="s">
        <v>2165</v>
      </c>
      <c r="C35" s="1438">
        <f ca="1">IF(C33="自定义",F35,ROUND(C32*D35,0))</f>
        <v>18072</v>
      </c>
      <c r="D35" s="1439">
        <f ca="1">IF(C33="自定义",ROUND(C35/C32,3),IF(C33="收益比率",SUMIF(INDIRECT("'"&amp;D33&amp;"'"&amp;"!b:b"),"建筑物收益比率",INDIRECT("'"&amp;D33&amp;"'"&amp;"!c:c")),SUMIF(INDIRECT("'"&amp;D33&amp;"'"&amp;"!b:b"),"建筑物成本比率",INDIRECT("'"&amp;D33&amp;"'"&amp;"!c:c"))))</f>
        <v>0.47699999999999998</v>
      </c>
      <c r="E35" s="2449" t="s">
        <v>2166</v>
      </c>
      <c r="F35" s="161"/>
      <c r="G35" s="136"/>
      <c r="H35" s="136"/>
      <c r="I35" s="136"/>
    </row>
    <row r="36" spans="1:15" ht="15" thickBot="1">
      <c r="A36" s="3142" t="s">
        <v>2167</v>
      </c>
      <c r="B36" s="2450" t="s">
        <v>2168</v>
      </c>
      <c r="C36" s="152"/>
      <c r="D36" s="2451"/>
      <c r="E36" s="2452"/>
      <c r="F36" s="2453"/>
      <c r="G36" s="136"/>
      <c r="H36" s="136"/>
      <c r="I36" s="136"/>
    </row>
    <row r="37" spans="1:15" ht="15" thickBot="1">
      <c r="A37" s="3143"/>
      <c r="B37" s="2256" t="s">
        <v>2169</v>
      </c>
      <c r="C37" s="154"/>
      <c r="D37" s="1389"/>
      <c r="E37" s="1389"/>
      <c r="F37" s="2453"/>
      <c r="G37" s="136"/>
      <c r="H37" s="136"/>
      <c r="I37" s="136"/>
    </row>
    <row r="38" spans="1:15" ht="15" thickBot="1">
      <c r="A38" s="3144"/>
      <c r="B38" s="2454" t="s">
        <v>2170</v>
      </c>
      <c r="C38" s="724"/>
      <c r="D38" s="2455" t="s">
        <v>2171</v>
      </c>
      <c r="E38" s="1389"/>
      <c r="F38" s="2453"/>
      <c r="G38" s="136"/>
      <c r="H38" s="136"/>
      <c r="I38" s="136"/>
    </row>
    <row r="39" spans="1:15" ht="14.4">
      <c r="A39" s="2426" t="s">
        <v>2172</v>
      </c>
      <c r="B39" s="2456" t="s">
        <v>2173</v>
      </c>
      <c r="C39" s="2457" t="s">
        <v>2174</v>
      </c>
      <c r="D39" s="2457" t="s">
        <v>2175</v>
      </c>
      <c r="E39" s="2458" t="s">
        <v>2176</v>
      </c>
      <c r="F39" s="2453"/>
      <c r="G39" s="136"/>
      <c r="H39" s="136"/>
      <c r="I39" s="136"/>
    </row>
    <row r="40" spans="1:15" ht="13.8">
      <c r="A40" s="2459" t="s">
        <v>2177</v>
      </c>
      <c r="B40" s="156"/>
      <c r="C40" s="157"/>
      <c r="D40" s="157"/>
      <c r="E40" s="158"/>
      <c r="F40" s="2453"/>
      <c r="G40" s="136"/>
      <c r="H40" s="136"/>
      <c r="I40" s="136"/>
    </row>
    <row r="41" spans="1:15" ht="13.8">
      <c r="A41" s="2459" t="s">
        <v>2178</v>
      </c>
      <c r="B41" s="156"/>
      <c r="C41" s="157"/>
      <c r="D41" s="157"/>
      <c r="E41" s="158"/>
      <c r="F41" s="2453"/>
      <c r="G41" s="136"/>
      <c r="H41" s="136"/>
      <c r="I41" s="136"/>
    </row>
    <row r="42" spans="1:15" ht="14.4" thickBot="1">
      <c r="A42" s="2460"/>
      <c r="B42" s="159"/>
      <c r="C42" s="160"/>
      <c r="D42" s="160"/>
      <c r="E42" s="161"/>
      <c r="F42" s="2453"/>
      <c r="G42" s="136"/>
      <c r="H42" s="136"/>
      <c r="I42" s="136"/>
    </row>
    <row r="43" spans="1:15" ht="13.2">
      <c r="A43" s="2154"/>
      <c r="B43" s="2154"/>
      <c r="C43" s="2154"/>
      <c r="D43" s="2154"/>
      <c r="E43" s="2154"/>
      <c r="F43" s="2461"/>
      <c r="G43" s="2461"/>
      <c r="H43" s="2461"/>
      <c r="I43" s="2462"/>
    </row>
    <row r="44" spans="1:15" ht="17.399999999999999">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59" t="s">
        <v>2181</v>
      </c>
      <c r="B45" s="3160"/>
      <c r="C45" s="3161"/>
      <c r="D45" s="162">
        <f ca="1">ROUND(H101*F45,0)</f>
        <v>37886</v>
      </c>
      <c r="E45" s="163" t="s">
        <v>2182</v>
      </c>
      <c r="F45" s="164">
        <v>1</v>
      </c>
      <c r="G45" s="165" t="s">
        <v>2183</v>
      </c>
      <c r="H45" s="136"/>
      <c r="I45" s="136"/>
      <c r="J45" s="3076" t="s">
        <v>2184</v>
      </c>
      <c r="K45" s="3076"/>
      <c r="L45" s="3076"/>
      <c r="M45" s="3076"/>
      <c r="N45" s="3076"/>
      <c r="O45" s="3076"/>
    </row>
    <row r="46" spans="1:15" ht="14.25" customHeight="1">
      <c r="A46" s="3156" t="s">
        <v>2185</v>
      </c>
      <c r="B46" s="3157"/>
      <c r="C46" s="3157"/>
      <c r="D46" s="3157"/>
      <c r="E46" s="3157"/>
      <c r="F46" s="3157"/>
      <c r="G46" s="3158"/>
      <c r="H46" s="2469"/>
      <c r="I46" s="166"/>
      <c r="J46" s="1798">
        <v>1</v>
      </c>
      <c r="K46" s="3076" t="s">
        <v>2186</v>
      </c>
      <c r="L46" s="3076"/>
      <c r="M46" s="3077"/>
      <c r="N46" s="3077"/>
      <c r="O46" s="3077"/>
    </row>
    <row r="47" spans="1:15" ht="12" customHeight="1">
      <c r="A47" s="167" t="s">
        <v>2187</v>
      </c>
      <c r="B47" s="168"/>
      <c r="C47" s="169"/>
      <c r="D47" s="170" t="s">
        <v>2188</v>
      </c>
      <c r="E47" s="24" t="s">
        <v>2189</v>
      </c>
      <c r="F47" s="171" t="s">
        <v>2190</v>
      </c>
      <c r="G47" s="172" t="s">
        <v>2191</v>
      </c>
      <c r="H47" s="2469"/>
      <c r="I47" s="166"/>
      <c r="J47" s="1798">
        <v>2</v>
      </c>
      <c r="K47" s="3076" t="s">
        <v>2192</v>
      </c>
      <c r="L47" s="3076"/>
      <c r="M47" s="3078">
        <f>'数据-取费表'!B2</f>
        <v>44005</v>
      </c>
      <c r="N47" s="3078"/>
      <c r="O47" s="3078"/>
    </row>
    <row r="48" spans="1:15" ht="26.4">
      <c r="A48" s="3146" t="s">
        <v>2193</v>
      </c>
      <c r="B48" s="3147"/>
      <c r="C48" s="3147"/>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076" t="s">
        <v>2196</v>
      </c>
      <c r="L48" s="3076"/>
      <c r="M48" s="3079">
        <f ca="1">H101</f>
        <v>37886</v>
      </c>
      <c r="N48" s="3079"/>
      <c r="O48" s="3079"/>
    </row>
    <row r="49" spans="1:35" ht="25.5" customHeight="1">
      <c r="A49" s="174" t="s">
        <v>2197</v>
      </c>
      <c r="B49" s="3126" t="s">
        <v>2198</v>
      </c>
      <c r="C49" s="3126"/>
      <c r="D49" s="175">
        <v>0</v>
      </c>
      <c r="E49" s="23" t="s">
        <v>2199</v>
      </c>
      <c r="F49" s="28" t="s">
        <v>34</v>
      </c>
      <c r="G49" s="3107"/>
      <c r="H49" s="136"/>
      <c r="I49" s="2472"/>
      <c r="J49" s="1798">
        <v>4</v>
      </c>
      <c r="K49" s="3076" t="str">
        <f>IF(项目基本情况!E8="房地产抵押价值","房地产抵押价值","抵押担保权已注销时的房地产抵押价值")</f>
        <v>房地产抵押价值</v>
      </c>
      <c r="L49" s="3076"/>
      <c r="M49" s="3079">
        <f ca="1">IF(项目基本情况!E8="房地产抵押价值",H107,H109)</f>
        <v>37886</v>
      </c>
      <c r="N49" s="3079"/>
      <c r="O49" s="3079"/>
    </row>
    <row r="50" spans="1:35" ht="25.5" customHeight="1">
      <c r="A50" s="176"/>
      <c r="B50" s="3126" t="s">
        <v>2200</v>
      </c>
      <c r="C50" s="3126"/>
      <c r="D50" s="177"/>
      <c r="E50" s="31"/>
      <c r="F50" s="178"/>
      <c r="G50" s="3108"/>
      <c r="H50" s="136"/>
      <c r="I50" s="2472"/>
      <c r="J50" s="3076" t="s">
        <v>2201</v>
      </c>
      <c r="K50" s="3076"/>
      <c r="L50" s="3076"/>
      <c r="M50" s="3076"/>
      <c r="N50" s="3076"/>
      <c r="O50" s="3076"/>
    </row>
    <row r="51" spans="1:35" ht="12" customHeight="1">
      <c r="A51" s="179"/>
      <c r="B51" s="3126" t="s">
        <v>2202</v>
      </c>
      <c r="C51" s="3126"/>
      <c r="D51" s="180"/>
      <c r="E51" s="30"/>
      <c r="F51" s="178"/>
      <c r="G51" s="3109"/>
      <c r="H51" s="136"/>
      <c r="I51" s="2472"/>
      <c r="J51" s="2473" t="s">
        <v>2203</v>
      </c>
      <c r="K51" s="3076" t="s">
        <v>2204</v>
      </c>
      <c r="L51" s="3076"/>
      <c r="M51" s="2473" t="s">
        <v>2205</v>
      </c>
      <c r="N51" s="2473" t="s">
        <v>2206</v>
      </c>
      <c r="O51" s="2473" t="s">
        <v>2207</v>
      </c>
    </row>
    <row r="52" spans="1:35" ht="24" customHeight="1">
      <c r="A52" s="181" t="s">
        <v>2208</v>
      </c>
      <c r="B52" s="3126" t="s">
        <v>2209</v>
      </c>
      <c r="C52" s="3126"/>
      <c r="D52" s="180">
        <f ca="1">ROUND(D45*'数据-取费表'!B41/(1+'数据-取费表'!C42),0)</f>
        <v>1985</v>
      </c>
      <c r="E52" s="11" t="s">
        <v>2210</v>
      </c>
      <c r="F52" s="182">
        <f>'数据-取费表'!B41</f>
        <v>5.5000000000000007E-2</v>
      </c>
      <c r="G52" s="2474"/>
      <c r="H52" s="136"/>
      <c r="I52" s="2472"/>
      <c r="J52" s="1798">
        <v>1</v>
      </c>
      <c r="K52" s="3101" t="s">
        <v>2211</v>
      </c>
      <c r="L52" s="3101"/>
      <c r="M52" s="1740">
        <f>D48</f>
        <v>0</v>
      </c>
      <c r="N52" s="1798" t="str">
        <f>E48</f>
        <v>销售额×税（费）率</v>
      </c>
      <c r="O52" s="1741" t="str">
        <f>F48</f>
        <v>免征</v>
      </c>
    </row>
    <row r="53" spans="1:35" ht="12" customHeight="1">
      <c r="A53" s="181" t="s">
        <v>2212</v>
      </c>
      <c r="B53" s="3127" t="s">
        <v>2213</v>
      </c>
      <c r="C53" s="3128"/>
      <c r="D53" s="180">
        <f ca="1">ROUND(D45*'数据-取费表'!B41/(1+'数据-取费表'!C42),0)</f>
        <v>1985</v>
      </c>
      <c r="E53" s="11" t="s">
        <v>2210</v>
      </c>
      <c r="F53" s="182">
        <f>'数据-取费表'!B41</f>
        <v>5.5000000000000007E-2</v>
      </c>
      <c r="G53" s="2474"/>
      <c r="H53" s="136"/>
      <c r="I53" s="2472"/>
      <c r="J53" s="1798">
        <v>2</v>
      </c>
      <c r="K53" s="3101" t="s">
        <v>2214</v>
      </c>
      <c r="L53" s="3101"/>
      <c r="M53" s="1740">
        <f t="shared" ref="M53:O54" ca="1" si="0">D55</f>
        <v>19</v>
      </c>
      <c r="N53" s="1798" t="str">
        <f t="shared" si="0"/>
        <v>销售额×税（费）率</v>
      </c>
      <c r="O53" s="1741">
        <f t="shared" si="0"/>
        <v>5.0000000000000001E-4</v>
      </c>
    </row>
    <row r="54" spans="1:35" ht="12" customHeight="1">
      <c r="A54" s="181" t="s">
        <v>2215</v>
      </c>
      <c r="B54" s="3127" t="s">
        <v>2216</v>
      </c>
      <c r="C54" s="3128"/>
      <c r="D54" s="180">
        <f ca="1">C68</f>
        <v>1985</v>
      </c>
      <c r="E54" s="30" t="s">
        <v>2217</v>
      </c>
      <c r="F54" s="182">
        <f>'数据-取费表'!B41</f>
        <v>5.5000000000000007E-2</v>
      </c>
      <c r="G54" s="2474"/>
      <c r="H54" s="2475"/>
      <c r="I54" s="2472"/>
      <c r="J54" s="1798">
        <v>3</v>
      </c>
      <c r="K54" s="3101" t="s">
        <v>2218</v>
      </c>
      <c r="L54" s="3101"/>
      <c r="M54" s="1740">
        <f t="shared" ca="1" si="0"/>
        <v>21478</v>
      </c>
      <c r="N54" s="1798" t="str">
        <f t="shared" si="0"/>
        <v>增值额×税（费）率</v>
      </c>
      <c r="O54" s="1742" t="str">
        <f t="shared" si="0"/>
        <v>——</v>
      </c>
    </row>
    <row r="55" spans="1:35" ht="24" customHeight="1">
      <c r="A55" s="3165" t="s">
        <v>2219</v>
      </c>
      <c r="B55" s="3147"/>
      <c r="C55" s="3147"/>
      <c r="D55" s="183">
        <f ca="1">IF(H55="个人住宅",0,ROUND(D45*I55,0))</f>
        <v>19</v>
      </c>
      <c r="E55" s="11" t="s">
        <v>2220</v>
      </c>
      <c r="F55" s="182">
        <f>IF(H55="正常",I55,"免征")</f>
        <v>5.0000000000000001E-4</v>
      </c>
      <c r="G55" s="2474"/>
      <c r="H55" s="2471" t="s">
        <v>2221</v>
      </c>
      <c r="I55" s="184">
        <f>'数据-取费表'!B49</f>
        <v>5.0000000000000001E-4</v>
      </c>
      <c r="J55" s="1798" t="str">
        <f>IF(H59="非个人房产","",4)</f>
        <v/>
      </c>
      <c r="K55" s="3101" t="str">
        <f>IF(H59="非个人房产","——","个人所得税")</f>
        <v>——</v>
      </c>
      <c r="L55" s="3101"/>
      <c r="M55" s="1743" t="str">
        <f>D59</f>
        <v>——</v>
      </c>
      <c r="N55" s="1796" t="str">
        <f>E59</f>
        <v>——</v>
      </c>
      <c r="O55" s="1744" t="str">
        <f>F59</f>
        <v>——</v>
      </c>
    </row>
    <row r="56" spans="1:35" ht="25.2">
      <c r="A56" s="3165" t="s">
        <v>2222</v>
      </c>
      <c r="B56" s="3147"/>
      <c r="C56" s="3147"/>
      <c r="D56" s="183">
        <f ca="1">IF(H56="个人住宅",D57,D58)</f>
        <v>21478</v>
      </c>
      <c r="E56" s="11" t="s">
        <v>2223</v>
      </c>
      <c r="F56" s="182" t="str">
        <f>IF(H56="正常",F58,"免征")</f>
        <v>——</v>
      </c>
      <c r="G56" s="2476" t="s">
        <v>2224</v>
      </c>
      <c r="H56" s="2477" t="s">
        <v>2221</v>
      </c>
      <c r="I56" s="2478"/>
      <c r="J56" s="1798" t="str">
        <f>IF(项目基本情况!K6="上海银行",IF(J55="",4,J55+1),"")</f>
        <v/>
      </c>
      <c r="K56" s="3082" t="str">
        <f>IF(项目基本情况!K6="上海银行","其他处置费用","")</f>
        <v/>
      </c>
      <c r="L56" s="3083"/>
      <c r="M56" s="1740" t="str">
        <f>IF(项目基本情况!K6="上海银行",M69,"")</f>
        <v/>
      </c>
      <c r="N56" s="3085" t="str">
        <f>IF(项目基本情况!K6="上海银行","包含处置中涉及的律师、诉讼、拍卖、评估等费用","")</f>
        <v/>
      </c>
      <c r="O56" s="3086"/>
    </row>
    <row r="57" spans="1:35" ht="13.2">
      <c r="A57" s="181" t="s">
        <v>2197</v>
      </c>
      <c r="B57" s="3132" t="s">
        <v>2225</v>
      </c>
      <c r="C57" s="3133"/>
      <c r="D57" s="185">
        <v>0</v>
      </c>
      <c r="E57" s="23" t="s">
        <v>2199</v>
      </c>
      <c r="F57" s="153"/>
      <c r="G57" s="2474"/>
      <c r="H57" s="2478"/>
      <c r="I57" s="2478"/>
      <c r="J57" s="3101">
        <f>IF(AND(J55="",J56=""),4,IF(项目基本情况!K6="上海银行",结果表!J56+1,结果表!J55+1))</f>
        <v>4</v>
      </c>
      <c r="K57" s="3101" t="s">
        <v>2226</v>
      </c>
      <c r="L57" s="2479" t="s">
        <v>2227</v>
      </c>
      <c r="M57" s="1745"/>
      <c r="N57" s="1746">
        <f ca="1">SUMIF(M52:M56,"&lt;9e307")</f>
        <v>21497</v>
      </c>
      <c r="O57" s="2480"/>
      <c r="P57" s="1739">
        <f ca="1">N57/M49</f>
        <v>0.56741276460961831</v>
      </c>
    </row>
    <row r="58" spans="1:35" ht="25.2">
      <c r="A58" s="181" t="s">
        <v>2208</v>
      </c>
      <c r="B58" s="3132" t="s">
        <v>2228</v>
      </c>
      <c r="C58" s="3145"/>
      <c r="D58" s="183">
        <f ca="1">IF(H58="转让取得",C81,C97)</f>
        <v>21478</v>
      </c>
      <c r="E58" s="11" t="s">
        <v>2223</v>
      </c>
      <c r="F58" s="24" t="s">
        <v>34</v>
      </c>
      <c r="G58" s="2474"/>
      <c r="H58" s="2477" t="s">
        <v>2229</v>
      </c>
      <c r="I58" s="2478"/>
      <c r="J58" s="3101"/>
      <c r="K58" s="3101"/>
      <c r="L58" s="2479" t="s">
        <v>2230</v>
      </c>
      <c r="M58" s="1747"/>
      <c r="N58" s="2481" t="str">
        <f ca="1">NUMBERSTRING(INT(N57*10000),2)&amp;"元整"</f>
        <v>贰亿壹仟肆佰玖拾柒万元整</v>
      </c>
      <c r="O58" s="2482"/>
    </row>
    <row r="59" spans="1:35" ht="24.6" thickBot="1">
      <c r="A59" s="3105" t="s">
        <v>2231</v>
      </c>
      <c r="B59" s="3106"/>
      <c r="C59" s="3106"/>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103">
        <f>J57+1</f>
        <v>5</v>
      </c>
      <c r="K59" s="3101" t="s">
        <v>2233</v>
      </c>
      <c r="L59" s="1798" t="s">
        <v>2227</v>
      </c>
      <c r="M59" s="1748"/>
      <c r="N59" s="1749">
        <f ca="1">M49-N57</f>
        <v>16389</v>
      </c>
      <c r="O59" s="2484"/>
    </row>
    <row r="60" spans="1:35" ht="12" customHeight="1">
      <c r="A60" s="2485"/>
      <c r="B60" s="2407"/>
      <c r="C60" s="2407"/>
      <c r="D60" s="2407"/>
      <c r="E60" s="2155"/>
      <c r="F60" s="2478"/>
      <c r="G60" s="2478"/>
      <c r="H60" s="2486"/>
      <c r="I60" s="136"/>
      <c r="J60" s="3104"/>
      <c r="K60" s="3101"/>
      <c r="L60" s="2479" t="s">
        <v>2230</v>
      </c>
      <c r="M60" s="1747"/>
      <c r="N60" s="2481" t="str">
        <f ca="1">NUMBERSTRING(INT(N59*10000),2)&amp;"元整"</f>
        <v>壹亿陆仟叁佰捌拾玖万元整</v>
      </c>
      <c r="O60" s="2482"/>
    </row>
    <row r="61" spans="1:35" ht="13.8" thickBot="1">
      <c r="A61" s="3164" t="s">
        <v>2234</v>
      </c>
      <c r="B61" s="3164"/>
      <c r="C61" s="3164"/>
      <c r="D61" s="3164"/>
      <c r="E61" s="3164"/>
      <c r="F61" s="2478"/>
      <c r="G61" s="2478"/>
      <c r="H61" s="2486"/>
      <c r="I61" s="136"/>
      <c r="J61" s="1798">
        <f>J59+1</f>
        <v>6</v>
      </c>
      <c r="K61" s="3101" t="s">
        <v>2235</v>
      </c>
      <c r="L61" s="3101"/>
      <c r="M61" s="1750"/>
      <c r="N61" s="1751">
        <f ca="1">ROUND(N59*10000/'数据-汇总表'!E3,0)</f>
        <v>2447</v>
      </c>
      <c r="O61" s="2487"/>
    </row>
    <row r="62" spans="1:35" ht="13.2">
      <c r="A62" s="3121" t="s">
        <v>2236</v>
      </c>
      <c r="B62" s="3122"/>
      <c r="C62" s="1790"/>
      <c r="D62" s="1790" t="s">
        <v>2237</v>
      </c>
      <c r="E62" s="190" t="s">
        <v>2238</v>
      </c>
      <c r="F62" s="2478"/>
      <c r="G62" s="2478"/>
      <c r="H62" s="2486"/>
      <c r="I62" s="136"/>
    </row>
    <row r="63" spans="1:35" ht="13.2">
      <c r="A63" s="201" t="s">
        <v>775</v>
      </c>
      <c r="B63" s="191" t="s">
        <v>2239</v>
      </c>
      <c r="C63" s="192">
        <f ca="1">ROUND((C64+C65)/(1+'数据-取费表'!C42),0)</f>
        <v>36082</v>
      </c>
      <c r="D63" s="193"/>
      <c r="E63" s="194"/>
      <c r="F63" s="2478"/>
      <c r="G63" s="2478"/>
      <c r="H63" s="2486"/>
      <c r="I63" s="136"/>
      <c r="J63" s="3084" t="s">
        <v>2240</v>
      </c>
      <c r="K63" s="2488" t="s">
        <v>2241</v>
      </c>
      <c r="L63" s="1738">
        <f ca="1">IF(M49&gt;10000,M49*0.5%,IF(AND(M49&gt;1000,M49&lt;=10000),M49*1%,IF(AND(M49&gt;100,M49&lt;=1000),M49*3%,IF(AND(M49&gt;10,M49&lt;=100),M49*5%,M49*8%))))</f>
        <v>189.43</v>
      </c>
      <c r="M63" s="24">
        <f ca="1">ROUND(L63,1)</f>
        <v>189.4</v>
      </c>
      <c r="Z63" s="2412"/>
      <c r="AI63" s="2413"/>
    </row>
    <row r="64" spans="1:35" ht="14.25" customHeight="1">
      <c r="A64" s="195" t="s">
        <v>770</v>
      </c>
      <c r="B64" s="196" t="s">
        <v>2242</v>
      </c>
      <c r="C64" s="197">
        <f ca="1">D45</f>
        <v>37886</v>
      </c>
      <c r="D64" s="198" t="s">
        <v>32</v>
      </c>
      <c r="E64" s="199"/>
      <c r="F64" s="2478"/>
      <c r="G64" s="2478"/>
      <c r="H64" s="2486"/>
      <c r="I64" s="136"/>
      <c r="J64" s="3084"/>
      <c r="K64" s="2488" t="s">
        <v>2243</v>
      </c>
      <c r="L64" s="1738">
        <f ca="1">IF(M49&gt;2000,M49*0.5%,IF(AND(M49&gt;1000,M49&lt;=2000),M49*0.6%,IF(AND(M49&gt;500,M49&lt;=1000),M49*0.7%,IF(AND(M49&gt;200,M49&lt;=500),M49*0.8%,IF(AND(M49&gt;100,M49&lt;=200),M49*0.9%,IF(AND(M49&gt;50,M49&lt;=100),M49*1%,IF(AND(M49&gt;20,M49&lt;=50),M49*1.5%,IF(AND(M49&gt;10,M49&lt;=20),M49*2%,IF(AND(M49&gt;1,M49&lt;=10),M49*2.5%)))))))))</f>
        <v>189.43</v>
      </c>
      <c r="M64" s="24">
        <f t="shared" ref="M64:M65" ca="1" si="1">ROUND(L64,1)</f>
        <v>189.4</v>
      </c>
      <c r="N64" s="136" t="s">
        <v>2244</v>
      </c>
      <c r="Z64" s="2412"/>
      <c r="AI64" s="2413"/>
    </row>
    <row r="65" spans="1:35" ht="14.25" customHeight="1">
      <c r="A65" s="195" t="s">
        <v>771</v>
      </c>
      <c r="B65" s="196" t="s">
        <v>2245</v>
      </c>
      <c r="C65" s="200"/>
      <c r="D65" s="198"/>
      <c r="E65" s="199"/>
      <c r="F65" s="2478"/>
      <c r="G65" s="2478"/>
      <c r="H65" s="2486"/>
      <c r="I65" s="136"/>
      <c r="J65" s="3084"/>
      <c r="K65" s="2488" t="s">
        <v>2246</v>
      </c>
      <c r="L65" s="1738">
        <f ca="1">IF(M49&gt;1000,M49*0.1%,IF(AND(M49&gt;500,M49&lt;=1000),M49*0.5%,IF(AND(M49&gt;50,M49&lt;=500),M49*1%,IF(AND(M49&gt;1,M49&lt;=50),M49*1.5%))))</f>
        <v>37.886000000000003</v>
      </c>
      <c r="M65" s="24">
        <f t="shared" ca="1" si="1"/>
        <v>37.9</v>
      </c>
      <c r="N65" s="136" t="s">
        <v>2244</v>
      </c>
      <c r="Z65" s="2412"/>
      <c r="AI65" s="2413"/>
    </row>
    <row r="66" spans="1:35" ht="14.25" customHeight="1">
      <c r="A66" s="201" t="s">
        <v>772</v>
      </c>
      <c r="B66" s="202" t="s">
        <v>2247</v>
      </c>
      <c r="C66" s="203"/>
      <c r="D66" s="204" t="s">
        <v>32</v>
      </c>
      <c r="E66" s="1762" t="s">
        <v>1366</v>
      </c>
      <c r="F66" s="2478"/>
      <c r="G66" s="2478"/>
      <c r="H66" s="2486"/>
      <c r="I66" s="136"/>
      <c r="J66" s="3084"/>
      <c r="K66" s="2488" t="s">
        <v>2248</v>
      </c>
      <c r="L66" s="1738">
        <f ca="1">M49*0.5%</f>
        <v>189.43</v>
      </c>
      <c r="M66" s="24">
        <f ca="1">IF(L66&gt;0.5,0.5,ROUND(L66,0))</f>
        <v>0.5</v>
      </c>
      <c r="N66" s="136" t="s">
        <v>2249</v>
      </c>
      <c r="Z66" s="2412"/>
      <c r="AI66" s="2413"/>
    </row>
    <row r="67" spans="1:35" ht="14.25" customHeight="1">
      <c r="A67" s="201" t="s">
        <v>773</v>
      </c>
      <c r="B67" s="202" t="s">
        <v>2250</v>
      </c>
      <c r="C67" s="205">
        <f ca="1">C63-C66</f>
        <v>36082</v>
      </c>
      <c r="D67" s="198" t="s">
        <v>32</v>
      </c>
      <c r="E67" s="199"/>
      <c r="F67" s="2478"/>
      <c r="G67" s="2478"/>
      <c r="H67" s="2486"/>
      <c r="I67" s="136"/>
      <c r="J67" s="3084"/>
      <c r="K67" s="2488" t="s">
        <v>2251</v>
      </c>
      <c r="L67" s="1738">
        <f ca="1">IF(M49&gt;=10000,(8.25+(M49-10000)*0.01%),IF(AND(M49&gt;=8000,M49&lt;10000),(7.85+(M49-8000)*0.02%),IF(AND(M49&gt;=5000,M49&lt;8000),(6.65+(M49-5000)*0.04%),IF(AND(M49&gt;=2000,M49&lt;5000),(4.25+(PM49-2000)*0.08%),IF(AND(M49&gt;=1000,M49&lt;2000),(2.75+(M49-1000)*0.15%),IF(AND(M49&gt;=100,M49&lt;1000),(0.5+(M49-100)*0.25%),IF(AND(M49&gt;0,M49&lt;100),M49*0.5%)))))))</f>
        <v>11.038600000000001</v>
      </c>
      <c r="M67" s="24">
        <f ca="1">ROUND(L67*0.9,1)</f>
        <v>9.9</v>
      </c>
      <c r="Z67" s="2412"/>
      <c r="AI67" s="2413"/>
    </row>
    <row r="68" spans="1:35" ht="14.25" customHeight="1" thickBot="1">
      <c r="A68" s="206" t="s">
        <v>774</v>
      </c>
      <c r="B68" s="207" t="s">
        <v>2252</v>
      </c>
      <c r="C68" s="208">
        <f ca="1">IF(C67&lt;=0,0,ROUND(C67*D68,0))</f>
        <v>1985</v>
      </c>
      <c r="D68" s="209">
        <f>'数据-取费表'!B41</f>
        <v>5.5000000000000007E-2</v>
      </c>
      <c r="E68" s="210"/>
      <c r="F68" s="2478"/>
      <c r="G68" s="2478"/>
      <c r="H68" s="2486"/>
      <c r="I68" s="136"/>
      <c r="J68" s="3084"/>
      <c r="K68" s="2488" t="s">
        <v>2253</v>
      </c>
      <c r="L68" s="1738">
        <f ca="1">IF(M49&gt;10000,M49*0.5%,IF(AND(M49&gt;5000,M49&lt;=10000),M49*1%,IF(AND(M49&gt;1000,M49&lt;=5000),M49*2%,IF(AND(M49&gt;200,M49&lt;=1000),M49*3%,M49*5%))))</f>
        <v>189.43</v>
      </c>
      <c r="M68" s="24">
        <f ca="1">ROUND(L68,1)</f>
        <v>189.4</v>
      </c>
      <c r="Z68" s="2412"/>
      <c r="AI68" s="2413"/>
    </row>
    <row r="69" spans="1:35" s="2435" customFormat="1" ht="16.5" customHeight="1">
      <c r="A69" s="2489"/>
      <c r="B69" s="2490"/>
      <c r="C69" s="2491"/>
      <c r="D69" s="2492"/>
      <c r="E69" s="2493"/>
      <c r="F69" s="2155"/>
      <c r="G69" s="2155"/>
      <c r="H69" s="2154"/>
      <c r="I69" s="2407"/>
      <c r="J69" s="3084"/>
      <c r="K69" s="2488" t="s">
        <v>2254</v>
      </c>
      <c r="L69" s="2494"/>
      <c r="M69" s="24">
        <f ca="1">ROUND(SUM(M63:M68),0)</f>
        <v>617</v>
      </c>
      <c r="N69" s="1739">
        <f ca="1">M69/M49</f>
        <v>1.6285699202871772E-2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4.4" thickBot="1">
      <c r="A70" s="3130" t="s">
        <v>2255</v>
      </c>
      <c r="B70" s="3131"/>
      <c r="C70" s="3131"/>
      <c r="D70" s="3131"/>
      <c r="E70" s="3131"/>
      <c r="F70" s="3131"/>
      <c r="G70" s="3131"/>
      <c r="H70" s="313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21" t="s">
        <v>2236</v>
      </c>
      <c r="B71" s="3122"/>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1" t="s">
        <v>775</v>
      </c>
      <c r="B72" s="202" t="s">
        <v>2256</v>
      </c>
      <c r="C72" s="205">
        <f ca="1">ROUND(D45/(1+'数据-取费表'!C42),0)</f>
        <v>36082</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1" t="s">
        <v>772</v>
      </c>
      <c r="B73" s="171" t="s">
        <v>2257</v>
      </c>
      <c r="C73" s="205">
        <f ca="1">C74+C78</f>
        <v>180</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127" t="s">
        <v>2264</v>
      </c>
      <c r="F76" s="3126"/>
      <c r="G76" s="3126"/>
      <c r="H76" s="312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180</v>
      </c>
      <c r="D78" s="224">
        <f>'数据-取费表'!B43</f>
        <v>5.000000000000001E-3</v>
      </c>
      <c r="E78" s="3118" t="s">
        <v>2269</v>
      </c>
      <c r="F78" s="3119"/>
      <c r="G78" s="3119"/>
      <c r="H78" s="312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2" t="s">
        <v>2270</v>
      </c>
      <c r="C79" s="205">
        <f ca="1">C72-C73</f>
        <v>35902</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199.45555555555555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7" t="s">
        <v>2272</v>
      </c>
      <c r="C81" s="226">
        <f ca="1">ROUND(IF(C79&lt;=0,0,IF(C80&gt;=200%,C79*60%-C73*35%,IF(C80&gt;=100%,C79*50%-C73*15%,IF(C80&gt;=50%,C79*40%-C73*5%,IF(C80&lt;50%,C79*30%,0))))),0)</f>
        <v>21478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30" t="s">
        <v>2273</v>
      </c>
      <c r="B83" s="3131"/>
      <c r="C83" s="3131"/>
      <c r="D83" s="3131"/>
      <c r="E83" s="3131"/>
      <c r="F83" s="3131"/>
      <c r="G83" s="3131"/>
      <c r="H83" s="313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21" t="s">
        <v>2236</v>
      </c>
      <c r="B84" s="3122"/>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1" t="s">
        <v>775</v>
      </c>
      <c r="B85" s="202" t="s">
        <v>2256</v>
      </c>
      <c r="C85" s="205">
        <f ca="1">ROUND(D45/(1+'数据-取费表'!C42),0)</f>
        <v>36082</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1" t="s">
        <v>772</v>
      </c>
      <c r="B86" s="171" t="s">
        <v>2257</v>
      </c>
      <c r="C86" s="205">
        <f ca="1">IF(H88="仅含出让金",C87+C90+C91+C92+C93+C94,C87+C91+C92+C93+C94)</f>
        <v>180</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5" t="s">
        <v>776</v>
      </c>
      <c r="B88" s="196" t="s">
        <v>2275</v>
      </c>
      <c r="C88" s="234"/>
      <c r="D88" s="224"/>
      <c r="E88" s="235" t="s">
        <v>2276</v>
      </c>
      <c r="F88" s="1786"/>
      <c r="G88" s="236" t="s">
        <v>2277</v>
      </c>
      <c r="H88" s="2506"/>
      <c r="I88" s="2501"/>
      <c r="J88" s="2956" t="s">
        <v>3055</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4">
      <c r="A90" s="215" t="s">
        <v>771</v>
      </c>
      <c r="B90" s="196" t="s">
        <v>2279</v>
      </c>
      <c r="C90" s="234"/>
      <c r="D90" s="224"/>
      <c r="E90" s="235" t="str">
        <f>IF(H88="-","土地取得成本中已包含该笔费用"," ")</f>
        <v xml:space="preserve"> </v>
      </c>
      <c r="F90" s="1786"/>
      <c r="G90" s="3087" t="s">
        <v>3057</v>
      </c>
      <c r="H90" s="3088"/>
      <c r="I90" s="2501"/>
      <c r="J90" s="2956" t="s">
        <v>3056</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118" t="s">
        <v>2282</v>
      </c>
      <c r="F91" s="3119"/>
      <c r="G91" s="3119"/>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118" t="s">
        <v>2286</v>
      </c>
      <c r="F92" s="3119"/>
      <c r="G92" s="3119"/>
      <c r="H92" s="312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180</v>
      </c>
      <c r="D93" s="224">
        <f>'数据-取费表'!B43</f>
        <v>5.000000000000001E-3</v>
      </c>
      <c r="E93" s="3118" t="s">
        <v>2269</v>
      </c>
      <c r="F93" s="3119"/>
      <c r="G93" s="3119"/>
      <c r="H93" s="312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2" t="s">
        <v>2270</v>
      </c>
      <c r="C95" s="205">
        <f ca="1">ROUND(C85-C86,0)</f>
        <v>35902</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199.45555555555555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7" t="s">
        <v>2272</v>
      </c>
      <c r="C97" s="226">
        <f ca="1">ROUND(IF(C95&lt;=0,0,IF(C96&gt;=200%,C95*60%-C86*35%,IF(C96&gt;=100%,C95*50%-C86*15%,IF(C96&gt;=50%,C95*40%-C86*5%,IF(C96&lt;50%,C95*30%,0))))),0)</f>
        <v>21478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8" t="s">
        <v>2292</v>
      </c>
      <c r="B100" s="3069"/>
      <c r="C100" s="3069"/>
      <c r="D100" s="3102"/>
      <c r="E100" s="3069" t="s">
        <v>2293</v>
      </c>
      <c r="F100" s="3069"/>
      <c r="G100" s="3069"/>
      <c r="H100" s="3102"/>
      <c r="I100" s="136"/>
    </row>
    <row r="101" spans="1:35" ht="18.75" customHeight="1">
      <c r="A101" s="3110" t="s">
        <v>2294</v>
      </c>
      <c r="B101" s="3111"/>
      <c r="C101" s="733" t="str">
        <f>C4</f>
        <v>成本法</v>
      </c>
      <c r="D101" s="734" t="str">
        <f>D4</f>
        <v>收益法（汇总）</v>
      </c>
      <c r="E101" s="3080" t="s">
        <v>2295</v>
      </c>
      <c r="F101" s="3081"/>
      <c r="G101" s="2509" t="s">
        <v>2296</v>
      </c>
      <c r="H101" s="1042">
        <f ca="1">H118</f>
        <v>37886</v>
      </c>
      <c r="I101" s="136"/>
    </row>
    <row r="102" spans="1:35" ht="18.75" customHeight="1">
      <c r="A102" s="3112" t="s">
        <v>2297</v>
      </c>
      <c r="B102" s="2509" t="s">
        <v>2296</v>
      </c>
      <c r="C102" s="733">
        <f ca="1">C19</f>
        <v>43704</v>
      </c>
      <c r="D102" s="734">
        <f ca="1">D19</f>
        <v>32067</v>
      </c>
      <c r="E102" s="3080"/>
      <c r="F102" s="3081"/>
      <c r="G102" s="2509" t="s">
        <v>2298</v>
      </c>
      <c r="H102" s="369">
        <f ca="1">I118</f>
        <v>5656</v>
      </c>
      <c r="I102" s="136"/>
    </row>
    <row r="103" spans="1:35" ht="42.75" customHeight="1">
      <c r="A103" s="3112"/>
      <c r="B103" s="2509" t="s">
        <v>2298</v>
      </c>
      <c r="C103" s="735">
        <f ca="1">C20</f>
        <v>6524</v>
      </c>
      <c r="D103" s="736">
        <f ca="1">D20</f>
        <v>4787</v>
      </c>
      <c r="E103" s="3074" t="s">
        <v>2299</v>
      </c>
      <c r="F103" s="3075"/>
      <c r="G103" s="2510" t="s">
        <v>2300</v>
      </c>
      <c r="H103" s="1042">
        <f>IF(D36="正常操作",H104+H105+H106,H105+H106)</f>
        <v>0</v>
      </c>
      <c r="I103" s="136"/>
    </row>
    <row r="104" spans="1:35" ht="18.75" customHeight="1">
      <c r="A104" s="3112" t="s">
        <v>2301</v>
      </c>
      <c r="B104" s="2511" t="s">
        <v>2296</v>
      </c>
      <c r="C104" s="737">
        <f ca="1">H118</f>
        <v>37886</v>
      </c>
      <c r="D104" s="738"/>
      <c r="E104" s="2256" t="s">
        <v>2302</v>
      </c>
      <c r="F104" s="2247"/>
      <c r="G104" s="2510" t="s">
        <v>2300</v>
      </c>
      <c r="H104" s="1043">
        <f>IF(D36="同一抵押权人同一抵押物续贷",C36&amp;"（未扣减，详见特别提示）",C36)</f>
        <v>0</v>
      </c>
      <c r="I104" s="136"/>
    </row>
    <row r="105" spans="1:35" ht="18.75" customHeight="1" thickBot="1">
      <c r="A105" s="3124"/>
      <c r="B105" s="2512" t="s">
        <v>2298</v>
      </c>
      <c r="C105" s="739">
        <f ca="1">I118</f>
        <v>5656</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13" t="str">
        <f>IF(项目基本情况!E8="已注销","——","3.房地产抵押价值")</f>
        <v>3.房地产抵押价值</v>
      </c>
      <c r="F107" s="3081"/>
      <c r="G107" s="2509" t="s">
        <v>2296</v>
      </c>
      <c r="H107" s="1042">
        <f ca="1">IF(E107="——","——",H101-H103)</f>
        <v>37886</v>
      </c>
      <c r="I107" s="136"/>
    </row>
    <row r="108" spans="1:35" ht="18.75" customHeight="1">
      <c r="A108" s="136"/>
      <c r="B108" s="136"/>
      <c r="C108" s="136"/>
      <c r="D108" s="136"/>
      <c r="E108" s="3113"/>
      <c r="F108" s="3081"/>
      <c r="G108" s="2509" t="s">
        <v>2298</v>
      </c>
      <c r="H108" s="369">
        <f ca="1">ROUND(H107*10000/'数据-汇总表'!E3,0)</f>
        <v>5656</v>
      </c>
      <c r="I108" s="136"/>
    </row>
    <row r="109" spans="1:35" ht="18.75" customHeight="1">
      <c r="A109" s="136"/>
      <c r="B109" s="136"/>
      <c r="C109" s="136"/>
      <c r="D109" s="136"/>
      <c r="E109" s="3113" t="str">
        <f>IF(项目基本情况!E8="已注销及未注销","4.抵押担保权已注销时的房地产抵押价值",IF(项目基本情况!E8="已注销","3.抵押担保权已注销时的房地产抵押价值","——"))</f>
        <v>——</v>
      </c>
      <c r="F109" s="3081"/>
      <c r="G109" s="2509" t="s">
        <v>2296</v>
      </c>
      <c r="H109" s="346" t="str">
        <f>IF(E109="——","——",H101-H105-H106)</f>
        <v>——</v>
      </c>
      <c r="I109" s="136"/>
    </row>
    <row r="110" spans="1:35" ht="18.75" customHeight="1">
      <c r="A110" s="136"/>
      <c r="B110" s="136"/>
      <c r="C110" s="136"/>
      <c r="D110" s="136"/>
      <c r="E110" s="3113"/>
      <c r="F110" s="3081"/>
      <c r="G110" s="2509" t="s">
        <v>2298</v>
      </c>
      <c r="H110" s="369" t="str">
        <f>IF(H109="——","——",ROUND(H109*10000/'数据-汇总表'!E3,0))</f>
        <v>——</v>
      </c>
      <c r="I110" s="136"/>
    </row>
    <row r="111" spans="1:35" ht="18.75" customHeight="1">
      <c r="A111" s="136"/>
      <c r="B111" s="136"/>
      <c r="C111" s="136"/>
      <c r="D111" s="136"/>
      <c r="E111" s="3114" t="str">
        <f>IF(项目基本情况!E9="抵押净值",IF(OR(项目基本情况!E8="已注销",项目基本情况!E8="房地产抵押价值"),"4.抵押净值","5.抵押净值"),"——")</f>
        <v>——</v>
      </c>
      <c r="F111" s="3115"/>
      <c r="G111" s="2509" t="s">
        <v>2296</v>
      </c>
      <c r="H111" s="1042" t="str">
        <f>IF(E111="——","——",N59)</f>
        <v>——</v>
      </c>
      <c r="I111" s="136"/>
    </row>
    <row r="112" spans="1:35" ht="18.75" customHeight="1" thickBot="1">
      <c r="A112" s="136"/>
      <c r="B112" s="136"/>
      <c r="C112" s="136"/>
      <c r="D112" s="136"/>
      <c r="E112" s="3116"/>
      <c r="F112" s="3117"/>
      <c r="G112" s="2514" t="s">
        <v>2298</v>
      </c>
      <c r="H112" s="787" t="str">
        <f>IF(E111="——","——",N61)</f>
        <v>——</v>
      </c>
      <c r="I112" s="136"/>
    </row>
    <row r="113" spans="1:11" ht="18.75" customHeight="1">
      <c r="A113" s="136"/>
      <c r="B113" s="136"/>
      <c r="C113" s="136"/>
      <c r="D113" s="136"/>
      <c r="E113" s="3125" t="s">
        <v>2304</v>
      </c>
      <c r="F113" s="3125"/>
      <c r="G113" s="3125"/>
      <c r="H113" s="3125"/>
      <c r="I113" s="136"/>
    </row>
    <row r="114" spans="1:11" ht="3.75" customHeight="1">
      <c r="A114" s="2407"/>
      <c r="B114" s="2407"/>
      <c r="C114" s="2407"/>
      <c r="D114" s="2407"/>
      <c r="E114" s="2485"/>
      <c r="F114" s="2485"/>
      <c r="G114" s="2485"/>
      <c r="H114" s="2485"/>
      <c r="I114" s="2407"/>
    </row>
    <row r="115" spans="1:11" ht="18.75" customHeight="1">
      <c r="A115" s="3138" t="s">
        <v>2306</v>
      </c>
      <c r="B115" s="3139"/>
      <c r="C115" s="3139"/>
      <c r="D115" s="3139"/>
      <c r="E115" s="3139"/>
      <c r="F115" s="3139"/>
      <c r="G115" s="3139"/>
      <c r="H115" s="3139"/>
      <c r="I115" s="3140"/>
    </row>
    <row r="116" spans="1:11" ht="27" customHeight="1">
      <c r="A116" s="3047" t="s">
        <v>2307</v>
      </c>
      <c r="B116" s="3092" t="s">
        <v>2308</v>
      </c>
      <c r="C116" s="3092" t="s">
        <v>2309</v>
      </c>
      <c r="D116" s="3098" t="s">
        <v>2310</v>
      </c>
      <c r="E116" s="3099"/>
      <c r="F116" s="3134" t="s">
        <v>3152</v>
      </c>
      <c r="G116" s="3134"/>
      <c r="H116" s="3047" t="s">
        <v>2311</v>
      </c>
      <c r="I116" s="3047"/>
    </row>
    <row r="117" spans="1:11" ht="18.75" customHeight="1">
      <c r="A117" s="3047"/>
      <c r="B117" s="3093"/>
      <c r="C117" s="3093"/>
      <c r="D117" s="1784" t="s">
        <v>2312</v>
      </c>
      <c r="E117" s="1784" t="s">
        <v>2313</v>
      </c>
      <c r="F117" s="1784" t="s">
        <v>2312</v>
      </c>
      <c r="G117" s="1784" t="s">
        <v>2314</v>
      </c>
      <c r="H117" s="1784" t="s">
        <v>2312</v>
      </c>
      <c r="I117" s="1784" t="s">
        <v>2314</v>
      </c>
    </row>
    <row r="118" spans="1:11" ht="24.75" customHeight="1">
      <c r="A118" s="2515" t="str">
        <f>项目基本情况!S2</f>
        <v>北京市房地产</v>
      </c>
      <c r="B118" s="1784">
        <f>M18</f>
        <v>66988.94</v>
      </c>
      <c r="C118" s="1784">
        <f>M19</f>
        <v>120628.8</v>
      </c>
      <c r="D118" s="1784">
        <f ca="1">ROUND(IF(D32="总价",C34,E118*B118/10000),0)</f>
        <v>19814</v>
      </c>
      <c r="E118" s="1784">
        <f ca="1">ROUND(IF(C33="自定义",IF(D32="楼面单价",C34,D118*10000/B118),I118-G118),0)</f>
        <v>2958</v>
      </c>
      <c r="F118" s="1784">
        <f ca="1">ROUND(IF(D32="总价",C35,G118*B118/10000),0)</f>
        <v>18072</v>
      </c>
      <c r="G118" s="1784">
        <f ca="1">ROUND(IF(D32="楼面单价",C35,F118*10000/B118),0)</f>
        <v>2698</v>
      </c>
      <c r="H118" s="1784">
        <f ca="1">ROUND(IF(D32="总价",C32,I118*B118/10000),0)</f>
        <v>37886</v>
      </c>
      <c r="I118" s="1784">
        <f ca="1">ROUND(IF(D32="楼面单价",C32,H118*10000/B118),0)</f>
        <v>5656</v>
      </c>
    </row>
    <row r="119" spans="1:11" ht="18.75" customHeight="1">
      <c r="A119" s="3047" t="s">
        <v>2315</v>
      </c>
      <c r="B119" s="3047"/>
      <c r="C119" s="3047"/>
      <c r="D119" s="3094" t="str">
        <f ca="1">NUMBERSTRING(INT(D118*10000),2)&amp;"元整"</f>
        <v>壹亿玖仟捌佰壹拾肆万元整</v>
      </c>
      <c r="E119" s="3095"/>
      <c r="F119" s="3094" t="str">
        <f ca="1">NUMBERSTRING(INT(F118*10000),2)&amp;"元整"</f>
        <v>壹亿捌仟零柒拾贰万元整</v>
      </c>
      <c r="G119" s="3095"/>
      <c r="H119" s="3094" t="str">
        <f ca="1">NUMBERSTRING(INT(H118*10000),2)&amp;"元整"</f>
        <v>叁亿柒仟捌佰捌拾陆万元整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2" t="str">
        <f>IF(D120=0,"故，本次评估不存在"&amp;A120,"故，本次评估"&amp;A120&amp;"为人民币"&amp;D120&amp;"万元整。")</f>
        <v>故，本次评估不存在估价师知悉的法定优先受偿款</v>
      </c>
    </row>
    <row r="121" spans="1:11" ht="18.75" customHeight="1">
      <c r="A121" s="3135" t="s">
        <v>2315</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37886</v>
      </c>
      <c r="E122" s="3090"/>
      <c r="F122" s="3090"/>
      <c r="G122" s="3090"/>
      <c r="H122" s="3090"/>
      <c r="I122" s="3091"/>
    </row>
    <row r="123" spans="1:11" ht="18.75" customHeight="1">
      <c r="A123" s="3047" t="s">
        <v>2315</v>
      </c>
      <c r="B123" s="3047"/>
      <c r="C123" s="3047"/>
      <c r="D123" s="3094" t="str">
        <f ca="1">NUMBERSTRING(INT(D122*10000),2)&amp;"元整"</f>
        <v>叁亿柒仟捌佰捌拾陆万元整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7" t="s">
        <v>2315</v>
      </c>
      <c r="B125" s="3047"/>
      <c r="C125" s="3047"/>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7" t="s">
        <v>2315</v>
      </c>
      <c r="B127" s="3047"/>
      <c r="C127" s="3047"/>
      <c r="D127" s="3094" t="e">
        <f>NUMBERSTRING(INT(D126*10000),2)&amp;"元整"</f>
        <v>#VALUE!</v>
      </c>
      <c r="E127" s="3096"/>
      <c r="F127" s="3096"/>
      <c r="G127" s="3096"/>
      <c r="H127" s="3096"/>
      <c r="I127" s="3095"/>
    </row>
    <row r="128" spans="1:11" ht="21.75" customHeight="1">
      <c r="A128" s="3097" t="s">
        <v>2316</v>
      </c>
      <c r="B128" s="3097"/>
      <c r="C128" s="3097"/>
      <c r="D128" s="3097"/>
      <c r="E128" s="3097"/>
      <c r="F128" s="3097"/>
      <c r="G128" s="3097"/>
      <c r="H128" s="3097"/>
      <c r="I128" s="3097"/>
    </row>
    <row r="129" spans="1:35" ht="21.75" customHeight="1">
      <c r="A129" s="2516" t="s">
        <v>2317</v>
      </c>
      <c r="B129" s="2517"/>
      <c r="C129" s="2518" t="s">
        <v>2318</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2319</v>
      </c>
      <c r="G135" s="2533"/>
      <c r="H135" s="2533"/>
      <c r="I135" s="2534" t="s">
        <v>2320</v>
      </c>
    </row>
    <row r="136" spans="1:35" ht="21.75" customHeight="1">
      <c r="A136" s="792"/>
      <c r="B136" s="253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2322</v>
      </c>
    </row>
    <row r="139" spans="1:35" ht="21.75" customHeight="1">
      <c r="A139" s="792"/>
      <c r="B139" s="2535" t="s">
        <v>2323</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2322</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81" t="str">
        <f>项目基本情况!B1</f>
        <v>北京市房地产抵押价值预评估</v>
      </c>
      <c r="C37" s="2981"/>
      <c r="D37" s="2981"/>
      <c r="E37" s="2981"/>
      <c r="F37" s="2981"/>
      <c r="G37" s="2981"/>
      <c r="H37" s="2981"/>
      <c r="I37" s="2981"/>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c r="B46" s="1930" t="str">
        <f ca="1">项目基本情况!K4</f>
        <v>吴薇（注册号：1419970001)、（注册号：0)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A35" sqref="A35"/>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2324</v>
      </c>
      <c r="B1" s="1925"/>
      <c r="C1" s="240"/>
      <c r="D1" s="240"/>
      <c r="E1" s="240"/>
      <c r="F1" s="240"/>
      <c r="G1" s="1376">
        <f>MATCH(B1,'数据-取费表'!A6:A16,0)+5</f>
        <v>8</v>
      </c>
    </row>
    <row r="2" spans="1:9" s="242" customFormat="1" ht="18" customHeight="1">
      <c r="A2" s="243" t="s">
        <v>2325</v>
      </c>
      <c r="B2" s="244">
        <f ca="1">IF(D2="——",C52,C52-E2)</f>
        <v>43704</v>
      </c>
      <c r="C2" s="241" t="s">
        <v>2326</v>
      </c>
      <c r="D2" s="2538" t="s">
        <v>70</v>
      </c>
      <c r="E2" s="1437" t="e">
        <f ca="1">SUMIF(INDIRECT("'"&amp;G2&amp;"'"&amp;"!A:A"),"承租人权益价值",INDIRECT("'"&amp;G2&amp;"'"&amp;"!c:c"))</f>
        <v>#REF!</v>
      </c>
      <c r="F2" s="2539" t="s">
        <v>2326</v>
      </c>
      <c r="G2" s="2540"/>
    </row>
    <row r="3" spans="1:9" s="242" customFormat="1" ht="18" customHeight="1" thickBot="1">
      <c r="A3" s="245" t="s">
        <v>2327</v>
      </c>
      <c r="B3" s="246">
        <f ca="1">ROUND(B2*10000/(IF(B1="",'数据-汇总表'!E3,INDIRECT("'数据-取费表'!k"&amp;$G$1))),0)</f>
        <v>6524</v>
      </c>
      <c r="C3" s="241" t="s">
        <v>2328</v>
      </c>
      <c r="D3" s="241"/>
      <c r="E3" s="241"/>
      <c r="F3" s="241"/>
      <c r="G3" s="241"/>
    </row>
    <row r="4" spans="1:9" s="250" customFormat="1" ht="16.2">
      <c r="A4" s="247" t="s">
        <v>2329</v>
      </c>
      <c r="B4" s="248"/>
      <c r="C4" s="248"/>
      <c r="D4" s="248"/>
      <c r="E4" s="248"/>
      <c r="F4" s="248"/>
      <c r="G4" s="249"/>
    </row>
    <row r="5" spans="1:9" s="256" customFormat="1" ht="13.5" customHeight="1">
      <c r="A5" s="297" t="s">
        <v>2330</v>
      </c>
      <c r="B5" s="252" t="s">
        <v>2331</v>
      </c>
      <c r="C5" s="253">
        <f ca="1">C6+C7+C8</f>
        <v>16965</v>
      </c>
      <c r="D5" s="253" t="s">
        <v>2332</v>
      </c>
      <c r="E5" s="254" t="s">
        <v>2333</v>
      </c>
      <c r="F5" s="254" t="s">
        <v>2334</v>
      </c>
      <c r="G5" s="255"/>
    </row>
    <row r="6" spans="1:9" s="256" customFormat="1" ht="13.5" customHeight="1">
      <c r="A6" s="946" t="s">
        <v>2335</v>
      </c>
      <c r="B6" s="257" t="s">
        <v>2336</v>
      </c>
      <c r="C6" s="258">
        <f ca="1">基准地价修正!B2</f>
        <v>16463</v>
      </c>
      <c r="D6" s="259"/>
      <c r="E6" s="260"/>
      <c r="F6" s="260"/>
      <c r="G6" s="261"/>
    </row>
    <row r="7" spans="1:9" s="256" customFormat="1" ht="13.5" customHeight="1">
      <c r="A7" s="946" t="s">
        <v>2337</v>
      </c>
      <c r="B7" s="257" t="s">
        <v>2338</v>
      </c>
      <c r="C7" s="262">
        <f ca="1">ROUND(C6*F7,0)</f>
        <v>502</v>
      </c>
      <c r="D7" s="262"/>
      <c r="E7" s="260"/>
      <c r="F7" s="263">
        <f>IF(项目基本情况!B8="出让",0,'数据-取费表'!B48+'数据-取费表'!B49)</f>
        <v>3.0499999999999999E-2</v>
      </c>
      <c r="G7" s="261"/>
    </row>
    <row r="8" spans="1:9" s="265" customFormat="1">
      <c r="A8" s="946" t="s">
        <v>2339</v>
      </c>
      <c r="B8" s="257" t="s">
        <v>2340</v>
      </c>
      <c r="C8" s="262" t="str">
        <f>IF(G8="已包含在土地购买价格中","0",IF(B1="",'数据-取费表'!B29,IF(G9="全部缴纳",C9+C10,H9)))</f>
        <v>0</v>
      </c>
      <c r="D8" s="264"/>
      <c r="E8" s="262"/>
      <c r="F8" s="263"/>
      <c r="G8" s="2541" t="s">
        <v>1144</v>
      </c>
    </row>
    <row r="9" spans="1:9" s="256" customFormat="1" ht="13.5" customHeight="1">
      <c r="A9" s="947" t="s">
        <v>800</v>
      </c>
      <c r="B9" s="266" t="s">
        <v>2341</v>
      </c>
      <c r="C9" s="267">
        <f ca="1">ROUND(D9*E9/10000,0)</f>
        <v>0</v>
      </c>
      <c r="D9" s="1029">
        <f ca="1">IF(B1="",'数据-汇总表'!E5,IF(INDIRECT("'数据-取费表'!c"&amp;$G$1)="住宅",INDIRECT("'数据-取费表'!k"&amp;$G$1),0))</f>
        <v>0</v>
      </c>
      <c r="E9" s="267">
        <f>'数据-取费表'!B27</f>
        <v>160</v>
      </c>
      <c r="F9" s="263"/>
      <c r="G9" s="2542" t="s">
        <v>3095</v>
      </c>
      <c r="H9" s="1387"/>
      <c r="I9" s="2543" t="s">
        <v>2342</v>
      </c>
    </row>
    <row r="10" spans="1:9" s="256" customFormat="1" ht="13.5" customHeight="1">
      <c r="A10" s="947" t="s">
        <v>801</v>
      </c>
      <c r="B10" s="266" t="s">
        <v>2343</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2344</v>
      </c>
      <c r="C11" s="253"/>
      <c r="D11" s="1031"/>
      <c r="E11" s="260"/>
      <c r="F11" s="260"/>
      <c r="G11" s="261"/>
    </row>
    <row r="12" spans="1:9" s="256" customFormat="1" ht="13.5" hidden="1" customHeight="1">
      <c r="A12" s="269" t="s">
        <v>8</v>
      </c>
      <c r="B12" s="257" t="s">
        <v>2345</v>
      </c>
      <c r="C12" s="253">
        <v>0</v>
      </c>
      <c r="D12" s="1031"/>
      <c r="E12" s="270"/>
      <c r="F12" s="263">
        <v>3.0499999999999999E-2</v>
      </c>
      <c r="G12" s="261"/>
    </row>
    <row r="13" spans="1:9" s="256" customFormat="1" ht="13.5" hidden="1" customHeight="1">
      <c r="A13" s="269" t="s">
        <v>9</v>
      </c>
      <c r="B13" s="257" t="s">
        <v>2346</v>
      </c>
      <c r="C13" s="253"/>
      <c r="D13" s="1031"/>
      <c r="E13" s="260"/>
      <c r="F13" s="260"/>
      <c r="G13" s="261"/>
    </row>
    <row r="14" spans="1:9" s="256" customFormat="1" ht="13.5" hidden="1" customHeight="1">
      <c r="A14" s="269" t="s">
        <v>10</v>
      </c>
      <c r="B14" s="257" t="s">
        <v>2347</v>
      </c>
      <c r="C14" s="253"/>
      <c r="D14" s="1031"/>
      <c r="E14" s="260"/>
      <c r="F14" s="260"/>
      <c r="G14" s="261" t="s">
        <v>2348</v>
      </c>
    </row>
    <row r="15" spans="1:9" s="256" customFormat="1" ht="13.5" hidden="1" customHeight="1">
      <c r="A15" s="269" t="s">
        <v>11</v>
      </c>
      <c r="B15" s="257" t="s">
        <v>2349</v>
      </c>
      <c r="C15" s="262"/>
      <c r="D15" s="1031"/>
      <c r="E15" s="260"/>
      <c r="F15" s="260"/>
      <c r="G15" s="261" t="s">
        <v>2350</v>
      </c>
    </row>
    <row r="16" spans="1:9" s="256" customFormat="1" ht="13.5" hidden="1" customHeight="1">
      <c r="A16" s="269" t="s">
        <v>12</v>
      </c>
      <c r="B16" s="257" t="s">
        <v>2347</v>
      </c>
      <c r="C16" s="262"/>
      <c r="D16" s="1031"/>
      <c r="E16" s="260"/>
      <c r="F16" s="260"/>
      <c r="G16" s="261"/>
    </row>
    <row r="17" spans="1:7" s="256" customFormat="1" ht="13.5" hidden="1" customHeight="1">
      <c r="A17" s="269" t="s">
        <v>13</v>
      </c>
      <c r="B17" s="257" t="s">
        <v>2351</v>
      </c>
      <c r="C17" s="271"/>
      <c r="D17" s="1032"/>
      <c r="E17" s="271"/>
      <c r="F17" s="271"/>
      <c r="G17" s="261" t="s">
        <v>2350</v>
      </c>
    </row>
    <row r="18" spans="1:7" s="256" customFormat="1" ht="13.5" hidden="1" customHeight="1">
      <c r="A18" s="269" t="s">
        <v>14</v>
      </c>
      <c r="B18" s="257" t="s">
        <v>2352</v>
      </c>
      <c r="C18" s="262">
        <v>0</v>
      </c>
      <c r="D18" s="1031"/>
      <c r="E18" s="260"/>
      <c r="F18" s="263">
        <v>3.0499999999999999E-2</v>
      </c>
      <c r="G18" s="261" t="s">
        <v>2353</v>
      </c>
    </row>
    <row r="19" spans="1:7" s="265" customFormat="1" ht="13.5" customHeight="1">
      <c r="A19" s="297" t="s">
        <v>2354</v>
      </c>
      <c r="B19" s="252" t="s">
        <v>2355</v>
      </c>
      <c r="C19" s="253" t="str">
        <f>IF(G19="已包含在土地取得成本中","0",ROUND(D19*E19/10000,0))</f>
        <v>0</v>
      </c>
      <c r="D19" s="1033">
        <f ca="1">D9+D10</f>
        <v>66988.94</v>
      </c>
      <c r="E19" s="253">
        <f>'数据-取费表'!B31</f>
        <v>180</v>
      </c>
      <c r="F19" s="273"/>
      <c r="G19" s="2541" t="s">
        <v>3142</v>
      </c>
    </row>
    <row r="20" spans="1:7" s="256" customFormat="1" ht="13.5" customHeight="1">
      <c r="A20" s="297" t="s">
        <v>2356</v>
      </c>
      <c r="B20" s="252" t="s">
        <v>2357</v>
      </c>
      <c r="C20" s="274">
        <f ca="1">ROUND((C5+C19)*F20,0)</f>
        <v>339</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1">
        <f ca="1">ROUND(SUM(C23:C25),0)</f>
        <v>1235</v>
      </c>
      <c r="D22" s="277">
        <f ca="1">C26</f>
        <v>6.9999999999999999E-4</v>
      </c>
      <c r="E22" s="278" t="s">
        <v>2361</v>
      </c>
      <c r="F22" s="279">
        <f ca="1">'数据-取费表'!B40</f>
        <v>4.7500000000000001E-2</v>
      </c>
      <c r="G22" s="276" t="str">
        <f>IF('数据-取费表'!B22&lt;=1,"单利计息","复利计息")</f>
        <v>复利计息</v>
      </c>
    </row>
    <row r="23" spans="1:7" s="256" customFormat="1" ht="13.5" customHeight="1">
      <c r="A23" s="948" t="s">
        <v>2365</v>
      </c>
      <c r="B23" s="257" t="s">
        <v>2366</v>
      </c>
      <c r="C23" s="1352">
        <f ca="1">ROUND(IF('数据-取费表'!B22&lt;=1,C5*F22*'数据-取费表'!B23,C5*(POWER((1+F22),'数据-取费表'!B23)-1)),0)</f>
        <v>1223</v>
      </c>
      <c r="D23" s="280"/>
      <c r="E23" s="280"/>
      <c r="F23" s="281"/>
      <c r="G23" s="282" t="s">
        <v>2367</v>
      </c>
    </row>
    <row r="24" spans="1:7" s="256" customFormat="1" ht="13.5" customHeight="1">
      <c r="A24" s="948" t="s">
        <v>2368</v>
      </c>
      <c r="B24" s="257" t="s">
        <v>2369</v>
      </c>
      <c r="C24" s="1352">
        <f ca="1">ROUND(IF('数据-取费表'!B22&lt;=1,C19*F22*('数据-取费表'!B19/2+'数据-取费表'!B21),C19*(POWER((1+F22),('数据-取费表'!B19/2+'数据-取费表'!B21))-1)),0)</f>
        <v>0</v>
      </c>
      <c r="D24" s="280"/>
      <c r="E24" s="280"/>
      <c r="F24" s="281"/>
      <c r="G24" s="282" t="s">
        <v>2370</v>
      </c>
    </row>
    <row r="25" spans="1:7" s="256" customFormat="1" ht="24">
      <c r="A25" s="948" t="s">
        <v>2371</v>
      </c>
      <c r="B25" s="257" t="s">
        <v>2372</v>
      </c>
      <c r="C25" s="1352">
        <f ca="1">ROUND(IF('数据-取费表'!B22&lt;=1,C20*F22*'数据-取费表'!B23/2,C20*(POWER((1+F22),'数据-取费表'!B23/2)-1)),0)</f>
        <v>12</v>
      </c>
      <c r="D25" s="280"/>
      <c r="E25" s="283"/>
      <c r="F25" s="281"/>
      <c r="G25" s="284" t="s">
        <v>2373</v>
      </c>
    </row>
    <row r="26" spans="1:7" s="256" customFormat="1">
      <c r="A26" s="948" t="s">
        <v>795</v>
      </c>
      <c r="B26" s="257" t="s">
        <v>2374</v>
      </c>
      <c r="C26" s="280">
        <f ca="1">ROUND(IF('数据-取费表'!B22&lt;=1,F21*F22*'数据-取费表'!B23/2,F21*(POWER((1+F22),'数据-取费表'!B23/2)-1)),4)</f>
        <v>6.9999999999999999E-4</v>
      </c>
      <c r="D26" s="280"/>
      <c r="E26" s="283"/>
      <c r="F26" s="281"/>
      <c r="G26" s="285"/>
    </row>
    <row r="27" spans="1:7" s="256" customFormat="1" ht="26.4">
      <c r="A27" s="297" t="s">
        <v>2375</v>
      </c>
      <c r="B27" s="286" t="s">
        <v>2376</v>
      </c>
      <c r="C27" s="287">
        <f ca="1">C28</f>
        <v>2596</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ROUND((C5+C19+C20)*F27*'数据-取费表'!B21/'数据-取费表'!B20,0)</f>
        <v>2596</v>
      </c>
      <c r="D28" s="277"/>
      <c r="E28" s="278"/>
      <c r="F28" s="288"/>
      <c r="G28" s="289"/>
    </row>
    <row r="29" spans="1:7" s="256" customFormat="1" ht="13.5" customHeight="1">
      <c r="A29" s="948" t="s">
        <v>792</v>
      </c>
      <c r="B29" s="290" t="s">
        <v>2380</v>
      </c>
      <c r="C29" s="280">
        <f ca="1">ROUND(C21*F27*'数据-取费表'!B21/'数据-取费表'!B20,4)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22876</v>
      </c>
      <c r="D31" s="272"/>
      <c r="E31" s="253"/>
      <c r="F31" s="292"/>
      <c r="G31" s="276" t="s">
        <v>2385</v>
      </c>
    </row>
    <row r="32" spans="1:7" s="250" customFormat="1" ht="16.2">
      <c r="A32" s="294" t="s">
        <v>2386</v>
      </c>
      <c r="B32" s="295"/>
      <c r="C32" s="295"/>
      <c r="D32" s="295"/>
      <c r="E32" s="295"/>
      <c r="F32" s="295"/>
      <c r="G32" s="296"/>
    </row>
    <row r="33" spans="1:7" s="256" customFormat="1" ht="13.5" customHeight="1">
      <c r="A33" s="297" t="s">
        <v>782</v>
      </c>
      <c r="B33" s="252" t="s">
        <v>2387</v>
      </c>
      <c r="C33" s="298">
        <f ca="1">SUM(C34:C38)</f>
        <v>19770</v>
      </c>
      <c r="D33" s="274"/>
      <c r="E33" s="254"/>
      <c r="F33" s="283"/>
      <c r="G33" s="276"/>
    </row>
    <row r="34" spans="1:7" s="300" customFormat="1" ht="13.5" customHeight="1">
      <c r="A34" s="948" t="s">
        <v>791</v>
      </c>
      <c r="B34" s="257" t="s">
        <v>2388</v>
      </c>
      <c r="C34" s="262">
        <f ca="1">IF(B1="",IF(F34=100%,'数据-取费表'!M16,'数据-取费表'!O16),IF(F34=100%,INDIRECT("'数据-取费表'!m"&amp;$G$1)+INDIRECT("'数据-取费表'!t"&amp;$G$1),INDIRECT("'数据-取费表'!o"&amp;$G$1)+INDIRECT("'数据-取费表'!aq"&amp;$G$1)))</f>
        <v>17765</v>
      </c>
      <c r="D34" s="259"/>
      <c r="E34" s="262"/>
      <c r="F34" s="299">
        <f ca="1">IF('数据-取费表'!B24=0,1,IF(B1="",'数据-取费表'!N16,INDIRECT("'数据-取费表'!n"&amp;$G$1)))</f>
        <v>1</v>
      </c>
      <c r="G34" s="261" t="s">
        <v>2389</v>
      </c>
    </row>
    <row r="35" spans="1:7" ht="13.5" customHeight="1">
      <c r="A35" s="948" t="s">
        <v>796</v>
      </c>
      <c r="B35" s="257" t="s">
        <v>2390</v>
      </c>
      <c r="C35" s="262">
        <f ca="1">ROUND(C34*F35,0)</f>
        <v>533</v>
      </c>
      <c r="D35" s="262"/>
      <c r="E35" s="262"/>
      <c r="F35" s="301">
        <f>'数据-取费表'!B33</f>
        <v>0.03</v>
      </c>
      <c r="G35" s="261" t="s">
        <v>2391</v>
      </c>
    </row>
    <row r="36" spans="1:7" ht="24">
      <c r="A36" s="948" t="s">
        <v>797</v>
      </c>
      <c r="B36" s="257" t="s">
        <v>2392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2393</v>
      </c>
    </row>
    <row r="37" spans="1:7" s="300" customFormat="1" ht="13.5" customHeight="1">
      <c r="A37" s="948" t="s">
        <v>798</v>
      </c>
      <c r="B37" s="257" t="s">
        <v>2394</v>
      </c>
      <c r="C37" s="291">
        <f ca="1">ROUND(E37*D37*F34/10000,0)</f>
        <v>1206</v>
      </c>
      <c r="D37" s="259">
        <f ca="1">D19</f>
        <v>66988.94</v>
      </c>
      <c r="E37" s="291">
        <f>'数据-取费表'!B35</f>
        <v>180</v>
      </c>
      <c r="F37" s="301"/>
      <c r="G37" s="303" t="s">
        <v>2395</v>
      </c>
    </row>
    <row r="38" spans="1:7" ht="13.5" customHeight="1">
      <c r="A38" s="948" t="s">
        <v>799</v>
      </c>
      <c r="B38" s="257" t="s">
        <v>2396</v>
      </c>
      <c r="C38" s="262">
        <f ca="1">ROUND(C34*F38,0)</f>
        <v>266</v>
      </c>
      <c r="D38" s="262"/>
      <c r="E38" s="262"/>
      <c r="F38" s="301">
        <f>'数据-取费表'!B36</f>
        <v>1.4999999999999999E-2</v>
      </c>
      <c r="G38" s="261" t="s">
        <v>2391</v>
      </c>
    </row>
    <row r="39" spans="1:7" s="256" customFormat="1" ht="13.5" customHeight="1">
      <c r="A39" s="297" t="s">
        <v>2397</v>
      </c>
      <c r="B39" s="252" t="s">
        <v>2398</v>
      </c>
      <c r="C39" s="274">
        <f ca="1">ROUND(C33*F20,0)</f>
        <v>395</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714</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ROUND(IF('数据-取费表'!B22&lt;=1,C33*F22*'数据-取费表'!B21/2,C33*(POWER((1+F22),'数据-取费表'!B21/2)-1)),0)</f>
        <v>700</v>
      </c>
      <c r="D42" s="280"/>
      <c r="E42" s="280"/>
      <c r="F42" s="281"/>
      <c r="G42" s="3169" t="s">
        <v>2407</v>
      </c>
    </row>
    <row r="43" spans="1:7" ht="13.5" customHeight="1">
      <c r="A43" s="948" t="s">
        <v>792</v>
      </c>
      <c r="B43" s="257" t="s">
        <v>2408</v>
      </c>
      <c r="C43" s="280">
        <f ca="1">ROUND(IF('数据-取费表'!B22&lt;=1,C39*F22*'数据-取费表'!B21/2,C39*(POWER((1+F22),'数据-取费表'!B21/2)-1)),0)</f>
        <v>14</v>
      </c>
      <c r="D43" s="280"/>
      <c r="E43" s="280"/>
      <c r="F43" s="281"/>
      <c r="G43" s="3170"/>
    </row>
    <row r="44" spans="1:7" ht="13.5" customHeight="1">
      <c r="A44" s="948" t="s">
        <v>793</v>
      </c>
      <c r="B44" s="257" t="s">
        <v>2409</v>
      </c>
      <c r="C44" s="280">
        <f ca="1">ROUND(IF('数据-取费表'!B22&lt;=1,C40*F22*'数据-取费表'!B21/2,C40*(POWER((1+F22),'数据-取费表'!B21/2)-1)),4)</f>
        <v>6.9999999999999999E-4</v>
      </c>
      <c r="D44" s="280"/>
      <c r="E44" s="280"/>
      <c r="F44" s="281"/>
      <c r="G44" s="3171"/>
    </row>
    <row r="45" spans="1:7" s="256" customFormat="1" ht="13.5" customHeight="1">
      <c r="A45" s="297" t="s">
        <v>2410</v>
      </c>
      <c r="B45" s="286" t="s">
        <v>2376</v>
      </c>
      <c r="C45" s="287">
        <f ca="1">C46</f>
        <v>3025</v>
      </c>
      <c r="D45" s="277">
        <f ca="1">C47</f>
        <v>3.0000000000000001E-3</v>
      </c>
      <c r="E45" s="278" t="s">
        <v>2402</v>
      </c>
      <c r="F45" s="288"/>
      <c r="G45" s="289" t="s">
        <v>2411</v>
      </c>
    </row>
    <row r="46" spans="1:7" s="256" customFormat="1" ht="13.5" customHeight="1">
      <c r="A46" s="948" t="s">
        <v>791</v>
      </c>
      <c r="B46" s="290" t="s">
        <v>2412</v>
      </c>
      <c r="C46" s="291">
        <f ca="1">ROUND((C33+C39)*F27,0)</f>
        <v>3025</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1725">
        <f>ROUND(F30/(1+'数据-取费表'!C42),4)</f>
        <v>5.2400000000000002E-2</v>
      </c>
      <c r="D48" s="278" t="s">
        <v>2402</v>
      </c>
      <c r="E48" s="274"/>
      <c r="F48" s="279"/>
      <c r="G48" s="276" t="s">
        <v>2415</v>
      </c>
    </row>
    <row r="49" spans="1:7" ht="16.5" customHeight="1">
      <c r="A49" s="297" t="s">
        <v>2381</v>
      </c>
      <c r="B49" s="252" t="s">
        <v>2416</v>
      </c>
      <c r="C49" s="274">
        <f ca="1">ROUND((C33+C39+C41+C45)/(1-C40-D41-D45-C48),0)</f>
        <v>25873</v>
      </c>
      <c r="D49" s="274"/>
      <c r="E49" s="274"/>
      <c r="F49" s="306"/>
      <c r="G49" s="276" t="s">
        <v>2417</v>
      </c>
    </row>
    <row r="50" spans="1:7" s="300" customFormat="1" ht="24">
      <c r="A50" s="297" t="s">
        <v>2418</v>
      </c>
      <c r="B50" s="252" t="s">
        <v>2419</v>
      </c>
      <c r="C50" s="274"/>
      <c r="D50" s="274"/>
      <c r="E50" s="274"/>
      <c r="F50" s="306">
        <f>IF('数据-取费表'!B24=0,'数据-取费表'!N16,1)</f>
        <v>0.80500000000000005</v>
      </c>
      <c r="G50" s="289" t="s">
        <v>2420</v>
      </c>
    </row>
    <row r="51" spans="1:7" ht="16.5" customHeight="1">
      <c r="A51" s="297" t="s">
        <v>2421</v>
      </c>
      <c r="B51" s="252" t="s">
        <v>2422</v>
      </c>
      <c r="C51" s="274">
        <f ca="1">ROUND(C49*F50,0)</f>
        <v>20828</v>
      </c>
      <c r="D51" s="274"/>
      <c r="E51" s="274"/>
      <c r="F51" s="306"/>
      <c r="G51" s="276" t="s">
        <v>2423</v>
      </c>
    </row>
    <row r="52" spans="1:7" s="250" customFormat="1" ht="16.8" thickBot="1">
      <c r="A52" s="307" t="s">
        <v>2424</v>
      </c>
      <c r="B52" s="308"/>
      <c r="C52" s="309">
        <f ca="1">C31+C51</f>
        <v>43704</v>
      </c>
      <c r="D52" s="308"/>
      <c r="E52" s="308"/>
      <c r="F52" s="308"/>
      <c r="G52" s="310"/>
    </row>
    <row r="55" spans="1:7" ht="15">
      <c r="B55" s="312" t="s">
        <v>2425</v>
      </c>
      <c r="C55" s="313"/>
    </row>
    <row r="56" spans="1:7">
      <c r="B56" s="315" t="s">
        <v>1507</v>
      </c>
      <c r="C56" s="317">
        <f ca="1">1-C57</f>
        <v>0.52300000000000002</v>
      </c>
    </row>
    <row r="57" spans="1:7">
      <c r="B57" s="315" t="s">
        <v>1508</v>
      </c>
      <c r="C57" s="316">
        <f ca="1">ROUND(C51/C52,3)</f>
        <v>0.47699999999999998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2324</v>
      </c>
      <c r="B1" s="1925"/>
      <c r="C1" s="2544" t="s">
        <v>2426</v>
      </c>
      <c r="D1" s="240"/>
      <c r="E1" s="240"/>
      <c r="F1" s="240"/>
      <c r="G1" s="1376">
        <f>MATCH(B1,'数据-取费表'!A6:A16,0)+5</f>
        <v>8</v>
      </c>
      <c r="H1" s="1279" t="str">
        <f>IF(ISERROR(FIND("住宅",B1)),"非住宅","住宅")</f>
        <v>非住宅</v>
      </c>
    </row>
    <row r="2" spans="1:8" s="242" customFormat="1" ht="18" customHeight="1">
      <c r="A2" s="243" t="s">
        <v>2325</v>
      </c>
      <c r="B2" s="244">
        <f ca="1">ROUND(IF(D2="——",C52/10000,C52/10000-E2),0)</f>
        <v>24261</v>
      </c>
      <c r="C2" s="241" t="s">
        <v>2326</v>
      </c>
      <c r="D2" s="2538" t="s">
        <v>70</v>
      </c>
      <c r="E2" s="1437" t="e">
        <f ca="1">SUMIF(INDIRECT("'"&amp;G2&amp;"'"&amp;"!A:A"),"承租人权益价值",INDIRECT("'"&amp;G2&amp;"'"&amp;"!c:c"))</f>
        <v>#REF!</v>
      </c>
      <c r="F2" s="2539" t="s">
        <v>2326</v>
      </c>
      <c r="G2" s="2540"/>
    </row>
    <row r="3" spans="1:8" s="242" customFormat="1" ht="18" customHeight="1" thickBot="1">
      <c r="A3" s="245" t="s">
        <v>2327</v>
      </c>
      <c r="B3" s="246">
        <f ca="1">ROUND(B2*10000/(IF(B1="",'数据-汇总表'!E3,INDIRECT("'数据-取费表'!k"&amp;$G$1))),0)</f>
        <v>3622</v>
      </c>
      <c r="C3" s="241" t="s">
        <v>2328</v>
      </c>
      <c r="D3" s="241"/>
      <c r="E3" s="241"/>
      <c r="F3" s="241"/>
      <c r="G3" s="241"/>
    </row>
    <row r="4" spans="1:8" s="250" customFormat="1" ht="16.2">
      <c r="A4" s="247" t="s">
        <v>2329</v>
      </c>
      <c r="B4" s="248"/>
      <c r="C4" s="248"/>
      <c r="D4" s="248"/>
      <c r="E4" s="248"/>
      <c r="F4" s="248"/>
      <c r="G4" s="249"/>
    </row>
    <row r="5" spans="1:8" s="256" customFormat="1" ht="13.5" customHeight="1">
      <c r="A5" s="297" t="s">
        <v>2330</v>
      </c>
      <c r="B5" s="252" t="s">
        <v>2331</v>
      </c>
      <c r="C5" s="253">
        <f ca="1">C6+C7+C8</f>
        <v>13397788</v>
      </c>
      <c r="D5" s="253" t="s">
        <v>2332</v>
      </c>
      <c r="E5" s="254" t="s">
        <v>2333</v>
      </c>
      <c r="F5" s="254" t="s">
        <v>2334</v>
      </c>
      <c r="G5" s="255"/>
    </row>
    <row r="6" spans="1:8" s="256" customFormat="1" ht="13.5" customHeight="1">
      <c r="A6" s="946" t="s">
        <v>2335</v>
      </c>
      <c r="B6" s="257" t="s">
        <v>2336</v>
      </c>
      <c r="C6" s="258"/>
      <c r="D6" s="259"/>
      <c r="E6" s="260"/>
      <c r="F6" s="260"/>
      <c r="G6" s="261"/>
    </row>
    <row r="7" spans="1:8" s="256" customFormat="1" ht="13.5" customHeight="1">
      <c r="A7" s="946" t="s">
        <v>2337</v>
      </c>
      <c r="B7" s="257" t="s">
        <v>2338</v>
      </c>
      <c r="C7" s="262">
        <f>ROUND(C6*F7,0)</f>
        <v>0</v>
      </c>
      <c r="D7" s="262"/>
      <c r="E7" s="260"/>
      <c r="F7" s="263">
        <f>IF(项目基本情况!B8="出让",0,'数据-取费表'!B48+'数据-取费表'!B49)</f>
        <v>3.0499999999999999E-2</v>
      </c>
      <c r="G7" s="261"/>
    </row>
    <row r="8" spans="1:8" s="265" customFormat="1">
      <c r="A8" s="946" t="s">
        <v>2339</v>
      </c>
      <c r="B8" s="257" t="s">
        <v>2340</v>
      </c>
      <c r="C8" s="262">
        <f ca="1">IF(G8="已包含在土地购买价格中",0,C9+C10)</f>
        <v>13397788</v>
      </c>
      <c r="D8" s="264"/>
      <c r="E8" s="262"/>
      <c r="F8" s="263"/>
      <c r="G8" s="2541"/>
    </row>
    <row r="9" spans="1:8" s="256" customFormat="1" ht="13.5" customHeight="1">
      <c r="A9" s="947" t="s">
        <v>800</v>
      </c>
      <c r="B9" s="266" t="s">
        <v>2341</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2343</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2344</v>
      </c>
      <c r="C11" s="253"/>
      <c r="D11" s="1031"/>
      <c r="E11" s="260"/>
      <c r="F11" s="260"/>
      <c r="G11" s="261"/>
    </row>
    <row r="12" spans="1:8" s="256" customFormat="1" ht="13.5" hidden="1" customHeight="1">
      <c r="A12" s="269" t="s">
        <v>8</v>
      </c>
      <c r="B12" s="257" t="s">
        <v>2427</v>
      </c>
      <c r="C12" s="253">
        <v>0</v>
      </c>
      <c r="D12" s="1031"/>
      <c r="E12" s="270"/>
      <c r="F12" s="263">
        <v>3.0499999999999999E-2</v>
      </c>
      <c r="G12" s="261"/>
    </row>
    <row r="13" spans="1:8" s="256" customFormat="1" ht="13.5" hidden="1" customHeight="1">
      <c r="A13" s="269" t="s">
        <v>9</v>
      </c>
      <c r="B13" s="257" t="s">
        <v>2428</v>
      </c>
      <c r="C13" s="253"/>
      <c r="D13" s="1031"/>
      <c r="E13" s="260"/>
      <c r="F13" s="260"/>
      <c r="G13" s="261"/>
    </row>
    <row r="14" spans="1:8" s="256" customFormat="1" ht="13.5" hidden="1" customHeight="1">
      <c r="A14" s="269" t="s">
        <v>10</v>
      </c>
      <c r="B14" s="257" t="s">
        <v>2340</v>
      </c>
      <c r="C14" s="253"/>
      <c r="D14" s="1031"/>
      <c r="E14" s="260"/>
      <c r="F14" s="260"/>
      <c r="G14" s="261" t="s">
        <v>2429</v>
      </c>
    </row>
    <row r="15" spans="1:8" s="256" customFormat="1" ht="13.5" hidden="1" customHeight="1">
      <c r="A15" s="269" t="s">
        <v>11</v>
      </c>
      <c r="B15" s="257" t="s">
        <v>2430</v>
      </c>
      <c r="C15" s="262"/>
      <c r="D15" s="1031"/>
      <c r="E15" s="260"/>
      <c r="F15" s="260"/>
      <c r="G15" s="261" t="s">
        <v>2431</v>
      </c>
    </row>
    <row r="16" spans="1:8" s="256" customFormat="1" ht="13.5" hidden="1" customHeight="1">
      <c r="A16" s="269" t="s">
        <v>12</v>
      </c>
      <c r="B16" s="257" t="s">
        <v>2340</v>
      </c>
      <c r="C16" s="262"/>
      <c r="D16" s="1031"/>
      <c r="E16" s="260"/>
      <c r="F16" s="260"/>
      <c r="G16" s="261"/>
    </row>
    <row r="17" spans="1:7" s="256" customFormat="1" ht="13.5" hidden="1" customHeight="1">
      <c r="A17" s="269" t="s">
        <v>13</v>
      </c>
      <c r="B17" s="257" t="s">
        <v>2432</v>
      </c>
      <c r="C17" s="271"/>
      <c r="D17" s="1032"/>
      <c r="E17" s="271"/>
      <c r="F17" s="271"/>
      <c r="G17" s="261" t="s">
        <v>2431</v>
      </c>
    </row>
    <row r="18" spans="1:7" s="256" customFormat="1" ht="13.5" hidden="1" customHeight="1">
      <c r="A18" s="269" t="s">
        <v>14</v>
      </c>
      <c r="B18" s="257" t="s">
        <v>2433</v>
      </c>
      <c r="C18" s="262">
        <v>0</v>
      </c>
      <c r="D18" s="1031"/>
      <c r="E18" s="260"/>
      <c r="F18" s="263">
        <v>3.0499999999999999E-2</v>
      </c>
      <c r="G18" s="261" t="s">
        <v>2434</v>
      </c>
    </row>
    <row r="19" spans="1:7" s="265" customFormat="1" ht="13.5" customHeight="1">
      <c r="A19" s="297" t="s">
        <v>2435</v>
      </c>
      <c r="B19" s="252" t="s">
        <v>2436</v>
      </c>
      <c r="C19" s="253">
        <f ca="1">IF(G19="已包含在土地取得成本中","0",ROUND(D19*E19,0))</f>
        <v>12058009</v>
      </c>
      <c r="D19" s="1033">
        <f ca="1">D9+D10</f>
        <v>66988.94</v>
      </c>
      <c r="E19" s="253">
        <f>'数据-取费表'!B31</f>
        <v>180</v>
      </c>
      <c r="F19" s="273"/>
      <c r="G19" s="2541"/>
    </row>
    <row r="20" spans="1:7" s="256" customFormat="1" ht="13.5" customHeight="1">
      <c r="A20" s="297" t="s">
        <v>2437</v>
      </c>
      <c r="B20" s="252" t="s">
        <v>2438</v>
      </c>
      <c r="C20" s="274">
        <f ca="1">ROUND((C5+C19)*F20,0)</f>
        <v>509116</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77">
        <f ca="1">ROUND(SUM(C23:C25),0)</f>
        <v>1853128</v>
      </c>
      <c r="D22" s="277">
        <f ca="1">C26</f>
        <v>6.9999999999999999E-4</v>
      </c>
      <c r="E22" s="278" t="s">
        <v>2442</v>
      </c>
      <c r="F22" s="279">
        <f ca="1">'数据-取费表'!B40</f>
        <v>4.7500000000000001E-2</v>
      </c>
      <c r="G22" s="276" t="str">
        <f>IF('数据-取费表'!B22&lt;=1,"单利计息","复利计息")</f>
        <v>复利计息</v>
      </c>
    </row>
    <row r="23" spans="1:7" s="256" customFormat="1" ht="13.5" customHeight="1">
      <c r="A23" s="948" t="s">
        <v>2335</v>
      </c>
      <c r="B23" s="257" t="s">
        <v>2446</v>
      </c>
      <c r="C23" s="1378">
        <f ca="1">ROUND(IF('数据-取费表'!B22&lt;=1,C5*F22*'数据-取费表'!B22,C5*(POWER((1+F22),'数据-取费表'!B22)-1)),0)</f>
        <v>965840</v>
      </c>
      <c r="D23" s="280"/>
      <c r="E23" s="280"/>
      <c r="F23" s="281"/>
      <c r="G23" s="282" t="s">
        <v>2447</v>
      </c>
    </row>
    <row r="24" spans="1:7" s="256" customFormat="1" ht="13.5" customHeight="1">
      <c r="A24" s="948" t="s">
        <v>2337</v>
      </c>
      <c r="B24" s="257" t="s">
        <v>2448</v>
      </c>
      <c r="C24" s="1378">
        <f ca="1">ROUND(IF('数据-取费表'!B22&lt;=1,C19*F22*('数据-取费表'!B19/2+'数据-取费表'!B20),C19*(POWER((1+F22),('数据-取费表'!B19/2+'数据-取费表'!B20))-1)),0)</f>
        <v>869256</v>
      </c>
      <c r="D24" s="280"/>
      <c r="E24" s="280"/>
      <c r="F24" s="281"/>
      <c r="G24" s="282" t="s">
        <v>2449</v>
      </c>
    </row>
    <row r="25" spans="1:7" s="256" customFormat="1" ht="24">
      <c r="A25" s="948" t="s">
        <v>2339</v>
      </c>
      <c r="B25" s="257" t="s">
        <v>2450</v>
      </c>
      <c r="C25" s="1378">
        <f ca="1">ROUND(IF('数据-取费表'!B22&lt;=1,C20*F22*'数据-取费表'!B22/2,C20*(POWER((1+F22),'数据-取费表'!B22/2)-1)),0)</f>
        <v>18032</v>
      </c>
      <c r="D25" s="280"/>
      <c r="E25" s="283"/>
      <c r="F25" s="281"/>
      <c r="G25" s="284" t="s">
        <v>2451</v>
      </c>
    </row>
    <row r="26" spans="1:7" s="256" customFormat="1">
      <c r="A26" s="948" t="s">
        <v>795</v>
      </c>
      <c r="B26" s="257" t="s">
        <v>2374</v>
      </c>
      <c r="C26" s="280">
        <f ca="1">ROUND(IF('数据-取费表'!B22&lt;=1,F21*F22*'数据-取费表'!B22/2,F21*(POWER((1+F22),'数据-取费表'!B22/2)-1)),4)</f>
        <v>6.9999999999999999E-4</v>
      </c>
      <c r="D26" s="280"/>
      <c r="E26" s="283"/>
      <c r="F26" s="281"/>
      <c r="G26" s="285"/>
    </row>
    <row r="27" spans="1:7" s="256" customFormat="1" ht="26.4">
      <c r="A27" s="297" t="s">
        <v>2375</v>
      </c>
      <c r="B27" s="286" t="s">
        <v>2376</v>
      </c>
      <c r="C27" s="287">
        <f ca="1">C28</f>
        <v>3894737</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ROUND((C5+C19+C20)*F27,0)</f>
        <v>3894737</v>
      </c>
      <c r="D28" s="277"/>
      <c r="E28" s="278"/>
      <c r="F28" s="288"/>
      <c r="G28" s="289"/>
    </row>
    <row r="29" spans="1:7" s="256" customFormat="1" ht="13.5" customHeight="1">
      <c r="A29" s="948" t="s">
        <v>792</v>
      </c>
      <c r="B29" s="290" t="s">
        <v>2380</v>
      </c>
      <c r="C29" s="280">
        <f ca="1">ROUND(C21*F27,4)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34324903</v>
      </c>
      <c r="D31" s="272"/>
      <c r="E31" s="253"/>
      <c r="F31" s="292"/>
      <c r="G31" s="276" t="s">
        <v>2385</v>
      </c>
    </row>
    <row r="32" spans="1:7" s="250" customFormat="1" ht="16.2">
      <c r="A32" s="294" t="s">
        <v>2452</v>
      </c>
      <c r="B32" s="295"/>
      <c r="C32" s="295"/>
      <c r="D32" s="295"/>
      <c r="E32" s="295"/>
      <c r="F32" s="295"/>
      <c r="G32" s="296"/>
    </row>
    <row r="33" spans="1:7" s="256" customFormat="1" ht="13.5" customHeight="1">
      <c r="A33" s="297" t="s">
        <v>782</v>
      </c>
      <c r="B33" s="252" t="s">
        <v>2453</v>
      </c>
      <c r="C33" s="298">
        <f ca="1">SUM(C34:C38)</f>
        <v>197703698</v>
      </c>
      <c r="D33" s="274"/>
      <c r="E33" s="254"/>
      <c r="F33" s="283"/>
      <c r="G33" s="276"/>
    </row>
    <row r="34" spans="1:7" s="300" customFormat="1" ht="13.5" customHeight="1">
      <c r="A34" s="948" t="s">
        <v>791</v>
      </c>
      <c r="B34" s="257" t="s">
        <v>2388</v>
      </c>
      <c r="C34" s="262">
        <f ca="1">ROUND(IF(B1="",SUMPRODUCT('数据-取费表'!K6:K14,'数据-取费表'!L6:L14),INDIRECT("'数据-取费表'!l"&amp;$G$1)*INDIRECT("'数据-取费表'!k"&amp;$G$1)+'数据-取费表'!L14*INDIRECT("'数据-取费表'!S"&amp;$G$1)),0)</f>
        <v>177651377</v>
      </c>
      <c r="D34" s="259"/>
      <c r="E34" s="262"/>
      <c r="F34" s="299"/>
      <c r="G34" s="261"/>
    </row>
    <row r="35" spans="1:7" ht="13.5" customHeight="1">
      <c r="A35" s="948" t="s">
        <v>796</v>
      </c>
      <c r="B35" s="257" t="s">
        <v>2390</v>
      </c>
      <c r="C35" s="262">
        <f ca="1">ROUND(C34*F35,0)</f>
        <v>5329541</v>
      </c>
      <c r="D35" s="262"/>
      <c r="E35" s="262"/>
      <c r="F35" s="301">
        <f>'数据-取费表'!B33</f>
        <v>0.03</v>
      </c>
      <c r="G35" s="261" t="s">
        <v>2391</v>
      </c>
    </row>
    <row r="36" spans="1:7" ht="24">
      <c r="A36" s="948" t="s">
        <v>797</v>
      </c>
      <c r="B36" s="257" t="s">
        <v>2392</v>
      </c>
      <c r="C36" s="262">
        <f ca="1">ROUND(IF(B1="",SUM('数据-取费表'!AP6:AP13)*F36,IF(INDIRECT("'数据-取费表'!c"&amp;$G$1)="住宅",INDIRECT("'数据-取费表'!k"&amp;$G$1)*INDIRECT("'数据-取费表'!l"&amp;$G$1)*F36,0)),0)</f>
        <v>0</v>
      </c>
      <c r="D36" s="262"/>
      <c r="E36" s="262"/>
      <c r="F36" s="301">
        <f>'数据-取费表'!B34</f>
        <v>0</v>
      </c>
      <c r="G36" s="302" t="s">
        <v>2393</v>
      </c>
    </row>
    <row r="37" spans="1:7" s="300" customFormat="1" ht="13.5" customHeight="1">
      <c r="A37" s="948" t="s">
        <v>798</v>
      </c>
      <c r="B37" s="257" t="s">
        <v>2394</v>
      </c>
      <c r="C37" s="291">
        <f ca="1">ROUND(E37*D37,0)</f>
        <v>12058009</v>
      </c>
      <c r="D37" s="259">
        <f ca="1">D19</f>
        <v>66988.94</v>
      </c>
      <c r="E37" s="291">
        <f>'数据-取费表'!B35</f>
        <v>180</v>
      </c>
      <c r="F37" s="301"/>
      <c r="G37" s="303"/>
    </row>
    <row r="38" spans="1:7" ht="13.5" customHeight="1">
      <c r="A38" s="948" t="s">
        <v>799</v>
      </c>
      <c r="B38" s="257" t="s">
        <v>2396</v>
      </c>
      <c r="C38" s="262">
        <f ca="1">ROUND(C34*F38,0)</f>
        <v>2664771</v>
      </c>
      <c r="D38" s="262"/>
      <c r="E38" s="262"/>
      <c r="F38" s="301">
        <f>'数据-取费表'!B36</f>
        <v>1.4999999999999999E-2</v>
      </c>
      <c r="G38" s="261" t="s">
        <v>2391</v>
      </c>
    </row>
    <row r="39" spans="1:7" s="256" customFormat="1" ht="13.5" customHeight="1">
      <c r="A39" s="297" t="s">
        <v>2397</v>
      </c>
      <c r="B39" s="252" t="s">
        <v>2398</v>
      </c>
      <c r="C39" s="274">
        <f ca="1">ROUND(C33*F20,0)</f>
        <v>3954074</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7142225</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ROUND(IF('数据-取费表'!B22&lt;=1,C33*F22*'数据-取费表'!B20/2,C33*(POWER((1+F22),'数据-取费表'!B20/2)-1)),0)</f>
        <v>7002181</v>
      </c>
      <c r="D42" s="280"/>
      <c r="E42" s="280"/>
      <c r="F42" s="281"/>
      <c r="G42" s="3169" t="s">
        <v>2454</v>
      </c>
    </row>
    <row r="43" spans="1:7" ht="13.5" customHeight="1">
      <c r="A43" s="948" t="s">
        <v>792</v>
      </c>
      <c r="B43" s="257" t="s">
        <v>2408</v>
      </c>
      <c r="C43" s="280">
        <f ca="1">ROUND(IF('数据-取费表'!B22&lt;=1,C39*F22*'数据-取费表'!B20/2,C39*(POWER((1+F22),'数据-取费表'!B20/2)-1)),0)</f>
        <v>140044</v>
      </c>
      <c r="D43" s="280"/>
      <c r="E43" s="280"/>
      <c r="F43" s="281"/>
      <c r="G43" s="3170"/>
    </row>
    <row r="44" spans="1:7" ht="13.5" customHeight="1">
      <c r="A44" s="948" t="s">
        <v>793</v>
      </c>
      <c r="B44" s="257" t="s">
        <v>2409</v>
      </c>
      <c r="C44" s="280">
        <f ca="1">ROUND(IF('数据-取费表'!B22&lt;=1,C40*F22*'数据-取费表'!B20/2,C40*(POWER((1+F22),'数据-取费表'!B20/2)-1)),4)</f>
        <v>6.9999999999999999E-4</v>
      </c>
      <c r="D44" s="280"/>
      <c r="E44" s="280"/>
      <c r="F44" s="281"/>
      <c r="G44" s="3171"/>
    </row>
    <row r="45" spans="1:7" s="256" customFormat="1" ht="13.5" customHeight="1">
      <c r="A45" s="297" t="s">
        <v>2410</v>
      </c>
      <c r="B45" s="286" t="s">
        <v>2376</v>
      </c>
      <c r="C45" s="287">
        <f ca="1">C46</f>
        <v>30248666</v>
      </c>
      <c r="D45" s="277">
        <f ca="1">C47</f>
        <v>3.0000000000000001E-3</v>
      </c>
      <c r="E45" s="278" t="s">
        <v>2402</v>
      </c>
      <c r="F45" s="288"/>
      <c r="G45" s="289" t="s">
        <v>2411</v>
      </c>
    </row>
    <row r="46" spans="1:7" s="256" customFormat="1" ht="13.5" customHeight="1">
      <c r="A46" s="948" t="s">
        <v>791</v>
      </c>
      <c r="B46" s="290" t="s">
        <v>2412</v>
      </c>
      <c r="C46" s="291">
        <f ca="1">ROUND((C33+C39)*F27,0)</f>
        <v>30248666</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304">
        <f>ROUND(F30/(1+'数据-取费表'!C42),4)</f>
        <v>5.2400000000000002E-2</v>
      </c>
      <c r="D48" s="278" t="s">
        <v>2402</v>
      </c>
      <c r="E48" s="274"/>
      <c r="F48" s="279"/>
      <c r="G48" s="276" t="s">
        <v>2415</v>
      </c>
    </row>
    <row r="49" spans="1:7" ht="16.5" customHeight="1">
      <c r="A49" s="297" t="s">
        <v>2381</v>
      </c>
      <c r="B49" s="252" t="s">
        <v>2455</v>
      </c>
      <c r="C49" s="274">
        <f ca="1">ROUND((C33+C39+C41+C45)/(1-C40-D41-D45-C48),0)</f>
        <v>258738676</v>
      </c>
      <c r="D49" s="274"/>
      <c r="E49" s="274"/>
      <c r="F49" s="306"/>
      <c r="G49" s="276" t="s">
        <v>2417</v>
      </c>
    </row>
    <row r="50" spans="1:7" s="300" customFormat="1">
      <c r="A50" s="297" t="s">
        <v>2418</v>
      </c>
      <c r="B50" s="252" t="s">
        <v>2419</v>
      </c>
      <c r="C50" s="274"/>
      <c r="D50" s="274"/>
      <c r="E50" s="274"/>
      <c r="F50" s="306">
        <f>IF('数据-取费表'!B24=0,'数据-取费表'!N16,1)</f>
        <v>0.80500000000000005</v>
      </c>
      <c r="G50" s="289"/>
    </row>
    <row r="51" spans="1:7" ht="16.5" customHeight="1">
      <c r="A51" s="297" t="s">
        <v>2421</v>
      </c>
      <c r="B51" s="252" t="s">
        <v>2456</v>
      </c>
      <c r="C51" s="274">
        <f ca="1">ROUND(C49*F50,0)</f>
        <v>208284634</v>
      </c>
      <c r="D51" s="274"/>
      <c r="E51" s="274"/>
      <c r="F51" s="306"/>
      <c r="G51" s="276" t="s">
        <v>2423</v>
      </c>
    </row>
    <row r="52" spans="1:7" s="250" customFormat="1" ht="16.8" thickBot="1">
      <c r="A52" s="307" t="s">
        <v>2424</v>
      </c>
      <c r="B52" s="308"/>
      <c r="C52" s="309">
        <f ca="1">C31+C51</f>
        <v>242609537</v>
      </c>
      <c r="D52" s="308"/>
      <c r="E52" s="308"/>
      <c r="F52" s="308"/>
      <c r="G52" s="310"/>
    </row>
    <row r="55" spans="1:7" ht="15">
      <c r="B55" s="312" t="s">
        <v>2425</v>
      </c>
      <c r="C55" s="313"/>
    </row>
    <row r="56" spans="1:7">
      <c r="B56" s="315" t="s">
        <v>1507</v>
      </c>
      <c r="C56" s="317">
        <f ca="1">1-C57</f>
        <v>0.14100000000000001</v>
      </c>
    </row>
    <row r="57" spans="1:7">
      <c r="B57" s="315" t="s">
        <v>1508</v>
      </c>
      <c r="C57" s="316">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8" t="s">
        <v>2457</v>
      </c>
      <c r="B1" s="1578"/>
      <c r="C1" s="1579"/>
      <c r="D1" s="1577"/>
      <c r="E1" s="318"/>
      <c r="F1" s="318"/>
      <c r="G1" s="1578"/>
      <c r="H1" s="318"/>
      <c r="I1" s="318"/>
      <c r="J1" s="318"/>
      <c r="K1" s="318">
        <f>MATCH(C1,'数据-取费表'!A6:A16,0)+5</f>
        <v>8</v>
      </c>
    </row>
    <row r="2" spans="1:33" ht="18" customHeight="1">
      <c r="A2" s="243" t="s">
        <v>2325</v>
      </c>
      <c r="B2" s="246">
        <f ca="1">C32</f>
        <v>-1528</v>
      </c>
      <c r="C2" s="318" t="s">
        <v>2458</v>
      </c>
      <c r="D2" s="318"/>
      <c r="E2" s="318"/>
      <c r="F2" s="318"/>
      <c r="G2" s="318"/>
      <c r="H2" s="318"/>
      <c r="I2" s="318"/>
      <c r="J2" s="318"/>
      <c r="K2" s="318"/>
    </row>
    <row r="3" spans="1:33" ht="18" customHeight="1" thickBot="1">
      <c r="A3" s="245" t="s">
        <v>2327</v>
      </c>
      <c r="B3" s="246">
        <f ca="1">ROUND(B2*10000/IF(C1="",'数据-汇总表'!E3,INDIRECT("'数据-取费表'!K"&amp;$K$1)),0)</f>
        <v>-228</v>
      </c>
      <c r="C3" s="318" t="s">
        <v>2459</v>
      </c>
      <c r="D3" s="318"/>
      <c r="E3" s="318"/>
      <c r="F3" s="318"/>
      <c r="G3" s="318"/>
      <c r="H3" s="318"/>
      <c r="I3" s="318"/>
      <c r="J3" s="318"/>
      <c r="K3" s="318"/>
    </row>
    <row r="4" spans="1:33" s="953" customFormat="1" ht="16.5" customHeight="1">
      <c r="A4" s="950" t="s">
        <v>2460</v>
      </c>
      <c r="B4" s="951"/>
      <c r="C4" s="993">
        <f>SUM(C8:K8)</f>
        <v>0</v>
      </c>
      <c r="D4" s="951"/>
      <c r="E4" s="951"/>
      <c r="F4" s="951"/>
      <c r="G4" s="951"/>
      <c r="H4" s="951"/>
      <c r="I4" s="951"/>
      <c r="J4" s="951"/>
      <c r="K4" s="952"/>
    </row>
    <row r="5" spans="1:33" s="957" customFormat="1" ht="25.2">
      <c r="A5" s="954" t="s">
        <v>2461</v>
      </c>
      <c r="B5" s="955" t="s">
        <v>2462</v>
      </c>
      <c r="C5" s="2545" t="s">
        <v>2463</v>
      </c>
      <c r="D5" s="2545" t="s">
        <v>2464</v>
      </c>
      <c r="E5" s="2545" t="s">
        <v>2465</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8" t="s">
        <v>2468</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2469</v>
      </c>
      <c r="B8" s="175"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1329</v>
      </c>
      <c r="B11" s="969" t="s">
        <v>2478</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2479</v>
      </c>
      <c r="C12" s="24">
        <f ca="1">ROUND(C11*F12,0)</f>
        <v>0</v>
      </c>
      <c r="D12" s="970"/>
      <c r="E12" s="373"/>
      <c r="F12" s="973">
        <f>'数据-取费表'!B33</f>
        <v>0.03</v>
      </c>
      <c r="G12" s="8" t="s">
        <v>2480</v>
      </c>
      <c r="H12" s="965"/>
      <c r="I12" s="965"/>
      <c r="J12" s="965"/>
      <c r="K12" s="966"/>
    </row>
    <row r="13" spans="1:33" s="972" customFormat="1" ht="13.5" customHeight="1">
      <c r="A13" s="968" t="s">
        <v>1331</v>
      </c>
      <c r="B13" s="969" t="s">
        <v>2481</v>
      </c>
      <c r="C13" s="24">
        <f ca="1">ROUND(IF(C1="",SUMIF('数据-取费表'!C:C,"住宅",'数据-取费表'!P:P)*F13,IF(INDIRECT("'数据-取费表'!c"&amp;$K$1)="住宅",INDIRECT("'数据-取费表'!P"&amp;$K$1)*F13,0)),0)</f>
        <v>0</v>
      </c>
      <c r="D13" s="1030"/>
      <c r="E13" s="373"/>
      <c r="F13" s="973">
        <f>'数据-取费表'!B34</f>
        <v>0</v>
      </c>
      <c r="G13" s="8" t="s">
        <v>2482</v>
      </c>
      <c r="H13" s="965"/>
      <c r="I13" s="965"/>
      <c r="J13" s="965"/>
      <c r="K13" s="966"/>
    </row>
    <row r="14" spans="1:33" s="974" customFormat="1" ht="13.5" customHeight="1">
      <c r="A14" s="968" t="s">
        <v>1332</v>
      </c>
      <c r="B14" s="969" t="s">
        <v>2483</v>
      </c>
      <c r="C14" s="24">
        <f ca="1">ROUND(D14*E14*F11/10000,0)</f>
        <v>0</v>
      </c>
      <c r="D14" s="1030">
        <f ca="1">IF(C1="",'数据-汇总表'!E3,INDIRECT("'数据-取费表'!K"&amp;$K$1)+INDIRECT("'数据-取费表'!S"&amp;$K$1))</f>
        <v>66988.94</v>
      </c>
      <c r="E14" s="24">
        <f>'数据-取费表'!B35</f>
        <v>180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2485</v>
      </c>
      <c r="C15" s="980">
        <f ca="1">ROUND(C11*F15,0)</f>
        <v>0</v>
      </c>
      <c r="D15" s="975"/>
      <c r="E15" s="980"/>
      <c r="F15" s="981">
        <f>'数据-取费表'!B36</f>
        <v>1.4999999999999999E-2</v>
      </c>
      <c r="G15" s="138"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0</v>
      </c>
      <c r="D17" s="1030">
        <f ca="1">D14</f>
        <v>66988.94</v>
      </c>
      <c r="E17" s="24">
        <f>'数据-取费表'!B32</f>
        <v>0</v>
      </c>
      <c r="F17" s="975"/>
      <c r="G17" s="138"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2490</v>
      </c>
      <c r="C18" s="24">
        <f ca="1">C19+C20-IF(C1="",'数据-取费表'!B29,IF(G18="已全部缴纳",C19+C20,H18))</f>
        <v>1340</v>
      </c>
      <c r="D18" s="1030"/>
      <c r="E18" s="24"/>
      <c r="F18" s="973"/>
      <c r="G18" s="2547"/>
      <c r="H18" s="1574"/>
      <c r="I18" s="2548"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2493</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2494</v>
      </c>
      <c r="C21" s="983">
        <f ca="1">C16+C17+C18</f>
        <v>1340</v>
      </c>
      <c r="D21" s="984"/>
      <c r="E21" s="323"/>
      <c r="F21" s="323"/>
      <c r="G21" s="138" t="s">
        <v>2495</v>
      </c>
      <c r="H21" s="976"/>
      <c r="I21" s="976"/>
      <c r="J21" s="976"/>
      <c r="K21" s="977"/>
    </row>
    <row r="22" spans="1:33" s="972" customFormat="1" ht="13.5" customHeight="1">
      <c r="A22" s="958" t="s">
        <v>2467</v>
      </c>
      <c r="B22" s="982" t="s">
        <v>2496</v>
      </c>
      <c r="C22" s="983">
        <f ca="1">ROUND(C21*F22,0)</f>
        <v>27</v>
      </c>
      <c r="D22" s="323"/>
      <c r="E22" s="323"/>
      <c r="F22" s="985">
        <f>'数据-取费表'!B37</f>
        <v>0.02</v>
      </c>
      <c r="G22" s="8" t="s">
        <v>2497</v>
      </c>
      <c r="H22" s="965"/>
      <c r="I22" s="965"/>
      <c r="J22" s="965"/>
      <c r="K22" s="966"/>
    </row>
    <row r="23" spans="1:33" s="972" customFormat="1" ht="13.5" customHeight="1">
      <c r="A23" s="958" t="s">
        <v>2469</v>
      </c>
      <c r="B23" s="982" t="s">
        <v>2498</v>
      </c>
      <c r="C23" s="983">
        <f ca="1">ROUND(C4*F23*F11,0)</f>
        <v>0</v>
      </c>
      <c r="D23" s="323"/>
      <c r="E23" s="323"/>
      <c r="F23" s="985">
        <f>'数据-取费表'!B38</f>
        <v>0.02</v>
      </c>
      <c r="G23" s="8" t="s">
        <v>2499</v>
      </c>
      <c r="H23" s="965"/>
      <c r="I23" s="965"/>
      <c r="J23" s="965"/>
      <c r="K23" s="966"/>
    </row>
    <row r="24" spans="1:33" s="972" customFormat="1" ht="13.5" customHeight="1">
      <c r="A24" s="958" t="s">
        <v>2500</v>
      </c>
      <c r="B24" s="982" t="s">
        <v>2501</v>
      </c>
      <c r="C24" s="322">
        <f>ROUND(F24/(1+'数据-取费表'!C42),4)</f>
        <v>2.9000000000000001E-2</v>
      </c>
      <c r="D24" s="323" t="s">
        <v>15</v>
      </c>
      <c r="E24" s="323"/>
      <c r="F24" s="985">
        <f>IF(项目基本情况!B8="出让",0,'数据-取费表'!B48+'数据-取费表'!B49)</f>
        <v>3.0499999999999999E-2</v>
      </c>
      <c r="G24" s="8" t="s">
        <v>2502</v>
      </c>
      <c r="H24" s="987"/>
      <c r="I24" s="987"/>
      <c r="J24" s="987"/>
      <c r="K24" s="988"/>
    </row>
    <row r="25" spans="1:33" s="972" customFormat="1" ht="13.5" customHeight="1">
      <c r="A25" s="958" t="s">
        <v>2503</v>
      </c>
      <c r="B25" s="984" t="s">
        <v>2504</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2507</v>
      </c>
      <c r="B28" s="2550" t="s">
        <v>2508</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2509</v>
      </c>
      <c r="C29" s="326">
        <f ca="1">ROUND((1+C24)*F28*'数据-取费表'!B24/'数据-取费表'!B20,4)</f>
        <v>0</v>
      </c>
      <c r="D29" s="326"/>
      <c r="E29" s="327"/>
      <c r="F29" s="332"/>
      <c r="G29" s="138" t="s">
        <v>2510</v>
      </c>
      <c r="H29" s="976"/>
      <c r="I29" s="976"/>
      <c r="J29" s="976"/>
      <c r="K29" s="977"/>
    </row>
    <row r="30" spans="1:33" s="333" customFormat="1" ht="13.5" customHeight="1">
      <c r="A30" s="968" t="s">
        <v>804</v>
      </c>
      <c r="B30" s="991" t="s">
        <v>2511</v>
      </c>
      <c r="C30" s="334">
        <f ca="1">ROUND((C21+C22+C23)*F28,0)</f>
        <v>205</v>
      </c>
      <c r="D30" s="326"/>
      <c r="E30" s="327"/>
      <c r="F30" s="332"/>
      <c r="G30" s="138"/>
      <c r="H30" s="976"/>
      <c r="I30" s="976"/>
      <c r="J30" s="976"/>
      <c r="K30" s="977"/>
    </row>
    <row r="31" spans="1:33" s="972" customFormat="1" ht="13.5" customHeight="1" thickBot="1">
      <c r="A31" s="2551" t="s">
        <v>2512</v>
      </c>
      <c r="B31" s="1002" t="s">
        <v>2513</v>
      </c>
      <c r="C31" s="1003">
        <f>ROUND(C4*F31/(1+'数据-取费表'!C42),0)</f>
        <v>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-1528</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1" sqref="C31"/>
    </sheetView>
  </sheetViews>
  <sheetFormatPr defaultColWidth="12" defaultRowHeight="13.2"/>
  <cols>
    <col min="1" max="1" width="9.77734375" style="2779" customWidth="1"/>
    <col min="2" max="2" width="19.21875" style="2885" customWidth="1"/>
    <col min="3" max="4" width="12" style="2711"/>
    <col min="5" max="5" width="14.6640625" style="2711" customWidth="1"/>
    <col min="6" max="8" width="12" style="2711"/>
    <col min="9" max="9" width="12.21875" style="2711" bestFit="1" customWidth="1"/>
    <col min="10" max="10" width="12" style="2711"/>
    <col min="11" max="11" width="8.109375" style="2774" customWidth="1"/>
    <col min="12" max="12" width="12" style="2711"/>
    <col min="13" max="13" width="8.44140625" style="2711" customWidth="1"/>
    <col min="14" max="14" width="9.77734375" style="2711" customWidth="1"/>
    <col min="15" max="25" width="12" style="2711"/>
    <col min="26" max="26" width="9.33203125" style="2779" customWidth="1"/>
    <col min="27" max="32" width="9.33203125" style="1369" customWidth="1"/>
    <col min="33" max="36" width="9.33203125" style="2779" customWidth="1"/>
    <col min="37" max="38" width="9.33203125" style="2711" customWidth="1"/>
    <col min="39" max="16384" width="12" style="2711"/>
  </cols>
  <sheetData>
    <row r="1" spans="1:36" ht="31.2">
      <c r="A1" s="238" t="s">
        <v>2801</v>
      </c>
      <c r="B1" s="239"/>
      <c r="C1" s="243" t="s">
        <v>2802</v>
      </c>
      <c r="D1" s="386">
        <f>SUM(D29:D30,D33:D39)</f>
        <v>66988.94</v>
      </c>
      <c r="E1" s="2708"/>
      <c r="F1" s="2708"/>
      <c r="G1" s="2708"/>
      <c r="H1" s="2708"/>
      <c r="I1" s="2708"/>
      <c r="J1" s="2708"/>
      <c r="K1" s="1367"/>
      <c r="L1" s="2709" t="s">
        <v>2803</v>
      </c>
      <c r="M1" s="1077">
        <f>SUMPRODUCT((区片价!B5:B9=I2)*(区片价!C3:F3=E2)*(区片价!C5:F9))</f>
        <v>0</v>
      </c>
      <c r="N1" s="1080">
        <f>SUMPRODUCT((因素修正幅度!B5:B9=I2)*(因素修正幅度!C3:F3=E2)*(因素修正幅度!C5:F9))</f>
        <v>0</v>
      </c>
      <c r="O1" s="2710"/>
      <c r="P1" s="2710"/>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6">
      <c r="A2" s="243" t="s">
        <v>2809</v>
      </c>
      <c r="B2" s="246">
        <f ca="1">C26</f>
        <v>16463</v>
      </c>
      <c r="C2" s="2712" t="s">
        <v>2810</v>
      </c>
      <c r="D2" s="2713" t="s">
        <v>2811</v>
      </c>
      <c r="E2" s="2714" t="s">
        <v>6</v>
      </c>
      <c r="F2" s="2713" t="s">
        <v>2812</v>
      </c>
      <c r="G2" s="2715" t="str">
        <f>IF(E2="商业",项目基本情况!B37,IF(E2="办公",项目基本情况!C37,IF(E2="住宅",项目基本情况!D37,项目基本情况!E37)))</f>
        <v>八级</v>
      </c>
      <c r="H2" s="2713" t="s">
        <v>2813</v>
      </c>
      <c r="I2" s="2715" t="str">
        <f>IF(E2="商业",项目基本情况!B38,IF(E2="办公",项目基本情况!C38,IF(E2="住宅",项目基本情况!D38,项目基本情况!E38)))</f>
        <v>Ⅷ-顺1</v>
      </c>
      <c r="J2" s="2716"/>
      <c r="K2" s="1367"/>
      <c r="L2" s="2717"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4822</v>
      </c>
      <c r="U2" s="1600"/>
      <c r="V2" s="1599">
        <f ca="1">ROUND(T2*U2/10000,0)</f>
        <v>0</v>
      </c>
      <c r="W2" s="1603"/>
      <c r="X2" s="1603"/>
      <c r="Y2" s="1603"/>
      <c r="Z2" s="1603"/>
      <c r="AA2" s="1603"/>
      <c r="AB2" s="1603"/>
      <c r="AC2" s="1604"/>
      <c r="AD2" s="1605"/>
      <c r="AE2" s="1605"/>
      <c r="AF2" s="1605"/>
      <c r="AG2" s="1605"/>
      <c r="AH2" s="1605"/>
      <c r="AI2" s="1605"/>
      <c r="AJ2" s="1606"/>
    </row>
    <row r="3" spans="1:36" ht="15.6">
      <c r="A3" s="245" t="s">
        <v>2815</v>
      </c>
      <c r="B3" s="246">
        <f ca="1">ROUND(B2*10000/D1,0)</f>
        <v>2458</v>
      </c>
      <c r="C3" s="2712" t="s">
        <v>2816</v>
      </c>
      <c r="D3" s="2713" t="s">
        <v>2817</v>
      </c>
      <c r="E3" s="2718" t="s">
        <v>3085</v>
      </c>
      <c r="F3" s="2719" t="s">
        <v>2818</v>
      </c>
      <c r="G3" s="913">
        <f>IF(F3="宗地容积率",'数据-汇总表'!I4,IF(F3="估价对象容积率",'数据-汇总表'!I6,'数据-汇总表'!I7))</f>
        <v>0.54</v>
      </c>
      <c r="H3" s="196" t="s">
        <v>2819</v>
      </c>
      <c r="I3" s="941">
        <v>1</v>
      </c>
      <c r="J3" s="2716" t="s">
        <v>2820</v>
      </c>
      <c r="K3" s="1367"/>
      <c r="L3" s="2717" t="s">
        <v>2821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3178</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188"/>
      <c r="B4" s="3189"/>
      <c r="C4" s="3189"/>
      <c r="D4" s="3190"/>
      <c r="E4" s="3190"/>
      <c r="F4" s="3190"/>
      <c r="G4" s="3190"/>
      <c r="H4" s="3190"/>
      <c r="I4" s="3190"/>
      <c r="J4" s="3191"/>
      <c r="K4" s="1367"/>
      <c r="L4" s="2717" t="s">
        <v>2822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2501</v>
      </c>
      <c r="U4" s="1600"/>
      <c r="V4" s="1599">
        <f t="shared" ca="1" si="1"/>
        <v>0</v>
      </c>
      <c r="W4" s="1603"/>
      <c r="X4" s="1603"/>
      <c r="Y4" s="1603"/>
      <c r="Z4" s="1603"/>
      <c r="AA4" s="1603"/>
      <c r="AB4" s="1603"/>
      <c r="AC4" s="1604"/>
      <c r="AD4" s="1605"/>
      <c r="AE4" s="1605"/>
      <c r="AF4" s="1605"/>
      <c r="AG4" s="1605"/>
      <c r="AH4" s="1605"/>
      <c r="AI4" s="1605"/>
      <c r="AJ4" s="1606"/>
    </row>
    <row r="5" spans="1:36" s="2729" customFormat="1" ht="15.6" thickBot="1">
      <c r="A5" s="2720" t="s">
        <v>807</v>
      </c>
      <c r="B5" s="2721" t="s">
        <v>2823</v>
      </c>
      <c r="C5" s="914">
        <f>ROUND(IF(E2="商业",C6*C7+C16,(IF(E2="住宅",C6*C12+C16,C6+C16))),0)</f>
        <v>1040</v>
      </c>
      <c r="D5" s="1776">
        <f>ROUND(C6+C16,0)</f>
        <v>1040</v>
      </c>
      <c r="E5" s="1776"/>
      <c r="F5" s="2722"/>
      <c r="G5" s="2723"/>
      <c r="H5" s="2723"/>
      <c r="I5" s="2723"/>
      <c r="J5" s="2724"/>
      <c r="K5" s="2725"/>
      <c r="L5" s="2717" t="s">
        <v>2824</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1868</v>
      </c>
      <c r="U5" s="1600"/>
      <c r="V5" s="1599">
        <f t="shared" ca="1" si="1"/>
        <v>0</v>
      </c>
      <c r="W5" s="1603"/>
      <c r="X5" s="1603"/>
      <c r="Y5" s="1603"/>
      <c r="Z5" s="1603"/>
      <c r="AA5" s="1603"/>
      <c r="AB5" s="1603"/>
      <c r="AC5" s="2726"/>
      <c r="AD5" s="2727"/>
      <c r="AE5" s="2727"/>
      <c r="AF5" s="2727"/>
      <c r="AG5" s="2727"/>
      <c r="AH5" s="2727"/>
      <c r="AI5" s="2727"/>
      <c r="AJ5" s="2728"/>
    </row>
    <row r="6" spans="1:36" ht="15.6" thickBot="1">
      <c r="A6" s="2730" t="s">
        <v>2825</v>
      </c>
      <c r="B6" s="2731" t="s">
        <v>2826</v>
      </c>
      <c r="C6" s="915">
        <f>SUMIF(L1:L12,G2,M1:M12)</f>
        <v>1020</v>
      </c>
      <c r="D6" s="2732" t="s">
        <v>2827</v>
      </c>
      <c r="E6" s="2733"/>
      <c r="F6" s="2733"/>
      <c r="G6" s="2734"/>
      <c r="H6" s="2734"/>
      <c r="I6" s="2734"/>
      <c r="J6" s="2735"/>
      <c r="K6" s="1831"/>
      <c r="L6" s="2717" t="s">
        <v>2828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1405</v>
      </c>
      <c r="U6" s="1600"/>
      <c r="V6" s="1599">
        <f t="shared" ca="1" si="1"/>
        <v>0</v>
      </c>
      <c r="W6" s="1603"/>
      <c r="X6" s="1603"/>
      <c r="Y6" s="1603"/>
      <c r="Z6" s="1603"/>
      <c r="AA6" s="1603"/>
      <c r="AB6" s="1603"/>
      <c r="AC6" s="2726"/>
      <c r="AD6" s="2727"/>
      <c r="AE6" s="2727"/>
      <c r="AF6" s="2727"/>
      <c r="AG6" s="2727"/>
      <c r="AH6" s="2727"/>
      <c r="AI6" s="2727"/>
      <c r="AJ6" s="2728"/>
    </row>
    <row r="7" spans="1:36" ht="24">
      <c r="A7" s="3172" t="str">
        <f>IF(E2="商业",IF(C8="不临58条商业街","",2),"")</f>
        <v/>
      </c>
      <c r="B7" s="2736" t="s">
        <v>2829</v>
      </c>
      <c r="C7" s="916" t="e">
        <f>IF(C8="不临58条商业街",1,ROUND(1+(1.6*E8+1.2*E9+0.8*E10+0.4*E11)*C9,4))</f>
        <v>#DIV/0!</v>
      </c>
      <c r="D7" s="2737" t="s">
        <v>2830</v>
      </c>
      <c r="E7" s="942"/>
      <c r="F7" s="2738"/>
      <c r="G7" s="2739"/>
      <c r="H7" s="2739"/>
      <c r="I7" s="2739"/>
      <c r="J7" s="2740"/>
      <c r="K7" s="1831"/>
      <c r="L7" s="2717" t="s">
        <v>2831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1124</v>
      </c>
      <c r="U7" s="1600"/>
      <c r="V7" s="1599">
        <f t="shared" ca="1" si="1"/>
        <v>0</v>
      </c>
      <c r="W7" s="1805" t="s">
        <v>2832</v>
      </c>
      <c r="X7" s="1601" t="str">
        <f>G2</f>
        <v>八级</v>
      </c>
      <c r="Y7" s="1601" t="s">
        <v>2833</v>
      </c>
      <c r="Z7" s="1602">
        <f>G3</f>
        <v>0.54</v>
      </c>
      <c r="AA7" s="1603"/>
      <c r="AB7" s="1603"/>
      <c r="AC7" s="1604"/>
      <c r="AD7" s="1605"/>
      <c r="AE7" s="1605"/>
      <c r="AF7" s="1605"/>
      <c r="AG7" s="1605"/>
      <c r="AH7" s="1605"/>
      <c r="AI7" s="1605"/>
      <c r="AJ7" s="1606"/>
    </row>
    <row r="8" spans="1:36" ht="15">
      <c r="A8" s="3192"/>
      <c r="B8" s="196" t="s">
        <v>2834</v>
      </c>
      <c r="C8" s="2741"/>
      <c r="D8" s="917" t="s">
        <v>139</v>
      </c>
      <c r="E8" s="918" t="e">
        <f>ROUND(C11/E7,4)</f>
        <v>#DIV/0!</v>
      </c>
      <c r="F8" s="2742" t="s">
        <v>2835</v>
      </c>
      <c r="G8" s="2743"/>
      <c r="H8" s="2743"/>
      <c r="I8" s="2743"/>
      <c r="J8" s="2744"/>
      <c r="K8" s="1367"/>
      <c r="L8" s="2717" t="s">
        <v>2836</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85" t="s">
        <v>2837</v>
      </c>
      <c r="X8" s="3186"/>
      <c r="Y8" s="1607" t="s">
        <v>2838</v>
      </c>
      <c r="Z8" s="1607" t="s">
        <v>2839</v>
      </c>
      <c r="AA8" s="1607" t="s">
        <v>2840</v>
      </c>
      <c r="AB8" s="1607" t="s">
        <v>2841</v>
      </c>
      <c r="AC8" s="1607" t="s">
        <v>2842</v>
      </c>
      <c r="AD8" s="1607" t="s">
        <v>2843</v>
      </c>
      <c r="AE8" s="1607" t="s">
        <v>2844</v>
      </c>
      <c r="AF8" s="1607" t="s">
        <v>2845</v>
      </c>
      <c r="AG8" s="1607" t="s">
        <v>2846</v>
      </c>
      <c r="AH8" s="1607" t="s">
        <v>2847</v>
      </c>
      <c r="AI8" s="1607" t="s">
        <v>2848</v>
      </c>
      <c r="AJ8" s="1607" t="s">
        <v>2849</v>
      </c>
    </row>
    <row r="9" spans="1:36" ht="15">
      <c r="A9" s="3192"/>
      <c r="B9" s="196" t="s">
        <v>2850</v>
      </c>
      <c r="C9" s="919">
        <f>SUMIF(修正!C59:C119,C8,修正!E59:E119)</f>
        <v>0</v>
      </c>
      <c r="D9" s="198" t="s">
        <v>140</v>
      </c>
      <c r="E9" s="198" t="e">
        <f>ROUND(C11/E7,4)</f>
        <v>#DIV/0!</v>
      </c>
      <c r="F9" s="2742" t="s">
        <v>2851</v>
      </c>
      <c r="G9" s="2743"/>
      <c r="H9" s="2743"/>
      <c r="I9" s="2743"/>
      <c r="J9" s="2744"/>
      <c r="K9" s="1367"/>
      <c r="L9" s="2717" t="s">
        <v>2852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87" t="s">
        <v>2853</v>
      </c>
      <c r="X9" s="1608" t="s">
        <v>2854</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92"/>
      <c r="B10" s="196" t="s">
        <v>2855</v>
      </c>
      <c r="C10" s="198">
        <f>SUMIF(修正!C59:C119,C8,修正!F59:F119)</f>
        <v>0</v>
      </c>
      <c r="D10" s="198" t="s">
        <v>141</v>
      </c>
      <c r="E10" s="198" t="e">
        <f>ROUND(C11/E7,4)</f>
        <v>#DIV/0!</v>
      </c>
      <c r="F10" s="2742" t="s">
        <v>2856</v>
      </c>
      <c r="G10" s="2743"/>
      <c r="H10" s="2743"/>
      <c r="I10" s="2743"/>
      <c r="J10" s="2744"/>
      <c r="K10" s="1367"/>
      <c r="L10" s="2717" t="s">
        <v>2857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8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192"/>
      <c r="B11" s="2745" t="s">
        <v>2858</v>
      </c>
      <c r="C11" s="920">
        <f>C10/4</f>
        <v>0</v>
      </c>
      <c r="D11" s="920" t="s">
        <v>142</v>
      </c>
      <c r="E11" s="920" t="e">
        <f>ROUND(C11/E7,4)</f>
        <v>#DIV/0!</v>
      </c>
      <c r="F11" s="2746" t="s">
        <v>2859</v>
      </c>
      <c r="G11" s="2747"/>
      <c r="H11" s="2747"/>
      <c r="I11" s="2747"/>
      <c r="J11" s="2748"/>
      <c r="K11" s="1367"/>
      <c r="L11" s="2717" t="s">
        <v>2860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87" t="s">
        <v>2861</v>
      </c>
      <c r="X11" s="1611" t="s">
        <v>2862</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8" thickBot="1">
      <c r="A12" s="3172" t="s">
        <v>2863</v>
      </c>
      <c r="B12" s="2749" t="s">
        <v>2864</v>
      </c>
      <c r="C12" s="916">
        <f>ROUND(C15*D15*E15*F15*G15*H15*I15*J15,4)</f>
        <v>1</v>
      </c>
      <c r="D12" s="2750" t="s">
        <v>2865</v>
      </c>
      <c r="E12" s="2751"/>
      <c r="F12" s="2751"/>
      <c r="G12" s="2752"/>
      <c r="H12" s="2752"/>
      <c r="I12" s="2752"/>
      <c r="J12" s="2753"/>
      <c r="K12" s="1367"/>
      <c r="L12" s="2754" t="s">
        <v>2866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87"/>
      <c r="X12" s="1613" t="s">
        <v>2867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93"/>
      <c r="B13" s="2755" t="s">
        <v>2868</v>
      </c>
      <c r="C13" s="2756" t="s">
        <v>2869</v>
      </c>
      <c r="D13" s="1797" t="s">
        <v>2870</v>
      </c>
      <c r="E13" s="1797" t="s">
        <v>2871</v>
      </c>
      <c r="F13" s="30" t="s">
        <v>2872</v>
      </c>
      <c r="G13" s="2757" t="s">
        <v>2873</v>
      </c>
      <c r="H13" s="2757" t="s">
        <v>2873</v>
      </c>
      <c r="I13" s="2757" t="s">
        <v>2873</v>
      </c>
      <c r="J13" s="2758" t="s">
        <v>2873</v>
      </c>
      <c r="K13" s="1367"/>
      <c r="L13" s="1367"/>
      <c r="M13" s="1367"/>
      <c r="N13" s="1367"/>
      <c r="O13" s="1367"/>
      <c r="P13" s="1367"/>
      <c r="Q13" s="1367"/>
      <c r="R13" s="1599">
        <v>12</v>
      </c>
      <c r="S13" s="1600"/>
      <c r="T13" s="1599">
        <f t="shared" ca="1" si="0"/>
        <v>0</v>
      </c>
      <c r="U13" s="1600"/>
      <c r="V13" s="1599">
        <f t="shared" ca="1" si="1"/>
        <v>0</v>
      </c>
      <c r="W13" s="3187"/>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93"/>
      <c r="B14" s="2759"/>
      <c r="C14" s="2760"/>
      <c r="D14" s="2761"/>
      <c r="E14" s="2761"/>
      <c r="F14" s="2762"/>
      <c r="G14" s="2763" t="s">
        <v>2874</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194"/>
      <c r="B15" s="2767" t="s">
        <v>2875</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2" t="s">
        <v>2880</v>
      </c>
      <c r="B16" s="2736" t="s">
        <v>2881</v>
      </c>
      <c r="C16" s="2923">
        <f>ROUND(IF(F17="与级别开发程度一致",0,(G17-E17)/C17),0)</f>
        <v>20</v>
      </c>
      <c r="D16" s="3183" t="s">
        <v>2885</v>
      </c>
      <c r="E16" s="3184"/>
      <c r="F16" s="3183" t="s">
        <v>2882</v>
      </c>
      <c r="G16" s="3184"/>
      <c r="H16" s="2770" t="s">
        <v>3086</v>
      </c>
      <c r="I16" s="2770" t="s">
        <v>3087</v>
      </c>
      <c r="J16" s="2927" t="s">
        <v>3088</v>
      </c>
      <c r="K16" s="2770" t="s">
        <v>3089</v>
      </c>
      <c r="L16" s="2770" t="s">
        <v>3090</v>
      </c>
      <c r="M16" s="2770" t="s">
        <v>3149</v>
      </c>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7" thickBot="1">
      <c r="A17" s="3173"/>
      <c r="B17" s="2934" t="s">
        <v>2884</v>
      </c>
      <c r="C17" s="2935">
        <f>SUMPRODUCT((修正!A2:A5=E2)*(修正!B1:M1=G2)*(修正!B2:M5))</f>
        <v>1</v>
      </c>
      <c r="D17" s="227" t="str">
        <f>IF(OR(G2="八级",G2="九级",G2="十级",G2="十一级",G2="十二级"),"五通一平","七通一平")</f>
        <v>五通一平</v>
      </c>
      <c r="E17" s="2924">
        <f>SUMPRODUCT((修正!B1:M1=G2)*(修正!B15:M15))</f>
        <v>155</v>
      </c>
      <c r="F17" s="2925" t="s">
        <v>3150</v>
      </c>
      <c r="G17" s="2926">
        <f>SUM(H17:O17)</f>
        <v>175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30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 thickBot="1">
      <c r="A18" s="2928" t="s">
        <v>808</v>
      </c>
      <c r="B18" s="2929" t="s">
        <v>2887</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9.4" thickBot="1">
      <c r="A19" s="2775" t="s">
        <v>809</v>
      </c>
      <c r="B19" s="2776" t="s">
        <v>2888</v>
      </c>
      <c r="C19" s="921">
        <f>ROUND(IF(H19="按公示增长率计算",SUMPRODUCT((地价!A3:A30=YEAR(G19)&amp;"-"&amp;ROUNDUP(MONTH(G19)/3,0))*(地价!X2:AB2=E2)*(地价!X3:AB30)),IF(H19="地价指数",M20/M19,(1+I19)^O19)),4)</f>
        <v>1.3826000000000001</v>
      </c>
      <c r="D19" s="2780" t="s">
        <v>2889</v>
      </c>
      <c r="E19" s="922">
        <v>41640</v>
      </c>
      <c r="F19" s="2780" t="s">
        <v>2890</v>
      </c>
      <c r="G19" s="923">
        <f>'数据-取费表'!B2</f>
        <v>44005</v>
      </c>
      <c r="H19" s="2781" t="s">
        <v>3091</v>
      </c>
      <c r="I19" s="924" t="str">
        <f>IF(H19="季度增幅（自定义）",SUMIF(N21:N24,E2,O21:O24),"")</f>
        <v/>
      </c>
      <c r="J19" s="2778"/>
      <c r="K19" s="1374"/>
      <c r="L19" s="2782" t="s">
        <v>2891</v>
      </c>
      <c r="M19" s="1731">
        <f>ROUND(SUMIF(地价!B2:F2,E2,地价!B30:F30),0)</f>
        <v>230</v>
      </c>
      <c r="N19" s="2783" t="s">
        <v>2892</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9.4" thickBot="1">
      <c r="A20" s="2787" t="s">
        <v>810</v>
      </c>
      <c r="B20" s="2788" t="s">
        <v>2893</v>
      </c>
      <c r="C20" s="926">
        <f ca="1">ROUND(POWER(1+G20,J20-I20)*(POWER(1+G20,I20)-1)/(POWER(1+G20,J20)-1),4)</f>
        <v>0.87119999999999997</v>
      </c>
      <c r="D20" s="2789" t="s">
        <v>2894</v>
      </c>
      <c r="E20" s="1757">
        <f ca="1">存贷款利率!D4/100</f>
        <v>4.3499999999999997E-2</v>
      </c>
      <c r="F20" s="2789" t="s">
        <v>2886</v>
      </c>
      <c r="G20" s="931">
        <f ca="1">SUMIF(M26:P26,E2,M28:P28)</f>
        <v>4.8000000000000001E-2</v>
      </c>
      <c r="H20" s="2789" t="s">
        <v>2895</v>
      </c>
      <c r="I20" s="932">
        <f>SUMIF('数据-取费表'!C6:C15,E2,'数据-取费表'!F6:F15)/COUNTIF('数据-取费表'!C6:C15,E2)</f>
        <v>33.049999999999997</v>
      </c>
      <c r="J20" s="933">
        <f>IF(E2="住宅",70,IF(E2="商业",40,50))</f>
        <v>50</v>
      </c>
      <c r="K20" s="1374"/>
      <c r="L20" s="2790" t="s">
        <v>2896</v>
      </c>
      <c r="M20" s="1732">
        <f>ROUND(SUMPRODUCT((地价!A4:A30=YEAR(G19)&amp;"-"&amp;ROUNDUP(MONTH(G19)/3,0))*(地价!B2:F2=E2)*(地价!B4:F30)),0)</f>
        <v>318</v>
      </c>
      <c r="N20" s="2791" t="s">
        <v>2897</v>
      </c>
      <c r="O20" s="2792" t="s">
        <v>2898</v>
      </c>
      <c r="P20" s="2793" t="s">
        <v>2899</v>
      </c>
      <c r="R20" s="1373"/>
      <c r="S20" s="1373"/>
      <c r="T20" s="1368"/>
      <c r="U20" s="1368"/>
      <c r="V20" s="1368"/>
      <c r="W20" s="1367"/>
      <c r="X20" s="1367"/>
      <c r="Y20" s="1367"/>
      <c r="Z20" s="1374"/>
      <c r="AA20" s="1375"/>
      <c r="AB20" s="1375"/>
      <c r="AC20" s="1375"/>
      <c r="AD20" s="1375"/>
      <c r="AE20" s="1375"/>
      <c r="AF20" s="1375"/>
    </row>
    <row r="21" spans="1:37" s="2729" customFormat="1" ht="14.4">
      <c r="A21" s="2794" t="s">
        <v>811</v>
      </c>
      <c r="B21" s="2795" t="s">
        <v>3092</v>
      </c>
      <c r="C21" s="934">
        <f>IF(B21="容积率修正",IF(G3&lt;=10,D22,J22),C23)</f>
        <v>1.8667</v>
      </c>
      <c r="D21" s="2796"/>
      <c r="E21" s="2796"/>
      <c r="F21" s="2796"/>
      <c r="G21" s="2796"/>
      <c r="H21" s="2796"/>
      <c r="I21" s="2796"/>
      <c r="J21" s="2797"/>
      <c r="K21" s="1374"/>
      <c r="N21" s="2798"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4">
      <c r="A22" s="2655" t="s">
        <v>2901</v>
      </c>
      <c r="B22" s="2799" t="s">
        <v>2902</v>
      </c>
      <c r="C22" s="1799" t="s">
        <v>2903</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9.4" thickBot="1">
      <c r="A23" s="2655" t="s">
        <v>2905</v>
      </c>
      <c r="B23" s="2800" t="s">
        <v>2906</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 thickBot="1">
      <c r="A24" s="2787" t="s">
        <v>812</v>
      </c>
      <c r="B24" s="2776" t="s">
        <v>2908</v>
      </c>
      <c r="C24" s="921">
        <f>SUMIF(A45:A88,E2,B45:B88)</f>
        <v>1.0703</v>
      </c>
      <c r="D24" s="2777"/>
      <c r="E24" s="2806"/>
      <c r="F24" s="2806"/>
      <c r="G24" s="2806"/>
      <c r="H24" s="2806"/>
      <c r="I24" s="2806"/>
      <c r="J24" s="2807"/>
      <c r="K24" s="1374"/>
      <c r="N24" s="2808"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 thickBot="1">
      <c r="A25" s="2787" t="s">
        <v>813</v>
      </c>
      <c r="B25" s="2809" t="s">
        <v>2910</v>
      </c>
      <c r="C25" s="927"/>
      <c r="D25" s="2739"/>
      <c r="E25" s="2739"/>
      <c r="F25" s="2810"/>
      <c r="G25" s="2739"/>
      <c r="H25" s="2739"/>
      <c r="I25" s="2739"/>
      <c r="J25" s="2740"/>
      <c r="K25" s="1367"/>
      <c r="N25" s="2811"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4.4">
      <c r="A26" s="2812"/>
      <c r="B26" s="2799" t="s">
        <v>2912</v>
      </c>
      <c r="C26" s="204">
        <f ca="1">E29+SUM(E33:E39)</f>
        <v>16463</v>
      </c>
      <c r="D26" s="2813"/>
      <c r="E26" s="2764"/>
      <c r="F26" s="2814"/>
      <c r="G26" s="2764"/>
      <c r="H26" s="2764"/>
      <c r="I26" s="2764"/>
      <c r="J26" s="2815"/>
      <c r="K26" s="1367"/>
      <c r="L26" s="2768" t="s">
        <v>2811</v>
      </c>
      <c r="M26" s="917" t="s">
        <v>2876</v>
      </c>
      <c r="N26" s="917" t="s">
        <v>2877</v>
      </c>
      <c r="O26" s="917" t="s">
        <v>2878</v>
      </c>
      <c r="P26" s="2769" t="s">
        <v>2879</v>
      </c>
      <c r="R26" s="1373"/>
      <c r="S26" s="1373"/>
      <c r="T26" s="1368"/>
      <c r="U26" s="1368"/>
      <c r="V26" s="1368"/>
      <c r="W26" s="1367"/>
      <c r="X26" s="1367"/>
      <c r="Y26" s="1367"/>
      <c r="Z26" s="1374"/>
      <c r="AA26" s="1375"/>
      <c r="AB26" s="1375"/>
      <c r="AC26" s="1375"/>
      <c r="AD26" s="1375"/>
    </row>
    <row r="27" spans="1:37" ht="15" thickBot="1">
      <c r="A27" s="2812"/>
      <c r="B27" s="2816" t="s">
        <v>2913</v>
      </c>
      <c r="C27" s="928">
        <f ca="1">E30+SUM(I33:I39)</f>
        <v>5</v>
      </c>
      <c r="D27" s="2817"/>
      <c r="E27" s="2818"/>
      <c r="F27" s="2819"/>
      <c r="G27" s="2818"/>
      <c r="H27" s="2818"/>
      <c r="I27" s="2818"/>
      <c r="J27" s="2820"/>
      <c r="K27" s="1367"/>
      <c r="L27" s="2772" t="s">
        <v>2883</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1"/>
      <c r="B28" s="2822" t="s">
        <v>2914</v>
      </c>
      <c r="C28" s="2823" t="s">
        <v>2915</v>
      </c>
      <c r="D28" s="2823" t="s">
        <v>2916</v>
      </c>
      <c r="E28" s="2824" t="s">
        <v>2917</v>
      </c>
      <c r="F28" s="2825"/>
      <c r="G28" s="2752"/>
      <c r="H28" s="2752"/>
      <c r="I28" s="2752"/>
      <c r="J28" s="2753"/>
      <c r="K28" s="1367"/>
      <c r="L28" s="2773" t="s">
        <v>2886</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2918</v>
      </c>
      <c r="C29" s="204">
        <f ca="1">ROUND(C5*C18*C19*C20*C21*C24,0)</f>
        <v>2503</v>
      </c>
      <c r="D29" s="2828">
        <f>'数据-汇总表'!F27</f>
        <v>65627.570000000007</v>
      </c>
      <c r="E29" s="939">
        <f ca="1">ROUND(C29*D29/10000,0)</f>
        <v>16427</v>
      </c>
      <c r="F29" s="2829" t="s">
        <v>2919</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8" thickBot="1">
      <c r="A30" s="2832"/>
      <c r="B30" s="2833" t="s">
        <v>2920</v>
      </c>
      <c r="C30" s="227">
        <f ca="1">ROUND(IF(E2="工业",C29*M39,C29*M38),0)</f>
        <v>375</v>
      </c>
      <c r="D30" s="2834"/>
      <c r="E30" s="939">
        <f ca="1">ROUND(C30*D30/10000,0)</f>
        <v>0</v>
      </c>
      <c r="F30" s="2835" t="s">
        <v>2921</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3.8">
      <c r="A31" s="2838"/>
      <c r="B31" s="2839" t="s">
        <v>2922</v>
      </c>
      <c r="C31" s="2840" t="s">
        <v>2923</v>
      </c>
      <c r="D31" s="2752"/>
      <c r="E31" s="2840"/>
      <c r="F31" s="2840"/>
      <c r="G31" s="2750" t="s">
        <v>2924</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36">
      <c r="A32" s="2826"/>
      <c r="B32" s="2842"/>
      <c r="C32" s="499" t="s">
        <v>2915</v>
      </c>
      <c r="D32" s="496" t="s">
        <v>2916</v>
      </c>
      <c r="E32" s="496" t="s">
        <v>2917</v>
      </c>
      <c r="F32" s="386" t="s">
        <v>2925</v>
      </c>
      <c r="G32" s="2843" t="s">
        <v>2915</v>
      </c>
      <c r="H32" s="2843" t="s">
        <v>2916</v>
      </c>
      <c r="I32" s="2843" t="s">
        <v>2917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80" t="s">
        <v>2926</v>
      </c>
      <c r="B33" s="2844" t="s">
        <v>2927</v>
      </c>
      <c r="C33" s="204">
        <f ca="1">ROUND(D5*C19*C20*C24*F33,0)</f>
        <v>804</v>
      </c>
      <c r="D33" s="2828"/>
      <c r="E33" s="198">
        <f ca="1">ROUND(C33*D33/10000,0)</f>
        <v>0</v>
      </c>
      <c r="F33" s="198">
        <f>SUMIF(修正!A45:A56,G2,修正!B45:B56)</f>
        <v>0.6</v>
      </c>
      <c r="G33" s="198">
        <f t="shared" ref="G33" ca="1" si="6">ROUND(IF(E2="工业",C33*$M$39,C33*$M$38),0)</f>
        <v>121</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181"/>
      <c r="B34" s="2756" t="s">
        <v>2928</v>
      </c>
      <c r="C34" s="204">
        <f ca="1">ROUND(D5*C19*C20*C24*F34,0)</f>
        <v>402</v>
      </c>
      <c r="D34" s="2828"/>
      <c r="E34" s="198">
        <f t="shared" ref="E34:E39" ca="1" si="7">ROUND(C34*D34/10000,0)</f>
        <v>0</v>
      </c>
      <c r="F34" s="198">
        <f>SUMIF(修正!A45:A56,G2,修正!C45:C56)</f>
        <v>0.3</v>
      </c>
      <c r="G34" s="198">
        <f ca="1">ROUND(IF(E2="工业",C34*$M$39,C34*$M$38),0)</f>
        <v>60</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1"/>
      <c r="B35" s="2756" t="s">
        <v>2929</v>
      </c>
      <c r="C35" s="204">
        <f ca="1">ROUND(D5*C19*C20*C24*F35,0)</f>
        <v>268</v>
      </c>
      <c r="D35" s="2828"/>
      <c r="E35" s="198">
        <f t="shared" ca="1" si="7"/>
        <v>0</v>
      </c>
      <c r="F35" s="198">
        <f>SUMIF(修正!A45:A56,G2,修正!D45:D56)</f>
        <v>0.2</v>
      </c>
      <c r="G35" s="198">
        <f ca="1">ROUND(IF(E2="工业",C35*$M$39,C35*$M$38),0)</f>
        <v>40</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8" thickBot="1">
      <c r="A36" s="3182"/>
      <c r="B36" s="2756" t="s">
        <v>2930</v>
      </c>
      <c r="C36" s="204">
        <f ca="1">ROUND(D5*C19*C20*C24*F36,0)</f>
        <v>268</v>
      </c>
      <c r="D36" s="2828"/>
      <c r="E36" s="198">
        <f t="shared" ca="1" si="7"/>
        <v>0</v>
      </c>
      <c r="F36" s="198">
        <f>SUMIF(修正!A45:A56,G2,修正!E45:E56)</f>
        <v>0.2</v>
      </c>
      <c r="G36" s="198">
        <f ca="1">ROUND(IF(E2="工业",C36*$M$39,C36*$M$38),0)</f>
        <v>40</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2931</v>
      </c>
      <c r="C37" s="198">
        <f ca="1">ROUND(D5*C19*C20*C24*F37,0)</f>
        <v>268</v>
      </c>
      <c r="D37" s="2828"/>
      <c r="E37" s="198">
        <f t="shared" ca="1" si="7"/>
        <v>0</v>
      </c>
      <c r="F37" s="204">
        <f>SUMIF(修正!A45:A56,G2,修正!F45:F56)</f>
        <v>0.2</v>
      </c>
      <c r="G37" s="198">
        <f ca="1">ROUND(IF(E2="工业",C37*$M$39,C37*$M$38),0)</f>
        <v>40</v>
      </c>
      <c r="H37" s="198">
        <f t="shared" si="8"/>
        <v>0</v>
      </c>
      <c r="I37" s="198">
        <f t="shared" ca="1" si="9"/>
        <v>0</v>
      </c>
      <c r="J37" s="2845"/>
      <c r="K37" s="1367"/>
      <c r="L37" s="2847" t="s">
        <v>2932</v>
      </c>
      <c r="M37" s="2848"/>
      <c r="N37" s="1367"/>
      <c r="O37" s="1367"/>
      <c r="P37" s="1367"/>
      <c r="Q37" s="1367"/>
      <c r="R37" s="1367"/>
      <c r="S37" s="1367"/>
      <c r="T37" s="1367"/>
      <c r="U37" s="1367"/>
      <c r="V37" s="1367"/>
      <c r="W37" s="1367"/>
      <c r="X37" s="1367"/>
      <c r="Y37" s="1367"/>
      <c r="Z37" s="1368"/>
    </row>
    <row r="38" spans="1:37">
      <c r="A38" s="2846"/>
      <c r="B38" s="2756" t="s">
        <v>2933</v>
      </c>
      <c r="C38" s="198">
        <f ca="1">ROUND(D5*C19*C41*C24*F38,0)</f>
        <v>268</v>
      </c>
      <c r="D38" s="2828">
        <f>'数据-基础表'!M13</f>
        <v>1361.37</v>
      </c>
      <c r="E38" s="198">
        <f t="shared" ca="1" si="7"/>
        <v>36</v>
      </c>
      <c r="F38" s="204">
        <f>SUMIF(修正!A45:A56,G2,修正!G45:G56)</f>
        <v>0.2</v>
      </c>
      <c r="G38" s="198">
        <f ca="1">ROUND(IF(E2="工业",C38*$M$39,C38*$M$38),0)</f>
        <v>40</v>
      </c>
      <c r="H38" s="198">
        <f t="shared" si="8"/>
        <v>1361.37</v>
      </c>
      <c r="I38" s="198">
        <f t="shared" ca="1" si="9"/>
        <v>5</v>
      </c>
      <c r="J38" s="2845"/>
      <c r="K38" s="1367"/>
      <c r="L38" s="1876" t="s">
        <v>2934</v>
      </c>
      <c r="M38" s="2849">
        <v>0.25</v>
      </c>
      <c r="N38" s="1367"/>
      <c r="O38" s="1367"/>
      <c r="P38" s="1367"/>
      <c r="Q38" s="1367"/>
      <c r="R38" s="1367"/>
      <c r="S38" s="1367"/>
      <c r="T38" s="1367"/>
      <c r="U38" s="1367"/>
      <c r="V38" s="1367"/>
      <c r="W38" s="1367"/>
      <c r="X38" s="1367"/>
      <c r="Y38" s="1367"/>
      <c r="Z38" s="1368"/>
    </row>
    <row r="39" spans="1:37" ht="13.8" thickBot="1">
      <c r="A39" s="2832"/>
      <c r="B39" s="2850" t="s">
        <v>2935</v>
      </c>
      <c r="C39" s="227">
        <f ca="1">ROUND(D5*C19*C41*C24*F39,0)</f>
        <v>201</v>
      </c>
      <c r="D39" s="2834"/>
      <c r="E39" s="227">
        <f t="shared" ca="1" si="7"/>
        <v>0</v>
      </c>
      <c r="F39" s="929">
        <f>SUMIF(修正!A45:A56,G2,修正!H45:H56)</f>
        <v>0.15</v>
      </c>
      <c r="G39" s="227">
        <f ca="1">ROUND(IF(E2="工业",C39*$M$39,C39*$M$38),0)</f>
        <v>30</v>
      </c>
      <c r="H39" s="227">
        <f t="shared" si="8"/>
        <v>0</v>
      </c>
      <c r="I39" s="227">
        <f t="shared" ca="1" si="9"/>
        <v>0</v>
      </c>
      <c r="J39" s="2851"/>
      <c r="K39" s="1367"/>
      <c r="L39" s="2852" t="s">
        <v>2879</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1" t="s">
        <v>3043</v>
      </c>
      <c r="C41" s="386">
        <f ca="1">ROUND(POWER(1+E41,H41-G41)*(POWER(1+E41,G41)-1)/(POWER(1+E41,H41)-1),4)</f>
        <v>0.87119999999999997</v>
      </c>
      <c r="D41" s="198" t="s">
        <v>2886</v>
      </c>
      <c r="E41" s="2920">
        <f ca="1">G20</f>
        <v>4.8000000000000001E-2</v>
      </c>
      <c r="F41" s="198" t="s">
        <v>2895</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 thickBot="1">
      <c r="A45" s="2855" t="s">
        <v>2936</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4.4">
      <c r="A46" s="2857" t="s">
        <v>2937</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5.2">
      <c r="A47" s="2861" t="s">
        <v>2938</v>
      </c>
      <c r="B47" s="1798" t="s">
        <v>2939</v>
      </c>
      <c r="C47" s="1798" t="s">
        <v>2940</v>
      </c>
      <c r="D47" s="1798" t="s">
        <v>2941</v>
      </c>
      <c r="E47" s="816" t="s">
        <v>2942</v>
      </c>
      <c r="F47" s="2862" t="s">
        <v>2943</v>
      </c>
      <c r="G47" s="1798" t="s">
        <v>754</v>
      </c>
      <c r="H47" s="2863" t="s">
        <v>2944</v>
      </c>
      <c r="I47" s="1798" t="s">
        <v>2945</v>
      </c>
      <c r="J47" s="601" t="s">
        <v>2595</v>
      </c>
      <c r="K47" s="601" t="s">
        <v>2596</v>
      </c>
      <c r="L47" s="601" t="s">
        <v>2597</v>
      </c>
      <c r="M47" s="601" t="s">
        <v>2598</v>
      </c>
      <c r="N47" s="601" t="s">
        <v>2599</v>
      </c>
      <c r="AA47" s="1368"/>
      <c r="AB47" s="1368"/>
      <c r="AC47" s="1368"/>
      <c r="AD47" s="1368"/>
      <c r="AE47" s="1368"/>
      <c r="AF47" s="1368"/>
      <c r="AG47" s="1368"/>
      <c r="AH47" s="1368"/>
      <c r="AI47" s="1368"/>
      <c r="AJ47" s="1368"/>
      <c r="AK47" s="1368"/>
    </row>
    <row r="48" spans="1:37" s="1367" customFormat="1" ht="52.8">
      <c r="A48" s="2861" t="s">
        <v>2946</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1" t="s">
        <v>2947</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2948</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1" t="s">
        <v>2949</v>
      </c>
      <c r="B51" s="2866" t="s">
        <v>2950</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2951</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1" t="s">
        <v>2952</v>
      </c>
      <c r="B53" s="2867" t="s">
        <v>2953</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68" t="s">
        <v>2954</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68" t="s">
        <v>2955</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69" t="s">
        <v>2956</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7" t="s">
        <v>2957</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1" t="s">
        <v>2938</v>
      </c>
      <c r="B58" s="1798"/>
      <c r="C58" s="1798" t="s">
        <v>2940</v>
      </c>
      <c r="D58" s="1798" t="s">
        <v>2941</v>
      </c>
      <c r="E58" s="816" t="s">
        <v>2942</v>
      </c>
      <c r="F58" s="2862" t="s">
        <v>2958</v>
      </c>
      <c r="G58" s="1798" t="s">
        <v>754</v>
      </c>
      <c r="H58" s="2863" t="s">
        <v>2944</v>
      </c>
      <c r="I58" s="1798" t="s">
        <v>2945</v>
      </c>
      <c r="J58" s="601" t="s">
        <v>2595</v>
      </c>
      <c r="K58" s="601" t="s">
        <v>2596</v>
      </c>
      <c r="L58" s="601" t="s">
        <v>2597</v>
      </c>
      <c r="M58" s="601" t="s">
        <v>2598</v>
      </c>
      <c r="N58" s="601" t="s">
        <v>2599</v>
      </c>
      <c r="AA58" s="1368"/>
      <c r="AB58" s="1368"/>
      <c r="AC58" s="1368"/>
      <c r="AD58" s="1368"/>
      <c r="AE58" s="1368"/>
      <c r="AF58" s="1368"/>
      <c r="AG58" s="1368"/>
      <c r="AH58" s="1368"/>
      <c r="AI58" s="1368"/>
      <c r="AJ58" s="1368"/>
      <c r="AK58" s="1368"/>
    </row>
    <row r="59" spans="1:37" s="1367" customFormat="1" ht="52.8">
      <c r="A59" s="2861" t="s">
        <v>2959</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1" t="s">
        <v>2947</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2948</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1" t="s">
        <v>2949</v>
      </c>
      <c r="B62" s="2866" t="s">
        <v>2950</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2951</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1" t="s">
        <v>2952</v>
      </c>
      <c r="B64" s="2867" t="s">
        <v>2953</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1" t="s">
        <v>2954</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1" t="s">
        <v>2955</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69" t="s">
        <v>2956</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7" t="s">
        <v>2960</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1" t="s">
        <v>2938</v>
      </c>
      <c r="B69" s="1798"/>
      <c r="C69" s="1798" t="s">
        <v>2940</v>
      </c>
      <c r="D69" s="1798" t="s">
        <v>2941</v>
      </c>
      <c r="E69" s="816" t="s">
        <v>2942</v>
      </c>
      <c r="F69" s="2862" t="s">
        <v>2958</v>
      </c>
      <c r="G69" s="1798" t="s">
        <v>754</v>
      </c>
      <c r="H69" s="2863" t="s">
        <v>2944</v>
      </c>
      <c r="I69" s="1798" t="s">
        <v>2945</v>
      </c>
      <c r="J69" s="601" t="s">
        <v>2595</v>
      </c>
      <c r="K69" s="601" t="s">
        <v>2596</v>
      </c>
      <c r="L69" s="601" t="s">
        <v>2597</v>
      </c>
      <c r="M69" s="601" t="s">
        <v>2598</v>
      </c>
      <c r="N69" s="601" t="s">
        <v>2599</v>
      </c>
      <c r="AA69" s="1368"/>
      <c r="AB69" s="1368"/>
      <c r="AC69" s="1368"/>
      <c r="AD69" s="1368"/>
      <c r="AE69" s="1368"/>
      <c r="AF69" s="1368"/>
      <c r="AG69" s="1368"/>
      <c r="AH69" s="1368"/>
      <c r="AI69" s="1368"/>
      <c r="AJ69" s="1368"/>
      <c r="AK69" s="1368"/>
    </row>
    <row r="70" spans="1:37" s="1367" customFormat="1" ht="66">
      <c r="A70" s="2861" t="s">
        <v>2961</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1" t="s">
        <v>2947</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2948</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1" t="s">
        <v>2962</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1" t="s">
        <v>2954</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1" t="s">
        <v>2955</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36">
      <c r="A76" s="2861" t="s">
        <v>2952</v>
      </c>
      <c r="B76" s="2867" t="s">
        <v>2953</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9.6">
      <c r="A77" s="2861" t="s">
        <v>2956</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36.6" thickBot="1">
      <c r="A78" s="2869" t="s">
        <v>2963</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4.4">
      <c r="A79" s="2857" t="s">
        <v>2964</v>
      </c>
      <c r="B79" s="2858">
        <f>1+E81</f>
        <v>1.0703</v>
      </c>
      <c r="C79" s="811"/>
      <c r="D79" s="811"/>
      <c r="E79" s="812"/>
      <c r="F79" s="2860"/>
      <c r="G79" s="6"/>
      <c r="H79" s="6"/>
      <c r="I79" s="6"/>
      <c r="J79" s="7"/>
      <c r="K79" s="7"/>
      <c r="L79" s="7"/>
      <c r="M79" s="7"/>
      <c r="N79" s="7"/>
      <c r="Z79" s="2711"/>
      <c r="AA79" s="2779"/>
      <c r="AG79" s="1369"/>
      <c r="AK79" s="2779"/>
    </row>
    <row r="80" spans="1:37" ht="25.2">
      <c r="A80" s="2861" t="s">
        <v>2938</v>
      </c>
      <c r="B80" s="1798"/>
      <c r="C80" s="1798" t="s">
        <v>2940</v>
      </c>
      <c r="D80" s="1798" t="s">
        <v>2941</v>
      </c>
      <c r="E80" s="816" t="s">
        <v>2942</v>
      </c>
      <c r="F80" s="2862" t="s">
        <v>2958</v>
      </c>
      <c r="G80" s="1798" t="s">
        <v>754</v>
      </c>
      <c r="H80" s="2863" t="s">
        <v>2944</v>
      </c>
      <c r="I80" s="1798" t="s">
        <v>2945</v>
      </c>
      <c r="J80" s="601" t="s">
        <v>2595</v>
      </c>
      <c r="K80" s="601" t="s">
        <v>2596</v>
      </c>
      <c r="L80" s="601" t="s">
        <v>2597</v>
      </c>
      <c r="M80" s="601" t="s">
        <v>2598</v>
      </c>
      <c r="N80" s="601" t="s">
        <v>2599</v>
      </c>
      <c r="Z80" s="2711"/>
      <c r="AA80" s="2779"/>
      <c r="AG80" s="1369"/>
      <c r="AK80" s="2779"/>
    </row>
    <row r="81" spans="1:37" ht="39.6">
      <c r="A81" s="2861" t="s">
        <v>2965</v>
      </c>
      <c r="B81" s="2865" t="str">
        <f>估价对象房地状况!G15</f>
        <v>估价对象位于XX开发区，园区建设成熟度XX，产业集聚程度XX</v>
      </c>
      <c r="C81" s="2761" t="s">
        <v>3093</v>
      </c>
      <c r="D81" s="1283">
        <f t="shared" ref="D81:D88" si="25">SUMIF($J$80:$N$80,C81,J81:N81)</f>
        <v>1.95E-2</v>
      </c>
      <c r="E81" s="818">
        <f>ROUND(SUM(D81:D88),4)</f>
        <v>7.0300000000000001E-2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66">
      <c r="A82" s="2861" t="s">
        <v>2947</v>
      </c>
      <c r="B82" s="2865" t="str">
        <f>估价对象房地状况!G16</f>
        <v>估价对象周边道路状况、公共交通通达情况、停车便捷程度，综合评价交通便捷度较好</v>
      </c>
      <c r="C82" s="2761" t="s">
        <v>3093</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2948</v>
      </c>
      <c r="B83" s="2865">
        <f>估价对象房地状况!G17</f>
        <v>0</v>
      </c>
      <c r="C83" s="2761" t="s">
        <v>3093</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3.8">
      <c r="A84" s="2861" t="s">
        <v>2962</v>
      </c>
      <c r="B84" s="2865">
        <f>估价对象房地状况!G22</f>
        <v>0</v>
      </c>
      <c r="C84" s="2761" t="s">
        <v>3093</v>
      </c>
      <c r="D84" s="1283">
        <f t="shared" si="25"/>
        <v>3.0000000000000001E-3</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6.4">
      <c r="A85" s="2861" t="s">
        <v>2954</v>
      </c>
      <c r="B85" s="1722" t="str">
        <f>估价对象房地状况!G19</f>
        <v>估价对象所在区域公共配套设施齐备情况</v>
      </c>
      <c r="C85" s="2761" t="s">
        <v>3094</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6.4">
      <c r="A86" s="2861" t="s">
        <v>2955</v>
      </c>
      <c r="B86" s="1722" t="str">
        <f>估价对象房地状况!G20</f>
        <v>估价对象所在区域基础设施水平</v>
      </c>
      <c r="C86" s="2761" t="s">
        <v>3093</v>
      </c>
      <c r="D86" s="1283">
        <f t="shared" si="25"/>
        <v>1.12E-2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36">
      <c r="A87" s="2861" t="s">
        <v>2952</v>
      </c>
      <c r="B87" s="2867" t="s">
        <v>2966</v>
      </c>
      <c r="C87" s="2761" t="s">
        <v>3093</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53.4" thickBot="1">
      <c r="A88" s="2869" t="s">
        <v>2967</v>
      </c>
      <c r="B88" s="2874" t="str">
        <f>估价对象房地状况!G18</f>
        <v>该园区内是否有污染型企业，绿化情况，卫生条件，整体环境状况判断</v>
      </c>
      <c r="C88" s="2761" t="s">
        <v>3093</v>
      </c>
      <c r="D88" s="1283">
        <f t="shared" si="25"/>
        <v>4.4999999999999997E-3</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74" t="s">
        <v>2968</v>
      </c>
      <c r="B90" s="3174"/>
      <c r="C90" s="3174"/>
      <c r="D90" s="3174"/>
      <c r="E90" s="3174"/>
      <c r="F90" s="3174"/>
      <c r="G90" s="3174"/>
      <c r="H90" s="3174"/>
      <c r="I90" s="3174"/>
      <c r="J90" s="3174"/>
      <c r="K90" s="2875"/>
      <c r="L90" s="2875"/>
      <c r="M90" s="2875"/>
      <c r="N90" s="2875"/>
    </row>
    <row r="91" spans="1:37">
      <c r="A91" s="3176" t="s">
        <v>2969</v>
      </c>
      <c r="B91" s="3176" t="s">
        <v>2970</v>
      </c>
      <c r="C91" s="2829" t="s">
        <v>2971</v>
      </c>
      <c r="D91" s="2830"/>
      <c r="E91" s="2830"/>
      <c r="F91" s="2830"/>
      <c r="G91" s="2830"/>
      <c r="H91" s="2830"/>
      <c r="I91" s="2830"/>
      <c r="J91" s="2876"/>
      <c r="K91" s="2877"/>
      <c r="L91" s="2877"/>
      <c r="M91" s="2877"/>
      <c r="N91" s="2877"/>
    </row>
    <row r="92" spans="1:37">
      <c r="A92" s="3176"/>
      <c r="B92" s="3176"/>
      <c r="C92" s="939" t="s">
        <v>2838</v>
      </c>
      <c r="D92" s="939" t="s">
        <v>2839</v>
      </c>
      <c r="E92" s="939" t="s">
        <v>2840</v>
      </c>
      <c r="F92" s="939" t="s">
        <v>2841</v>
      </c>
      <c r="G92" s="939" t="s">
        <v>2842</v>
      </c>
      <c r="H92" s="939" t="s">
        <v>2843</v>
      </c>
      <c r="I92" s="939" t="s">
        <v>2844</v>
      </c>
      <c r="J92" s="939" t="s">
        <v>2845</v>
      </c>
      <c r="K92" s="939" t="s">
        <v>2846</v>
      </c>
      <c r="L92" s="939" t="s">
        <v>2847</v>
      </c>
      <c r="M92" s="939" t="s">
        <v>2848</v>
      </c>
      <c r="N92" s="939" t="s">
        <v>2849</v>
      </c>
    </row>
    <row r="93" spans="1:37">
      <c r="A93" s="3177" t="s">
        <v>2972</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78"/>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78"/>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78"/>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78"/>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78"/>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78"/>
      <c r="B99" s="2878" t="s">
        <v>2854</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79"/>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77" t="s">
        <v>2973</v>
      </c>
      <c r="B101" s="2882" t="s">
        <v>2974</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78"/>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78"/>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78"/>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78"/>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78"/>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78"/>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78"/>
      <c r="B108" s="3103" t="s">
        <v>2975</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79"/>
      <c r="B109" s="3104"/>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75" t="s">
        <v>2976</v>
      </c>
      <c r="B110" s="3175"/>
      <c r="C110" s="3175"/>
      <c r="D110" s="3175"/>
      <c r="E110" s="3175"/>
      <c r="F110" s="3175"/>
      <c r="G110" s="3175"/>
      <c r="H110" s="3175"/>
      <c r="I110" s="3175"/>
      <c r="J110" s="3175"/>
      <c r="K110" s="2884"/>
      <c r="L110" s="2884"/>
      <c r="M110" s="2884"/>
      <c r="N110" s="2884"/>
    </row>
    <row r="112" spans="1:14" ht="13.8" thickBot="1"/>
    <row r="113" spans="1:13" ht="25.8" thickBot="1">
      <c r="A113" s="900" t="s">
        <v>2977</v>
      </c>
      <c r="B113" s="1284">
        <f>G3</f>
        <v>0.54</v>
      </c>
      <c r="C113" s="901" t="s">
        <v>2978</v>
      </c>
      <c r="D113" s="902">
        <f>SUMPRODUCT((A115:A118=F113)*(B114:M114=H113)*B115:M118)</f>
        <v>0.55940000000000001</v>
      </c>
      <c r="E113" s="2715" t="s">
        <v>2811</v>
      </c>
      <c r="F113" s="2886" t="str">
        <f>E2</f>
        <v>工业</v>
      </c>
      <c r="G113" s="2715" t="s">
        <v>2812</v>
      </c>
      <c r="H113" s="2886" t="str">
        <f>G2</f>
        <v>八级</v>
      </c>
      <c r="I113" s="2715"/>
      <c r="J113" s="2887"/>
      <c r="K113" s="2887"/>
      <c r="L113" s="2887"/>
      <c r="M113" s="2887"/>
    </row>
    <row r="114" spans="1:13">
      <c r="A114" s="905"/>
      <c r="B114" s="2888" t="s">
        <v>2979</v>
      </c>
      <c r="C114" s="2888" t="s">
        <v>2980</v>
      </c>
      <c r="D114" s="2888" t="s">
        <v>2981</v>
      </c>
      <c r="E114" s="2889" t="s">
        <v>2982</v>
      </c>
      <c r="F114" s="2889" t="s">
        <v>2983</v>
      </c>
      <c r="G114" s="2889" t="s">
        <v>2984</v>
      </c>
      <c r="H114" s="2890" t="s">
        <v>2985</v>
      </c>
      <c r="I114" s="2890" t="s">
        <v>2986</v>
      </c>
      <c r="J114" s="2891" t="s">
        <v>2987</v>
      </c>
      <c r="K114" s="2891" t="s">
        <v>2988</v>
      </c>
      <c r="L114" s="2891" t="s">
        <v>2989</v>
      </c>
      <c r="M114" s="2892" t="s">
        <v>2990</v>
      </c>
    </row>
    <row r="115" spans="1:13">
      <c r="A115" s="906" t="s">
        <v>2876</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2877</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2878</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8" thickBot="1">
      <c r="A118" s="712" t="s">
        <v>2879</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2325</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ROUND(IF(D3="",B2*10000/'数据-汇总表'!E3,B2*10000/D3),0)</f>
        <v>#N/A</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 thickBot="1">
      <c r="A6" s="404"/>
      <c r="B6" s="405"/>
      <c r="C6" s="3231" t="s">
        <v>2795</v>
      </c>
      <c r="D6" s="3232"/>
      <c r="E6" s="3234" t="s">
        <v>2795</v>
      </c>
      <c r="F6" s="3235"/>
      <c r="G6" s="3231" t="s">
        <v>2795</v>
      </c>
      <c r="H6" s="3232"/>
      <c r="I6" s="3231" t="s">
        <v>2795</v>
      </c>
      <c r="J6" s="3232"/>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 thickBot="1">
      <c r="A7" s="406" t="s">
        <v>2546</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220" t="s">
        <v>2547</v>
      </c>
      <c r="Q7" s="3233"/>
      <c r="R7" s="767" t="s">
        <v>17</v>
      </c>
      <c r="S7" s="768">
        <f t="shared" ref="S7:S15" si="0">F7</f>
        <v>100</v>
      </c>
      <c r="T7" s="767" t="s">
        <v>17</v>
      </c>
      <c r="U7" s="768">
        <f t="shared" ref="U7:U15" si="1">H7</f>
        <v>100</v>
      </c>
      <c r="V7" s="767" t="s">
        <v>17</v>
      </c>
      <c r="W7" s="768">
        <f t="shared" ref="W7:W15" si="2">J7</f>
        <v>100</v>
      </c>
      <c r="X7" s="769"/>
      <c r="Y7" s="3220" t="s">
        <v>2547</v>
      </c>
      <c r="Z7" s="3221"/>
      <c r="AA7" s="770">
        <f>D7/F7</f>
        <v>1</v>
      </c>
      <c r="AB7" s="770">
        <f>D7/H7</f>
        <v>1</v>
      </c>
      <c r="AC7" s="770">
        <f>D7/J7</f>
        <v>1</v>
      </c>
    </row>
    <row r="8" spans="1:29" s="116" customFormat="1" ht="15" thickBot="1">
      <c r="A8" s="406" t="s">
        <v>2548</v>
      </c>
      <c r="B8" s="407"/>
      <c r="C8" s="412" t="s">
        <v>2549</v>
      </c>
      <c r="D8" s="409">
        <v>100</v>
      </c>
      <c r="E8" s="412" t="s">
        <v>3136</v>
      </c>
      <c r="F8" s="411">
        <f>SUMIF(68:68,E8,69:69)-SUMIF(68:68,C8,69:69)+100</f>
        <v>100</v>
      </c>
      <c r="G8" s="412" t="s">
        <v>3136</v>
      </c>
      <c r="H8" s="409">
        <f>SUMIF(68:68,G8,69:69)-SUMIF(68:68,C8,69:69)+100</f>
        <v>100</v>
      </c>
      <c r="I8" s="412" t="s">
        <v>3136</v>
      </c>
      <c r="J8" s="409">
        <f>SUMIF(68:68,I8,69:69)-SUMIF(68:68,C8,69:69)+100</f>
        <v>100</v>
      </c>
      <c r="K8" s="609"/>
      <c r="L8" s="1129"/>
      <c r="M8" s="1130"/>
      <c r="N8" s="1130"/>
      <c r="O8" s="1130"/>
      <c r="P8" s="3220" t="s">
        <v>2550</v>
      </c>
      <c r="Q8" s="3221"/>
      <c r="R8" s="767" t="s">
        <v>17</v>
      </c>
      <c r="S8" s="768">
        <f t="shared" si="0"/>
        <v>100</v>
      </c>
      <c r="T8" s="767" t="s">
        <v>17</v>
      </c>
      <c r="U8" s="768">
        <f t="shared" si="1"/>
        <v>100</v>
      </c>
      <c r="V8" s="767" t="s">
        <v>17</v>
      </c>
      <c r="W8" s="768">
        <f t="shared" si="2"/>
        <v>100</v>
      </c>
      <c r="X8" s="769"/>
      <c r="Y8" s="3220" t="s">
        <v>2550</v>
      </c>
      <c r="Z8" s="3221"/>
      <c r="AA8" s="770">
        <f t="shared" ref="AA8:AA40" si="3">D8/F8</f>
        <v>1</v>
      </c>
      <c r="AB8" s="770">
        <f t="shared" ref="AB8:AB40" si="4">D8/H8</f>
        <v>1</v>
      </c>
      <c r="AC8" s="770">
        <f t="shared" ref="AC8:AC40" si="5">D8/J8</f>
        <v>1</v>
      </c>
    </row>
    <row r="9" spans="1:29" s="116" customFormat="1" ht="14.4">
      <c r="A9" s="413" t="s">
        <v>2551</v>
      </c>
      <c r="B9" s="71" t="s">
        <v>2552</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8.8">
      <c r="A10" s="419"/>
      <c r="B10" s="420" t="s">
        <v>2555</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47"/>
      <c r="Z10" s="55" t="str">
        <f t="shared" si="7"/>
        <v>土地使用年限（年）</v>
      </c>
      <c r="AA10" s="770">
        <f t="shared" ca="1" si="3"/>
        <v>0.86956521739130432</v>
      </c>
      <c r="AB10" s="770">
        <f t="shared" ca="1" si="4"/>
        <v>0.86956521739130432</v>
      </c>
      <c r="AC10" s="770">
        <f t="shared" ca="1" si="5"/>
        <v>0.86956521739130432</v>
      </c>
    </row>
    <row r="11" spans="1:29" ht="15">
      <c r="A11" s="426"/>
      <c r="B11" s="420" t="s">
        <v>2556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6"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69">
      <c r="A15" s="438" t="s">
        <v>2557</v>
      </c>
      <c r="B15" s="627" t="s">
        <v>2796</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01" t="s">
        <v>2558</v>
      </c>
      <c r="Q15" s="1799" t="str">
        <f t="shared" si="6"/>
        <v>产业集聚程度</v>
      </c>
      <c r="R15" s="771" t="s">
        <v>17</v>
      </c>
      <c r="S15" s="772">
        <f t="shared" si="0"/>
        <v>100</v>
      </c>
      <c r="T15" s="771" t="s">
        <v>17</v>
      </c>
      <c r="U15" s="772">
        <f t="shared" si="1"/>
        <v>100</v>
      </c>
      <c r="V15" s="771" t="s">
        <v>17</v>
      </c>
      <c r="W15" s="772">
        <f t="shared" si="2"/>
        <v>100</v>
      </c>
      <c r="X15" s="1802"/>
      <c r="Y15" s="3201" t="s">
        <v>2558</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202"/>
      <c r="Q16" s="1799"/>
      <c r="R16" s="771"/>
      <c r="S16" s="772"/>
      <c r="T16" s="771"/>
      <c r="U16" s="772"/>
      <c r="V16" s="771"/>
      <c r="W16" s="772"/>
      <c r="X16" s="1802"/>
      <c r="Y16" s="3202"/>
      <c r="Z16" s="1803"/>
      <c r="AA16" s="1800">
        <v>1</v>
      </c>
      <c r="AB16" s="1800">
        <v>1</v>
      </c>
      <c r="AC16" s="1800">
        <v>1</v>
      </c>
    </row>
    <row r="17" spans="1:29" ht="96.6">
      <c r="A17" s="426"/>
      <c r="B17" s="629" t="s">
        <v>2707</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02"/>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202"/>
      <c r="Q18" s="1799"/>
      <c r="R18" s="771"/>
      <c r="S18" s="772"/>
      <c r="T18" s="771"/>
      <c r="U18" s="772"/>
      <c r="V18" s="771"/>
      <c r="W18" s="772"/>
      <c r="X18" s="1802"/>
      <c r="Y18" s="3202"/>
      <c r="Z18" s="1803"/>
      <c r="AA18" s="1800">
        <v>1</v>
      </c>
      <c r="AB18" s="1800">
        <v>1</v>
      </c>
      <c r="AC18" s="1800">
        <v>1</v>
      </c>
    </row>
    <row r="19" spans="1:29" ht="28.8">
      <c r="A19" s="426"/>
      <c r="B19" s="629" t="s">
        <v>2746</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02"/>
      <c r="Q19" s="1799" t="str">
        <f t="shared" ref="Q19:Q33" si="8">B19</f>
        <v>区域土地利用方向</v>
      </c>
      <c r="R19" s="771" t="s">
        <v>17</v>
      </c>
      <c r="S19" s="772">
        <f>F19</f>
        <v>100</v>
      </c>
      <c r="T19" s="771" t="s">
        <v>17</v>
      </c>
      <c r="U19" s="772">
        <f>H19</f>
        <v>100</v>
      </c>
      <c r="V19" s="771" t="s">
        <v>17</v>
      </c>
      <c r="W19" s="772">
        <f>J19</f>
        <v>100</v>
      </c>
      <c r="X19" s="1802"/>
      <c r="Y19" s="3202"/>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202"/>
      <c r="Q20" s="1799"/>
      <c r="R20" s="771"/>
      <c r="S20" s="772"/>
      <c r="T20" s="771"/>
      <c r="U20" s="772"/>
      <c r="V20" s="771"/>
      <c r="W20" s="772"/>
      <c r="X20" s="1802"/>
      <c r="Y20" s="3202"/>
      <c r="Z20" s="1803"/>
      <c r="AA20" s="1800"/>
      <c r="AB20" s="1800"/>
      <c r="AC20" s="1800"/>
    </row>
    <row r="21" spans="1:29" ht="82.8">
      <c r="A21" s="402"/>
      <c r="B21" s="629" t="s">
        <v>2797</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02"/>
      <c r="Q21" s="1799" t="str">
        <f t="shared" si="8"/>
        <v>环境状况</v>
      </c>
      <c r="R21" s="771" t="s">
        <v>17</v>
      </c>
      <c r="S21" s="772">
        <f>F21</f>
        <v>100</v>
      </c>
      <c r="T21" s="771" t="s">
        <v>17</v>
      </c>
      <c r="U21" s="772">
        <f>H21</f>
        <v>100</v>
      </c>
      <c r="V21" s="771" t="s">
        <v>17</v>
      </c>
      <c r="W21" s="772">
        <f>J21</f>
        <v>100</v>
      </c>
      <c r="X21" s="1802"/>
      <c r="Y21" s="3202"/>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202"/>
      <c r="Q22" s="1799"/>
      <c r="R22" s="771"/>
      <c r="S22" s="772"/>
      <c r="T22" s="771"/>
      <c r="U22" s="772"/>
      <c r="V22" s="771"/>
      <c r="W22" s="772"/>
      <c r="X22" s="1802"/>
      <c r="Y22" s="3202"/>
      <c r="Z22" s="1803"/>
      <c r="AA22" s="1800">
        <v>1</v>
      </c>
      <c r="AB22" s="1800">
        <v>1</v>
      </c>
      <c r="AC22" s="1800">
        <v>1</v>
      </c>
    </row>
    <row r="23" spans="1:29" s="116" customFormat="1" ht="41.4">
      <c r="A23" s="647"/>
      <c r="B23" s="631" t="s">
        <v>2652</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02"/>
      <c r="Q23" s="1784" t="str">
        <f t="shared" si="8"/>
        <v>公共配套设施</v>
      </c>
      <c r="R23" s="767" t="s">
        <v>17</v>
      </c>
      <c r="S23" s="768">
        <f>F23</f>
        <v>100</v>
      </c>
      <c r="T23" s="767" t="s">
        <v>17</v>
      </c>
      <c r="U23" s="768">
        <f>H23</f>
        <v>100</v>
      </c>
      <c r="V23" s="767" t="s">
        <v>17</v>
      </c>
      <c r="W23" s="768">
        <f>J23</f>
        <v>100</v>
      </c>
      <c r="X23" s="769"/>
      <c r="Y23" s="3202"/>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202"/>
      <c r="Q24" s="1784"/>
      <c r="R24" s="767"/>
      <c r="S24" s="768"/>
      <c r="T24" s="767"/>
      <c r="U24" s="768"/>
      <c r="V24" s="767"/>
      <c r="W24" s="768"/>
      <c r="X24" s="769"/>
      <c r="Y24" s="3202"/>
      <c r="Z24" s="55"/>
      <c r="AA24" s="770">
        <v>1</v>
      </c>
      <c r="AB24" s="770">
        <v>1</v>
      </c>
      <c r="AC24" s="770">
        <v>1</v>
      </c>
    </row>
    <row r="25" spans="1:29" s="116" customFormat="1" ht="41.4">
      <c r="A25" s="647"/>
      <c r="B25" s="631" t="s">
        <v>2653</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02"/>
      <c r="Q25" s="1784" t="str">
        <f t="shared" ref="Q25" si="9">B25</f>
        <v>基础设施水平</v>
      </c>
      <c r="R25" s="767" t="s">
        <v>17</v>
      </c>
      <c r="S25" s="768">
        <f>F25</f>
        <v>100</v>
      </c>
      <c r="T25" s="767" t="s">
        <v>17</v>
      </c>
      <c r="U25" s="768">
        <f>H25</f>
        <v>100</v>
      </c>
      <c r="V25" s="767" t="s">
        <v>17</v>
      </c>
      <c r="W25" s="768">
        <f>J25</f>
        <v>100</v>
      </c>
      <c r="X25" s="769"/>
      <c r="Y25" s="3202"/>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202"/>
      <c r="Q26" s="1784"/>
      <c r="R26" s="767"/>
      <c r="S26" s="768"/>
      <c r="T26" s="767"/>
      <c r="U26" s="768"/>
      <c r="V26" s="767"/>
      <c r="W26" s="768"/>
      <c r="X26" s="769"/>
      <c r="Y26" s="3202"/>
      <c r="Z26" s="55"/>
      <c r="AA26" s="770">
        <v>1</v>
      </c>
      <c r="AB26" s="770">
        <v>1</v>
      </c>
      <c r="AC26" s="770">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02"/>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02"/>
      <c r="Z27" s="1803" t="str">
        <f t="shared" ref="Z27:Z40" si="13">Q27</f>
        <v>临街状况</v>
      </c>
      <c r="AA27" s="1800">
        <f t="shared" si="3"/>
        <v>1</v>
      </c>
      <c r="AB27" s="1800">
        <f t="shared" si="4"/>
        <v>1</v>
      </c>
      <c r="AC27" s="1800">
        <f t="shared" si="5"/>
        <v>1</v>
      </c>
    </row>
    <row r="28" spans="1:29" ht="28.8">
      <c r="A28" s="426"/>
      <c r="B28" s="631" t="s">
        <v>2689</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02"/>
      <c r="Q28" s="1799" t="str">
        <f t="shared" si="8"/>
        <v>毗邻道路的类型与等级</v>
      </c>
      <c r="R28" s="771" t="s">
        <v>17</v>
      </c>
      <c r="S28" s="772">
        <f t="shared" si="10"/>
        <v>100</v>
      </c>
      <c r="T28" s="771" t="s">
        <v>17</v>
      </c>
      <c r="U28" s="772">
        <f t="shared" si="11"/>
        <v>100</v>
      </c>
      <c r="V28" s="771" t="s">
        <v>17</v>
      </c>
      <c r="W28" s="772">
        <f t="shared" si="12"/>
        <v>100</v>
      </c>
      <c r="X28" s="1802"/>
      <c r="Y28" s="3202"/>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202"/>
      <c r="Q29" s="1799"/>
      <c r="R29" s="771"/>
      <c r="S29" s="772"/>
      <c r="T29" s="771"/>
      <c r="U29" s="772"/>
      <c r="V29" s="771"/>
      <c r="W29" s="772"/>
      <c r="X29" s="1802"/>
      <c r="Y29" s="3202"/>
      <c r="Z29" s="1803"/>
      <c r="AA29" s="1800">
        <v>1</v>
      </c>
      <c r="AB29" s="1800">
        <v>1</v>
      </c>
      <c r="AC29" s="1800">
        <v>1</v>
      </c>
    </row>
    <row r="30" spans="1:29" ht="15">
      <c r="A30" s="426"/>
      <c r="B30" s="652" t="s">
        <v>2748</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02"/>
      <c r="Q30" s="1799" t="str">
        <f t="shared" si="8"/>
        <v>土地级别</v>
      </c>
      <c r="R30" s="771" t="s">
        <v>17</v>
      </c>
      <c r="S30" s="772">
        <f t="shared" si="10"/>
        <v>100</v>
      </c>
      <c r="T30" s="771" t="s">
        <v>17</v>
      </c>
      <c r="U30" s="772">
        <f t="shared" si="11"/>
        <v>100</v>
      </c>
      <c r="V30" s="771" t="s">
        <v>17</v>
      </c>
      <c r="W30" s="772">
        <f t="shared" si="12"/>
        <v>100</v>
      </c>
      <c r="X30" s="1802"/>
      <c r="Y30" s="3202"/>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02"/>
      <c r="Q31" s="1799">
        <f t="shared" si="8"/>
        <v>111</v>
      </c>
      <c r="R31" s="771" t="s">
        <v>17</v>
      </c>
      <c r="S31" s="772">
        <f t="shared" si="10"/>
        <v>100</v>
      </c>
      <c r="T31" s="771" t="s">
        <v>17</v>
      </c>
      <c r="U31" s="772">
        <f t="shared" si="11"/>
        <v>100</v>
      </c>
      <c r="V31" s="771" t="s">
        <v>17</v>
      </c>
      <c r="W31" s="772">
        <f t="shared" si="12"/>
        <v>100</v>
      </c>
      <c r="X31" s="1802"/>
      <c r="Y31" s="3202"/>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03" t="s">
        <v>2563</v>
      </c>
      <c r="Q32" s="1799">
        <f t="shared" si="8"/>
        <v>111</v>
      </c>
      <c r="R32" s="771" t="s">
        <v>17</v>
      </c>
      <c r="S32" s="772">
        <f t="shared" si="10"/>
        <v>100</v>
      </c>
      <c r="T32" s="771" t="s">
        <v>17</v>
      </c>
      <c r="U32" s="772">
        <f t="shared" si="11"/>
        <v>100</v>
      </c>
      <c r="V32" s="771" t="s">
        <v>17</v>
      </c>
      <c r="W32" s="772">
        <f t="shared" si="12"/>
        <v>100</v>
      </c>
      <c r="X32" s="1802"/>
      <c r="Y32" s="3204" t="s">
        <v>2563</v>
      </c>
      <c r="Z32" s="1803">
        <f t="shared" si="13"/>
        <v>111</v>
      </c>
      <c r="AA32" s="1800">
        <f t="shared" si="3"/>
        <v>1</v>
      </c>
      <c r="AB32" s="1800">
        <f t="shared" si="4"/>
        <v>1</v>
      </c>
      <c r="AC32" s="1800">
        <f t="shared" si="5"/>
        <v>1</v>
      </c>
    </row>
    <row r="33" spans="1:29" s="469" customFormat="1" ht="15.6"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04"/>
      <c r="Q33" s="1799">
        <f t="shared" si="8"/>
        <v>111</v>
      </c>
      <c r="R33" s="774" t="s">
        <v>17</v>
      </c>
      <c r="S33" s="775">
        <f t="shared" si="10"/>
        <v>100</v>
      </c>
      <c r="T33" s="774" t="s">
        <v>17</v>
      </c>
      <c r="U33" s="775">
        <f t="shared" si="11"/>
        <v>100</v>
      </c>
      <c r="V33" s="774" t="s">
        <v>17</v>
      </c>
      <c r="W33" s="775">
        <f t="shared" si="12"/>
        <v>100</v>
      </c>
      <c r="X33" s="776"/>
      <c r="Y33" s="3204"/>
      <c r="Z33" s="777">
        <f t="shared" si="13"/>
        <v>111</v>
      </c>
      <c r="AA33" s="1800">
        <f t="shared" si="3"/>
        <v>1</v>
      </c>
      <c r="AB33" s="1800">
        <f t="shared" si="4"/>
        <v>1</v>
      </c>
      <c r="AC33" s="1800">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04"/>
      <c r="Q34" s="1799" t="str">
        <f>B34</f>
        <v>宗地面积</v>
      </c>
      <c r="R34" s="771" t="s">
        <v>17</v>
      </c>
      <c r="S34" s="772" t="e">
        <f t="shared" si="10"/>
        <v>#N/A</v>
      </c>
      <c r="T34" s="771" t="s">
        <v>17</v>
      </c>
      <c r="U34" s="772" t="e">
        <f t="shared" si="11"/>
        <v>#N/A</v>
      </c>
      <c r="V34" s="771" t="s">
        <v>17</v>
      </c>
      <c r="W34" s="772" t="e">
        <f t="shared" si="12"/>
        <v>#N/A</v>
      </c>
      <c r="X34" s="1802"/>
      <c r="Y34" s="3204"/>
      <c r="Z34" s="1803" t="str">
        <f t="shared" si="13"/>
        <v>宗地面积</v>
      </c>
      <c r="AA34" s="1800" t="e">
        <f t="shared" si="3"/>
        <v>#N/A</v>
      </c>
      <c r="AB34" s="1800" t="e">
        <f t="shared" si="4"/>
        <v>#N/A</v>
      </c>
      <c r="AC34" s="1800" t="e">
        <f t="shared" si="5"/>
        <v>#N/A</v>
      </c>
    </row>
    <row r="35" spans="1:29" ht="15">
      <c r="A35" s="470"/>
      <c r="B35" s="420" t="s">
        <v>2750</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204"/>
      <c r="Q35" s="1799" t="str">
        <f t="shared" ref="Q35:Q40" si="14">B35</f>
        <v>宗地形状</v>
      </c>
      <c r="R35" s="771" t="s">
        <v>17</v>
      </c>
      <c r="S35" s="772">
        <f t="shared" si="10"/>
        <v>100</v>
      </c>
      <c r="T35" s="771" t="s">
        <v>17</v>
      </c>
      <c r="U35" s="772">
        <f t="shared" si="11"/>
        <v>100</v>
      </c>
      <c r="V35" s="771" t="s">
        <v>17</v>
      </c>
      <c r="W35" s="772">
        <f t="shared" si="12"/>
        <v>100</v>
      </c>
      <c r="X35" s="1802"/>
      <c r="Y35" s="3204"/>
      <c r="Z35" s="1803" t="str">
        <f t="shared" si="13"/>
        <v>宗地形状</v>
      </c>
      <c r="AA35" s="1800">
        <f t="shared" si="3"/>
        <v>1</v>
      </c>
      <c r="AB35" s="1800">
        <f t="shared" si="4"/>
        <v>1</v>
      </c>
      <c r="AC35" s="1800">
        <f t="shared" si="5"/>
        <v>1</v>
      </c>
    </row>
    <row r="36" spans="1:29" s="116" customFormat="1" ht="15">
      <c r="A36" s="471"/>
      <c r="B36" s="420" t="s">
        <v>2752</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204"/>
      <c r="Q36" s="1799" t="str">
        <f t="shared" si="14"/>
        <v>宗地开发程度</v>
      </c>
      <c r="R36" s="767" t="s">
        <v>17</v>
      </c>
      <c r="S36" s="768">
        <f t="shared" si="10"/>
        <v>100</v>
      </c>
      <c r="T36" s="767" t="s">
        <v>17</v>
      </c>
      <c r="U36" s="768">
        <f t="shared" si="11"/>
        <v>100</v>
      </c>
      <c r="V36" s="767" t="s">
        <v>17</v>
      </c>
      <c r="W36" s="768">
        <f t="shared" si="12"/>
        <v>100</v>
      </c>
      <c r="X36" s="769"/>
      <c r="Y36" s="3204"/>
      <c r="Z36" s="55" t="str">
        <f t="shared" si="13"/>
        <v>宗地开发程度</v>
      </c>
      <c r="AA36" s="770">
        <f t="shared" si="3"/>
        <v>1</v>
      </c>
      <c r="AB36" s="770">
        <f t="shared" si="4"/>
        <v>1</v>
      </c>
      <c r="AC36" s="770">
        <f t="shared" si="5"/>
        <v>1</v>
      </c>
    </row>
    <row r="37" spans="1:29" ht="15">
      <c r="A37" s="470"/>
      <c r="B37" s="420" t="s">
        <v>2753</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204" t="s">
        <v>2563</v>
      </c>
      <c r="Q37" s="1799" t="str">
        <f t="shared" si="14"/>
        <v>工程地质条件</v>
      </c>
      <c r="R37" s="771" t="s">
        <v>17</v>
      </c>
      <c r="S37" s="772">
        <f t="shared" si="10"/>
        <v>100</v>
      </c>
      <c r="T37" s="771" t="s">
        <v>17</v>
      </c>
      <c r="U37" s="772">
        <f t="shared" si="11"/>
        <v>100</v>
      </c>
      <c r="V37" s="771" t="s">
        <v>17</v>
      </c>
      <c r="W37" s="772">
        <f t="shared" si="12"/>
        <v>100</v>
      </c>
      <c r="X37" s="1802"/>
      <c r="Y37" s="3204" t="s">
        <v>2563</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04"/>
      <c r="Q38" s="1799">
        <f t="shared" si="14"/>
        <v>111</v>
      </c>
      <c r="R38" s="771" t="s">
        <v>17</v>
      </c>
      <c r="S38" s="772">
        <f t="shared" si="10"/>
        <v>100</v>
      </c>
      <c r="T38" s="771" t="s">
        <v>17</v>
      </c>
      <c r="U38" s="772">
        <f t="shared" si="11"/>
        <v>100</v>
      </c>
      <c r="V38" s="771" t="s">
        <v>17</v>
      </c>
      <c r="W38" s="772">
        <f t="shared" si="12"/>
        <v>100</v>
      </c>
      <c r="X38" s="1802"/>
      <c r="Y38" s="3204"/>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04"/>
      <c r="Q39" s="1799">
        <f t="shared" si="14"/>
        <v>111</v>
      </c>
      <c r="R39" s="771" t="s">
        <v>17</v>
      </c>
      <c r="S39" s="772">
        <f t="shared" si="10"/>
        <v>100</v>
      </c>
      <c r="T39" s="771" t="s">
        <v>17</v>
      </c>
      <c r="U39" s="772">
        <f t="shared" si="11"/>
        <v>100</v>
      </c>
      <c r="V39" s="771" t="s">
        <v>17</v>
      </c>
      <c r="W39" s="772">
        <f t="shared" si="12"/>
        <v>100</v>
      </c>
      <c r="X39" s="1802"/>
      <c r="Y39" s="3204"/>
      <c r="Z39" s="1803">
        <f t="shared" si="13"/>
        <v>111</v>
      </c>
      <c r="AA39" s="1800">
        <f t="shared" si="3"/>
        <v>1</v>
      </c>
      <c r="AB39" s="1800">
        <f t="shared" si="4"/>
        <v>1</v>
      </c>
      <c r="AC39" s="1800">
        <f t="shared" si="5"/>
        <v>1</v>
      </c>
    </row>
    <row r="40" spans="1:29" s="469" customFormat="1" ht="15.6"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04"/>
      <c r="Q40" s="1799">
        <f t="shared" si="14"/>
        <v>111</v>
      </c>
      <c r="R40" s="774" t="s">
        <v>17</v>
      </c>
      <c r="S40" s="775">
        <f t="shared" si="10"/>
        <v>100</v>
      </c>
      <c r="T40" s="774" t="s">
        <v>17</v>
      </c>
      <c r="U40" s="775">
        <f t="shared" si="11"/>
        <v>100</v>
      </c>
      <c r="V40" s="774" t="s">
        <v>17</v>
      </c>
      <c r="W40" s="775">
        <f t="shared" si="12"/>
        <v>100</v>
      </c>
      <c r="X40" s="776"/>
      <c r="Y40" s="3204"/>
      <c r="Z40" s="777">
        <f t="shared" si="13"/>
        <v>111</v>
      </c>
      <c r="AA40" s="1800">
        <f t="shared" si="3"/>
        <v>1</v>
      </c>
      <c r="AB40" s="1800">
        <f t="shared" si="4"/>
        <v>1</v>
      </c>
      <c r="AC40" s="1800">
        <f t="shared" si="5"/>
        <v>1</v>
      </c>
    </row>
    <row r="41" spans="1:29" ht="14.4">
      <c r="A41" s="477" t="s">
        <v>2718</v>
      </c>
      <c r="B41" s="2695" t="s">
        <v>3099</v>
      </c>
      <c r="C41" s="680" t="s">
        <v>1</v>
      </c>
      <c r="D41" s="479"/>
      <c r="E41" s="480"/>
      <c r="F41" s="481"/>
      <c r="G41" s="482"/>
      <c r="H41" s="483"/>
      <c r="I41" s="480"/>
      <c r="J41" s="483"/>
      <c r="K41" s="780"/>
      <c r="L41" s="1140"/>
      <c r="M41" s="1128"/>
      <c r="N41" s="1128"/>
      <c r="O41" s="1141"/>
      <c r="P41" s="3198" t="str">
        <f>A41</f>
        <v>成交单价</v>
      </c>
      <c r="Q41" s="3198"/>
      <c r="R41" s="3200">
        <f>E41</f>
        <v>0</v>
      </c>
      <c r="S41" s="3200"/>
      <c r="T41" s="3200">
        <f>G41</f>
        <v>0</v>
      </c>
      <c r="U41" s="3200"/>
      <c r="V41" s="3200">
        <f>I41</f>
        <v>0</v>
      </c>
      <c r="W41" s="3200"/>
      <c r="X41" s="756"/>
      <c r="Y41" s="778"/>
      <c r="Z41" s="756"/>
      <c r="AA41" s="756"/>
      <c r="AB41" s="756"/>
      <c r="AC41" s="756"/>
    </row>
    <row r="42" spans="1:29" ht="15" thickBot="1">
      <c r="A42" s="484" t="s">
        <v>2667</v>
      </c>
      <c r="B42" s="681"/>
      <c r="C42" s="488" t="e">
        <f ca="1">R43</f>
        <v>#N/A</v>
      </c>
      <c r="D42" s="487"/>
      <c r="E42" s="488" t="e">
        <f ca="1">R42</f>
        <v>#N/A</v>
      </c>
      <c r="F42" s="489"/>
      <c r="G42" s="486" t="e">
        <f ca="1">T42</f>
        <v>#N/A</v>
      </c>
      <c r="H42" s="487"/>
      <c r="I42" s="488" t="e">
        <f ca="1">V42</f>
        <v>#N/A</v>
      </c>
      <c r="J42" s="487"/>
      <c r="K42" s="781"/>
      <c r="L42" s="1140"/>
      <c r="M42" s="1128"/>
      <c r="N42" s="1128"/>
      <c r="O42" s="1141"/>
      <c r="P42" s="3198" t="str">
        <f>A42</f>
        <v>比较价值（元/平方米）</v>
      </c>
      <c r="Q42" s="3198"/>
      <c r="R42" s="3199" t="e">
        <f ca="1">ROUND(PRODUCT(R41,AA7:AA40),0)</f>
        <v>#N/A</v>
      </c>
      <c r="S42" s="3199"/>
      <c r="T42" s="3199" t="e">
        <f ca="1">ROUND(PRODUCT(T41,AB7:AB40),0)</f>
        <v>#N/A</v>
      </c>
      <c r="U42" s="3199"/>
      <c r="V42" s="3199" t="e">
        <f ca="1">ROUND(PRODUCT(V41,AC7:AC40),0)</f>
        <v>#N/A</v>
      </c>
      <c r="W42" s="3199"/>
      <c r="X42" s="756"/>
      <c r="Y42" s="756"/>
      <c r="Z42" s="756"/>
      <c r="AA42" s="756"/>
      <c r="AB42" s="756"/>
      <c r="AC42" s="756"/>
    </row>
    <row r="43" spans="1:29" ht="15" thickBot="1">
      <c r="A43" s="490" t="s">
        <v>2668</v>
      </c>
      <c r="B43" s="491"/>
      <c r="C43" s="492" t="e">
        <f ca="1">R43</f>
        <v>#N/A</v>
      </c>
      <c r="D43" s="492"/>
      <c r="E43" s="492"/>
      <c r="F43" s="492"/>
      <c r="G43" s="492"/>
      <c r="H43" s="492"/>
      <c r="I43" s="492"/>
      <c r="J43" s="492"/>
      <c r="K43" s="782"/>
      <c r="L43" s="1140"/>
      <c r="M43" s="1128"/>
      <c r="N43" s="1128"/>
      <c r="O43" s="1141"/>
      <c r="P43" s="3195" t="str">
        <f>A43</f>
        <v>估价对象XX用房的比较价值（楼面单价，元/平方米）</v>
      </c>
      <c r="Q43" s="3196"/>
      <c r="R43" s="3197" t="e">
        <f ca="1">ROUND(AVERAGE(R42:V42),0)</f>
        <v>#N/A</v>
      </c>
      <c r="S43" s="3197"/>
      <c r="T43" s="3197"/>
      <c r="U43" s="3197"/>
      <c r="V43" s="3197"/>
      <c r="W43" s="3197"/>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2669</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2670</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4.4" thickBot="1">
      <c r="A49" s="1142"/>
      <c r="B49" s="1143"/>
      <c r="C49" s="759"/>
      <c r="D49" s="757"/>
      <c r="E49" s="757"/>
      <c r="F49" s="757"/>
      <c r="G49" s="757"/>
      <c r="H49" s="757"/>
      <c r="I49" s="757"/>
      <c r="J49" s="757"/>
      <c r="K49" s="1145"/>
      <c r="L49" s="1146"/>
      <c r="M49" s="1142"/>
      <c r="N49" s="1142"/>
      <c r="O49" s="1142"/>
    </row>
    <row r="50" spans="1:17" ht="28.8">
      <c r="A50" s="682" t="s">
        <v>2756</v>
      </c>
      <c r="B50" s="683" t="s">
        <v>2757</v>
      </c>
      <c r="C50" s="2696" t="s">
        <v>2758</v>
      </c>
      <c r="D50" s="2697" t="s">
        <v>2759</v>
      </c>
      <c r="E50" s="684" t="s">
        <v>2760</v>
      </c>
      <c r="F50" s="685" t="s">
        <v>2761</v>
      </c>
      <c r="G50" s="3208" t="s">
        <v>2762</v>
      </c>
      <c r="H50" s="3222"/>
      <c r="I50" s="1803" t="s">
        <v>2798</v>
      </c>
      <c r="J50" s="1803">
        <f>项目基本情况!F35</f>
        <v>0</v>
      </c>
      <c r="K50" s="2699" t="s">
        <v>2764</v>
      </c>
      <c r="L50" s="1103"/>
      <c r="M50" s="1141"/>
      <c r="N50" s="1141"/>
      <c r="O50" s="1141"/>
    </row>
    <row r="51" spans="1:17" s="690" customFormat="1">
      <c r="A51" s="686" t="s">
        <v>2765</v>
      </c>
      <c r="B51" s="687" t="e">
        <f ca="1">C43</f>
        <v>#N/A</v>
      </c>
      <c r="C51" s="688">
        <v>1</v>
      </c>
      <c r="D51" s="1160">
        <v>1</v>
      </c>
      <c r="E51" s="688">
        <f>'数据-汇总表'!E8+'数据-汇总表'!E9</f>
        <v>65627.570000000007</v>
      </c>
      <c r="F51" s="689" t="e">
        <f t="shared" ref="F51:F60" ca="1" si="15">ROUND(B51*E51/10000,0)</f>
        <v>#N/A</v>
      </c>
      <c r="G51" s="3223"/>
      <c r="H51" s="3198"/>
      <c r="I51" s="939">
        <v>1</v>
      </c>
      <c r="J51" s="939">
        <v>1</v>
      </c>
      <c r="K51" s="1142"/>
      <c r="L51" s="938"/>
      <c r="M51" s="938"/>
      <c r="N51" s="938"/>
      <c r="O51" s="938"/>
    </row>
    <row r="52" spans="1:17" s="690" customFormat="1">
      <c r="A52" s="691" t="s">
        <v>2766</v>
      </c>
      <c r="B52" s="260" t="e">
        <f ca="1">ROUND($C$43*C52*D52,0)</f>
        <v>#N/A</v>
      </c>
      <c r="C52" s="198">
        <f t="shared" ref="C52:C60" si="16">IF($C$50="北京市系数",I52,J52)</f>
        <v>0</v>
      </c>
      <c r="D52" s="1161">
        <v>0.25</v>
      </c>
      <c r="E52" s="692"/>
      <c r="F52" s="689" t="e">
        <f t="shared" ca="1" si="15"/>
        <v>#N/A</v>
      </c>
      <c r="G52" s="3224" t="s">
        <v>2767</v>
      </c>
      <c r="H52" s="1101">
        <f>项目基本情况!B37</f>
        <v>0</v>
      </c>
      <c r="I52" s="939">
        <f>SUMIF(修正!A45:A56,H52,修正!B45:B56)</f>
        <v>0</v>
      </c>
      <c r="J52" s="940"/>
      <c r="K52" s="1141"/>
      <c r="L52" s="938"/>
      <c r="M52" s="938"/>
      <c r="N52" s="938"/>
      <c r="O52" s="938"/>
    </row>
    <row r="53" spans="1:17" s="690" customFormat="1">
      <c r="A53" s="691" t="s">
        <v>2768</v>
      </c>
      <c r="B53" s="260" t="e">
        <f t="shared" ref="B53:B60" ca="1" si="17">ROUND($C$43*C53*D53,0)</f>
        <v>#N/A</v>
      </c>
      <c r="C53" s="198">
        <f t="shared" si="16"/>
        <v>0</v>
      </c>
      <c r="D53" s="1161">
        <v>0.25</v>
      </c>
      <c r="E53" s="692"/>
      <c r="F53" s="689" t="e">
        <f t="shared" ca="1" si="15"/>
        <v>#N/A</v>
      </c>
      <c r="G53" s="3224"/>
      <c r="H53" s="1101">
        <f>项目基本情况!B37</f>
        <v>0</v>
      </c>
      <c r="I53" s="939">
        <f>SUMIF(修正!A45:A56,H53,修正!C45:C56)</f>
        <v>0</v>
      </c>
      <c r="J53" s="940"/>
      <c r="K53" s="1142"/>
      <c r="L53" s="938"/>
      <c r="M53" s="938"/>
      <c r="N53" s="938"/>
      <c r="O53" s="938"/>
    </row>
    <row r="54" spans="1:17" s="690" customFormat="1">
      <c r="A54" s="691" t="s">
        <v>2769</v>
      </c>
      <c r="B54" s="260" t="e">
        <f t="shared" ca="1" si="17"/>
        <v>#N/A</v>
      </c>
      <c r="C54" s="198">
        <f t="shared" si="16"/>
        <v>0</v>
      </c>
      <c r="D54" s="1161">
        <v>0.25</v>
      </c>
      <c r="E54" s="692"/>
      <c r="F54" s="689" t="e">
        <f t="shared" ca="1" si="15"/>
        <v>#N/A</v>
      </c>
      <c r="G54" s="3224"/>
      <c r="H54" s="1101">
        <f>项目基本情况!B37</f>
        <v>0</v>
      </c>
      <c r="I54" s="939">
        <f>SUMIF(修正!A45:A56,H54,修正!D45:D56)</f>
        <v>0</v>
      </c>
      <c r="J54" s="940"/>
      <c r="K54" s="1141"/>
      <c r="L54" s="938"/>
      <c r="M54" s="938"/>
      <c r="N54" s="938"/>
      <c r="O54" s="938"/>
    </row>
    <row r="55" spans="1:17" s="690" customFormat="1">
      <c r="A55" s="691" t="s">
        <v>2770</v>
      </c>
      <c r="B55" s="260" t="e">
        <f t="shared" ca="1" si="17"/>
        <v>#N/A</v>
      </c>
      <c r="C55" s="198">
        <f t="shared" si="16"/>
        <v>0</v>
      </c>
      <c r="D55" s="1161">
        <v>0.25</v>
      </c>
      <c r="E55" s="692"/>
      <c r="F55" s="689" t="e">
        <f t="shared" ca="1" si="15"/>
        <v>#N/A</v>
      </c>
      <c r="G55" s="3224"/>
      <c r="H55" s="1101">
        <f>项目基本情况!B37</f>
        <v>0</v>
      </c>
      <c r="I55" s="939">
        <f>SUMIF(修正!A45:A56,H55,修正!E45:E56)</f>
        <v>0</v>
      </c>
      <c r="J55" s="940"/>
      <c r="K55" s="1142"/>
      <c r="L55" s="938"/>
      <c r="M55" s="938"/>
      <c r="N55" s="938"/>
      <c r="O55" s="938"/>
    </row>
    <row r="56" spans="1:17" s="690" customFormat="1">
      <c r="A56" s="691" t="s">
        <v>2771</v>
      </c>
      <c r="B56" s="260" t="e">
        <f t="shared" ca="1" si="17"/>
        <v>#N/A</v>
      </c>
      <c r="C56" s="198">
        <f t="shared" si="16"/>
        <v>0</v>
      </c>
      <c r="D56" s="1161">
        <v>0.25</v>
      </c>
      <c r="E56" s="259">
        <f>'数据-汇总表'!E11</f>
        <v>0</v>
      </c>
      <c r="F56" s="689" t="e">
        <f t="shared" ca="1" si="15"/>
        <v>#N/A</v>
      </c>
      <c r="G56" s="2700" t="s">
        <v>2772</v>
      </c>
      <c r="H56" s="1101">
        <f>项目基本情况!C37</f>
        <v>0</v>
      </c>
      <c r="I56" s="939">
        <f>SUMIF(修正!A45:A56,H56,修正!F45:F56)</f>
        <v>0</v>
      </c>
      <c r="J56" s="940"/>
      <c r="K56" s="1141"/>
      <c r="L56" s="938"/>
      <c r="M56" s="938"/>
      <c r="N56" s="938"/>
      <c r="O56" s="938"/>
    </row>
    <row r="57" spans="1:17" s="690" customFormat="1">
      <c r="A57" s="691" t="s">
        <v>2773</v>
      </c>
      <c r="B57" s="260" t="e">
        <f t="shared" ca="1" si="17"/>
        <v>#N/A</v>
      </c>
      <c r="C57" s="198">
        <f t="shared" si="16"/>
        <v>0</v>
      </c>
      <c r="D57" s="1161">
        <v>0.25</v>
      </c>
      <c r="E57" s="259">
        <f>'数据-汇总表'!E12</f>
        <v>0</v>
      </c>
      <c r="F57" s="689" t="e">
        <f t="shared" ca="1" si="15"/>
        <v>#N/A</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2775</v>
      </c>
      <c r="B58" s="260" t="e">
        <f t="shared" ca="1" si="17"/>
        <v>#N/A</v>
      </c>
      <c r="C58" s="198">
        <f t="shared" si="16"/>
        <v>0</v>
      </c>
      <c r="D58" s="1161">
        <v>0.25</v>
      </c>
      <c r="E58" s="259">
        <f>'数据-汇总表'!E13</f>
        <v>0</v>
      </c>
      <c r="F58" s="689" t="e">
        <f t="shared" ca="1" si="15"/>
        <v>#N/A</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2777</v>
      </c>
      <c r="B59" s="260" t="e">
        <f t="shared" ca="1" si="17"/>
        <v>#N/A</v>
      </c>
      <c r="C59" s="198">
        <f t="shared" si="16"/>
        <v>0</v>
      </c>
      <c r="D59" s="1161">
        <v>0.25</v>
      </c>
      <c r="E59" s="259">
        <f>'数据-汇总表'!E14</f>
        <v>0</v>
      </c>
      <c r="F59" s="689" t="e">
        <f t="shared" ca="1" si="15"/>
        <v>#N/A</v>
      </c>
      <c r="G59" s="2700" t="s">
        <v>2767</v>
      </c>
      <c r="H59" s="1101">
        <f>项目基本情况!B37</f>
        <v>0</v>
      </c>
      <c r="I59" s="939">
        <f>SUMIF(修正!A45:A56,H59,修正!H45:H56)</f>
        <v>0</v>
      </c>
      <c r="J59" s="940"/>
      <c r="K59" s="1142"/>
      <c r="L59" s="938"/>
      <c r="M59" s="938"/>
      <c r="N59" s="938"/>
      <c r="O59" s="938"/>
    </row>
    <row r="60" spans="1:17" s="690" customFormat="1" ht="14.4" thickBot="1">
      <c r="A60" s="691" t="s">
        <v>2778</v>
      </c>
      <c r="B60" s="260" t="e">
        <f t="shared" ca="1" si="17"/>
        <v>#N/A</v>
      </c>
      <c r="C60" s="198">
        <f t="shared" si="16"/>
        <v>0</v>
      </c>
      <c r="D60" s="1161">
        <v>0.25</v>
      </c>
      <c r="E60" s="259">
        <f>'数据-汇总表'!E15</f>
        <v>0</v>
      </c>
      <c r="F60" s="689" t="e">
        <f t="shared" ca="1" si="15"/>
        <v>#N/A</v>
      </c>
      <c r="G60" s="2701" t="s">
        <v>2772</v>
      </c>
      <c r="H60" s="1111">
        <f>项目基本情况!C37</f>
        <v>0</v>
      </c>
      <c r="I60" s="939">
        <f>SUMIF(修正!A45:A56,H60,修正!H45:H56)</f>
        <v>0</v>
      </c>
      <c r="J60" s="940"/>
      <c r="K60" s="1141"/>
      <c r="L60" s="938"/>
      <c r="M60" s="938"/>
      <c r="N60" s="938"/>
      <c r="O60" s="938"/>
    </row>
    <row r="61" spans="1:17" s="690" customFormat="1" ht="14.4" thickBot="1">
      <c r="A61" s="693" t="s">
        <v>2779</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2.2" thickBot="1">
      <c r="A64" s="760" t="s">
        <v>2672</v>
      </c>
      <c r="B64" s="756"/>
      <c r="C64" s="761"/>
      <c r="D64" s="761"/>
      <c r="E64" s="761"/>
      <c r="F64" s="762"/>
      <c r="G64" s="762"/>
      <c r="H64" s="761"/>
      <c r="I64" s="761"/>
      <c r="J64" s="761"/>
      <c r="K64" s="763"/>
      <c r="L64" s="764"/>
      <c r="M64" s="761"/>
      <c r="N64" s="761"/>
      <c r="O64" s="1156"/>
      <c r="P64" s="501"/>
      <c r="Q64" s="502"/>
    </row>
    <row r="65" spans="1:17" s="506" customFormat="1" ht="14.4">
      <c r="A65" s="2702" t="s">
        <v>2780</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2799</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 thickBot="1">
      <c r="A67" s="513" t="s">
        <v>2583</v>
      </c>
      <c r="B67" s="514"/>
      <c r="C67" s="515"/>
      <c r="D67" s="516"/>
      <c r="E67" s="516"/>
      <c r="F67" s="516"/>
      <c r="G67" s="516"/>
      <c r="H67" s="516"/>
      <c r="I67" s="516"/>
      <c r="J67" s="516"/>
      <c r="K67" s="516"/>
      <c r="L67" s="516"/>
      <c r="M67" s="517"/>
      <c r="N67" s="517"/>
      <c r="O67" s="518"/>
      <c r="P67" s="502"/>
      <c r="Q67" s="502"/>
    </row>
    <row r="68" spans="1:17" s="116" customFormat="1" ht="14.4">
      <c r="A68" s="519" t="s">
        <v>2548</v>
      </c>
      <c r="B68" s="508"/>
      <c r="C68" s="520" t="s">
        <v>2650</v>
      </c>
      <c r="D68" s="521"/>
      <c r="E68" s="521"/>
      <c r="F68" s="521"/>
      <c r="G68" s="521"/>
      <c r="H68" s="521"/>
      <c r="I68" s="521"/>
      <c r="J68" s="521"/>
      <c r="K68" s="521"/>
      <c r="L68" s="522"/>
      <c r="M68" s="523"/>
      <c r="N68" s="1148"/>
      <c r="O68" s="1148"/>
      <c r="P68" s="524"/>
      <c r="Q68" s="502"/>
    </row>
    <row r="69" spans="1:17" s="116" customFormat="1" ht="14.4" thickBot="1">
      <c r="A69" s="519"/>
      <c r="B69" s="508"/>
      <c r="C69" s="637">
        <v>100</v>
      </c>
      <c r="D69" s="510"/>
      <c r="E69" s="510"/>
      <c r="F69" s="510"/>
      <c r="G69" s="510"/>
      <c r="H69" s="510"/>
      <c r="I69" s="510"/>
      <c r="J69" s="510"/>
      <c r="K69" s="510"/>
      <c r="L69" s="510"/>
      <c r="M69" s="512"/>
      <c r="N69" s="1148"/>
      <c r="O69" s="1148"/>
      <c r="P69" s="502"/>
      <c r="Q69" s="502"/>
    </row>
    <row r="70" spans="1:17" ht="14.4">
      <c r="A70" s="525" t="s">
        <v>2586</v>
      </c>
      <c r="B70" s="526" t="s">
        <v>2552</v>
      </c>
      <c r="C70" s="528"/>
      <c r="D70" s="528"/>
      <c r="E70" s="528"/>
      <c r="F70" s="528"/>
      <c r="G70" s="528"/>
      <c r="H70" s="528"/>
      <c r="I70" s="528"/>
      <c r="J70" s="528"/>
      <c r="K70" s="529"/>
      <c r="L70" s="530"/>
      <c r="M70" s="531"/>
      <c r="N70" s="1149"/>
      <c r="O70" s="1149"/>
      <c r="P70" s="45"/>
      <c r="Q70" s="502"/>
    </row>
    <row r="71" spans="1:17" ht="14.4" thickBot="1">
      <c r="A71" s="532"/>
      <c r="B71" s="533"/>
      <c r="C71" s="534"/>
      <c r="D71" s="534"/>
      <c r="E71" s="534"/>
      <c r="F71" s="534"/>
      <c r="G71" s="534"/>
      <c r="H71" s="534"/>
      <c r="I71" s="534"/>
      <c r="J71" s="534"/>
      <c r="K71" s="534"/>
      <c r="L71" s="534"/>
      <c r="M71" s="535"/>
      <c r="N71" s="1150"/>
      <c r="O71" s="1150"/>
      <c r="P71" s="45"/>
      <c r="Q71" s="502"/>
    </row>
    <row r="72" spans="1:17" ht="29.4" thickTop="1">
      <c r="A72" s="532"/>
      <c r="B72" s="536" t="s">
        <v>2555</v>
      </c>
      <c r="C72" s="537"/>
      <c r="D72" s="537"/>
      <c r="E72" s="537"/>
      <c r="F72" s="537"/>
      <c r="G72" s="537"/>
      <c r="H72" s="537"/>
      <c r="I72" s="537"/>
      <c r="J72" s="537"/>
      <c r="K72" s="538"/>
      <c r="L72" s="539"/>
      <c r="M72" s="540"/>
      <c r="N72" s="1149"/>
      <c r="O72" s="1149"/>
      <c r="P72" s="45"/>
      <c r="Q72" s="502"/>
    </row>
    <row r="73" spans="1:17" ht="14.4" thickBot="1">
      <c r="A73" s="532"/>
      <c r="B73" s="541"/>
      <c r="C73" s="542"/>
      <c r="D73" s="542"/>
      <c r="E73" s="542"/>
      <c r="F73" s="542"/>
      <c r="G73" s="542"/>
      <c r="H73" s="542"/>
      <c r="I73" s="542"/>
      <c r="J73" s="542"/>
      <c r="K73" s="542"/>
      <c r="L73" s="542"/>
      <c r="M73" s="543"/>
      <c r="N73" s="1150"/>
      <c r="O73" s="1150"/>
      <c r="P73" s="45"/>
      <c r="Q73" s="502"/>
    </row>
    <row r="74" spans="1:17" ht="1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c r="A75" s="532"/>
      <c r="B75" s="546"/>
      <c r="C75" s="547"/>
      <c r="D75" s="547"/>
      <c r="E75" s="547"/>
      <c r="F75" s="547"/>
      <c r="G75" s="547"/>
      <c r="H75" s="547"/>
      <c r="I75" s="547"/>
      <c r="J75" s="547"/>
      <c r="K75" s="548"/>
      <c r="L75" s="549"/>
      <c r="M75" s="550"/>
      <c r="N75" s="1149"/>
      <c r="O75" s="1149"/>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4.4" thickTop="1">
      <c r="A77" s="551"/>
      <c r="B77" s="536">
        <f>B12</f>
        <v>111</v>
      </c>
      <c r="C77" s="552"/>
      <c r="D77" s="552"/>
      <c r="E77" s="552"/>
      <c r="F77" s="552"/>
      <c r="G77" s="552"/>
      <c r="H77" s="553"/>
      <c r="I77" s="553"/>
      <c r="J77" s="553"/>
      <c r="K77" s="553"/>
      <c r="L77" s="554"/>
      <c r="M77" s="555"/>
      <c r="N77" s="1151"/>
      <c r="O77" s="1151"/>
      <c r="P77" s="556"/>
      <c r="Q77" s="557"/>
    </row>
    <row r="78" spans="1:17" s="469" customFormat="1" ht="14.4" thickBot="1">
      <c r="A78" s="551"/>
      <c r="B78" s="541"/>
      <c r="C78" s="558"/>
      <c r="D78" s="534"/>
      <c r="E78" s="534"/>
      <c r="F78" s="534"/>
      <c r="G78" s="534"/>
      <c r="H78" s="534"/>
      <c r="I78" s="534"/>
      <c r="J78" s="534"/>
      <c r="K78" s="534"/>
      <c r="L78" s="534"/>
      <c r="M78" s="535"/>
      <c r="N78" s="1150"/>
      <c r="O78" s="1150"/>
      <c r="P78" s="556"/>
      <c r="Q78" s="557"/>
    </row>
    <row r="79" spans="1:17" s="469" customFormat="1" ht="14.4" thickTop="1">
      <c r="A79" s="551"/>
      <c r="B79" s="536">
        <f>B13</f>
        <v>111</v>
      </c>
      <c r="C79" s="552"/>
      <c r="D79" s="552"/>
      <c r="E79" s="552"/>
      <c r="F79" s="552"/>
      <c r="G79" s="552"/>
      <c r="H79" s="553"/>
      <c r="I79" s="553"/>
      <c r="J79" s="553"/>
      <c r="K79" s="553"/>
      <c r="L79" s="554"/>
      <c r="M79" s="555"/>
      <c r="N79" s="1151"/>
      <c r="O79" s="1151"/>
      <c r="P79" s="468"/>
      <c r="Q79" s="559"/>
    </row>
    <row r="80" spans="1:17" s="469" customFormat="1" ht="14.4" thickBot="1">
      <c r="A80" s="551"/>
      <c r="B80" s="541"/>
      <c r="C80" s="558"/>
      <c r="D80" s="558"/>
      <c r="E80" s="558"/>
      <c r="F80" s="558"/>
      <c r="G80" s="558"/>
      <c r="H80" s="560"/>
      <c r="I80" s="560"/>
      <c r="J80" s="560"/>
      <c r="K80" s="560"/>
      <c r="L80" s="560"/>
      <c r="M80" s="561"/>
      <c r="N80" s="1151"/>
      <c r="O80" s="1151"/>
      <c r="P80" s="556"/>
      <c r="Q80" s="557"/>
    </row>
    <row r="81" spans="1:17" s="469" customFormat="1" ht="14.4" thickTop="1">
      <c r="A81" s="551"/>
      <c r="B81" s="544">
        <f>B14</f>
        <v>111</v>
      </c>
      <c r="C81" s="521"/>
      <c r="D81" s="521"/>
      <c r="E81" s="521"/>
      <c r="F81" s="521"/>
      <c r="G81" s="521"/>
      <c r="H81" s="562"/>
      <c r="I81" s="562"/>
      <c r="J81" s="562"/>
      <c r="K81" s="562"/>
      <c r="L81" s="563"/>
      <c r="M81" s="564"/>
      <c r="N81" s="1151"/>
      <c r="O81" s="1151"/>
      <c r="P81" s="565"/>
      <c r="Q81" s="557"/>
    </row>
    <row r="82" spans="1:17" s="469" customFormat="1" ht="14.4" thickBot="1">
      <c r="A82" s="566"/>
      <c r="B82" s="567"/>
      <c r="C82" s="568"/>
      <c r="D82" s="568"/>
      <c r="E82" s="568"/>
      <c r="F82" s="568"/>
      <c r="G82" s="568"/>
      <c r="H82" s="569"/>
      <c r="I82" s="569"/>
      <c r="J82" s="569"/>
      <c r="K82" s="569"/>
      <c r="L82" s="569"/>
      <c r="M82" s="570"/>
      <c r="N82" s="1151"/>
      <c r="O82" s="1151"/>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49"/>
      <c r="O83" s="1149"/>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49"/>
      <c r="O85" s="1149"/>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29.4" thickTop="1">
      <c r="A87" s="577"/>
      <c r="B87" s="536" t="s">
        <v>2783</v>
      </c>
      <c r="C87" s="571" t="s">
        <v>2595</v>
      </c>
      <c r="D87" s="571" t="s">
        <v>2596</v>
      </c>
      <c r="E87" s="571" t="s">
        <v>2597</v>
      </c>
      <c r="F87" s="571" t="s">
        <v>2598</v>
      </c>
      <c r="G87" s="571" t="s">
        <v>2599</v>
      </c>
      <c r="H87" s="576"/>
      <c r="I87" s="576"/>
      <c r="J87" s="576"/>
      <c r="K87" s="576"/>
      <c r="L87" s="696"/>
      <c r="M87" s="620"/>
      <c r="N87" s="1148"/>
      <c r="O87" s="1148"/>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9.4" thickTop="1">
      <c r="A89" s="577"/>
      <c r="B89" s="536" t="s">
        <v>2784</v>
      </c>
      <c r="C89" s="571" t="s">
        <v>2595</v>
      </c>
      <c r="D89" s="571" t="s">
        <v>2596</v>
      </c>
      <c r="E89" s="571" t="s">
        <v>2597</v>
      </c>
      <c r="F89" s="571" t="s">
        <v>2598</v>
      </c>
      <c r="G89" s="571" t="s">
        <v>2599</v>
      </c>
      <c r="H89" s="576"/>
      <c r="I89" s="576"/>
      <c r="J89" s="576"/>
      <c r="K89" s="576"/>
      <c r="L89" s="576"/>
      <c r="M89" s="620"/>
      <c r="N89" s="1148"/>
      <c r="O89" s="1148"/>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1"/>
      <c r="O91" s="1151"/>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 thickTop="1">
      <c r="A93" s="551"/>
      <c r="B93" s="544" t="s">
        <v>2800</v>
      </c>
      <c r="C93" s="658" t="s">
        <v>2673</v>
      </c>
      <c r="D93" s="658" t="s">
        <v>2674</v>
      </c>
      <c r="E93" s="658" t="s">
        <v>2675</v>
      </c>
      <c r="F93" s="658" t="s">
        <v>2676</v>
      </c>
      <c r="G93" s="658" t="s">
        <v>2677</v>
      </c>
      <c r="H93" s="598"/>
      <c r="I93" s="598"/>
      <c r="J93" s="598"/>
      <c r="K93" s="598"/>
      <c r="L93" s="598"/>
      <c r="M93" s="600"/>
      <c r="N93" s="1151"/>
      <c r="O93" s="1151"/>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49"/>
      <c r="O95" s="1149"/>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9.4" thickTop="1">
      <c r="A97" s="532"/>
      <c r="B97" s="536" t="s">
        <v>2689</v>
      </c>
      <c r="C97" s="552"/>
      <c r="D97" s="552"/>
      <c r="E97" s="552"/>
      <c r="F97" s="552"/>
      <c r="G97" s="552"/>
      <c r="H97" s="581"/>
      <c r="I97" s="581"/>
      <c r="J97" s="581"/>
      <c r="K97" s="582"/>
      <c r="L97" s="583"/>
      <c r="M97" s="584"/>
      <c r="N97" s="1149"/>
      <c r="O97" s="1149"/>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 thickTop="1">
      <c r="A99" s="532"/>
      <c r="B99" s="536" t="s">
        <v>2748</v>
      </c>
      <c r="C99" s="581"/>
      <c r="D99" s="581"/>
      <c r="E99" s="581"/>
      <c r="F99" s="581"/>
      <c r="G99" s="581"/>
      <c r="H99" s="581"/>
      <c r="I99" s="581"/>
      <c r="J99" s="581"/>
      <c r="K99" s="582"/>
      <c r="L99" s="583"/>
      <c r="M99" s="584"/>
      <c r="N99" s="1149"/>
      <c r="O99" s="1149"/>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4.4" thickTop="1">
      <c r="A101" s="532"/>
      <c r="B101" s="544">
        <f>B31</f>
        <v>111</v>
      </c>
      <c r="C101" s="552"/>
      <c r="D101" s="552"/>
      <c r="E101" s="552"/>
      <c r="F101" s="552"/>
      <c r="G101" s="585"/>
      <c r="H101" s="585"/>
      <c r="I101" s="585"/>
      <c r="J101" s="585"/>
      <c r="K101" s="586"/>
      <c r="L101" s="587"/>
      <c r="M101" s="588"/>
      <c r="N101" s="1149"/>
      <c r="O101" s="1149"/>
      <c r="P101" s="45"/>
      <c r="Q101" s="502"/>
    </row>
    <row r="102" spans="1:17" ht="14.4" thickBot="1">
      <c r="A102" s="532"/>
      <c r="B102" s="567"/>
      <c r="C102" s="558"/>
      <c r="D102" s="534"/>
      <c r="E102" s="534"/>
      <c r="F102" s="534"/>
      <c r="G102" s="589"/>
      <c r="H102" s="589"/>
      <c r="I102" s="589"/>
      <c r="J102" s="589"/>
      <c r="K102" s="589"/>
      <c r="L102" s="589"/>
      <c r="M102" s="590"/>
      <c r="N102" s="1150"/>
      <c r="O102" s="1150"/>
      <c r="P102" s="45"/>
      <c r="Q102" s="502"/>
    </row>
    <row r="103" spans="1:17" ht="14.4" thickTop="1">
      <c r="A103" s="673"/>
      <c r="B103" s="536">
        <f>B32</f>
        <v>111</v>
      </c>
      <c r="C103" s="552"/>
      <c r="D103" s="552"/>
      <c r="E103" s="552"/>
      <c r="F103" s="552"/>
      <c r="G103" s="581"/>
      <c r="H103" s="581"/>
      <c r="I103" s="581"/>
      <c r="J103" s="581"/>
      <c r="K103" s="582"/>
      <c r="L103" s="583"/>
      <c r="M103" s="584"/>
      <c r="N103" s="1149"/>
      <c r="O103" s="1149"/>
      <c r="P103" s="45"/>
      <c r="Q103" s="502"/>
    </row>
    <row r="104" spans="1:17" ht="14.4" thickBot="1">
      <c r="A104" s="532"/>
      <c r="B104" s="541"/>
      <c r="C104" s="558"/>
      <c r="D104" s="558"/>
      <c r="E104" s="558"/>
      <c r="F104" s="558"/>
      <c r="G104" s="534"/>
      <c r="H104" s="534"/>
      <c r="I104" s="534"/>
      <c r="J104" s="534"/>
      <c r="K104" s="534"/>
      <c r="L104" s="534"/>
      <c r="M104" s="535"/>
      <c r="N104" s="1150"/>
      <c r="O104" s="1150"/>
      <c r="P104" s="45"/>
      <c r="Q104" s="502"/>
    </row>
    <row r="105" spans="1:17" s="469" customFormat="1" ht="14.4"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4.4" thickBot="1">
      <c r="A106" s="551"/>
      <c r="B106" s="544"/>
      <c r="C106" s="568"/>
      <c r="D106" s="568"/>
      <c r="E106" s="568"/>
      <c r="F106" s="568"/>
      <c r="G106" s="675"/>
      <c r="H106" s="675"/>
      <c r="I106" s="675"/>
      <c r="J106" s="675"/>
      <c r="K106" s="675"/>
      <c r="L106" s="675"/>
      <c r="M106" s="697"/>
      <c r="N106" s="1150"/>
      <c r="O106" s="1150"/>
      <c r="P106" s="556"/>
      <c r="Q106" s="557"/>
    </row>
    <row r="107" spans="1:17" ht="14.4">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c r="A108" s="532"/>
      <c r="B108" s="544"/>
      <c r="C108" s="593"/>
      <c r="D108" s="593"/>
      <c r="E108" s="593"/>
      <c r="F108" s="593"/>
      <c r="G108" s="593"/>
      <c r="H108" s="593"/>
      <c r="I108" s="593"/>
      <c r="J108" s="594"/>
      <c r="K108" s="594"/>
      <c r="L108" s="595"/>
      <c r="M108" s="596"/>
      <c r="N108" s="1149"/>
      <c r="O108" s="1149"/>
      <c r="P108" s="45"/>
      <c r="Q108" s="502"/>
    </row>
    <row r="109" spans="1:17" ht="14.4"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2790</v>
      </c>
      <c r="C110" s="581"/>
      <c r="D110" s="581"/>
      <c r="E110" s="581"/>
      <c r="F110" s="581"/>
      <c r="G110" s="581"/>
      <c r="H110" s="581"/>
      <c r="I110" s="581"/>
      <c r="J110" s="581"/>
      <c r="K110" s="582"/>
      <c r="L110" s="583"/>
      <c r="M110" s="584"/>
      <c r="N110" s="1149"/>
      <c r="O110" s="1149"/>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2792</v>
      </c>
      <c r="C112" s="552"/>
      <c r="D112" s="552"/>
      <c r="E112" s="552"/>
      <c r="F112" s="552"/>
      <c r="G112" s="552"/>
      <c r="H112" s="581"/>
      <c r="I112" s="581"/>
      <c r="J112" s="581"/>
      <c r="K112" s="582"/>
      <c r="L112" s="583"/>
      <c r="M112" s="584"/>
      <c r="N112" s="1151"/>
      <c r="O112" s="1151"/>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2793</v>
      </c>
      <c r="C114" s="552"/>
      <c r="D114" s="552"/>
      <c r="E114" s="581"/>
      <c r="F114" s="581"/>
      <c r="G114" s="581"/>
      <c r="H114" s="581"/>
      <c r="I114" s="581"/>
      <c r="J114" s="581"/>
      <c r="K114" s="582"/>
      <c r="L114" s="583"/>
      <c r="M114" s="584"/>
      <c r="N114" s="1149"/>
      <c r="O114" s="1149"/>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4.4" thickTop="1">
      <c r="A116" s="597"/>
      <c r="B116" s="536">
        <f>B38</f>
        <v>111</v>
      </c>
      <c r="C116" s="552"/>
      <c r="D116" s="552"/>
      <c r="E116" s="552"/>
      <c r="F116" s="552"/>
      <c r="G116" s="552"/>
      <c r="H116" s="581"/>
      <c r="I116" s="581"/>
      <c r="J116" s="581"/>
      <c r="K116" s="582"/>
      <c r="L116" s="583"/>
      <c r="M116" s="584"/>
      <c r="N116" s="1149"/>
      <c r="O116" s="1149"/>
      <c r="P116" s="45"/>
      <c r="Q116" s="502"/>
    </row>
    <row r="117" spans="1:17" ht="14.4" thickBot="1">
      <c r="A117" s="532"/>
      <c r="B117" s="541"/>
      <c r="C117" s="558"/>
      <c r="D117" s="534"/>
      <c r="E117" s="534"/>
      <c r="F117" s="534"/>
      <c r="G117" s="534"/>
      <c r="H117" s="534"/>
      <c r="I117" s="534"/>
      <c r="J117" s="534"/>
      <c r="K117" s="534"/>
      <c r="L117" s="534"/>
      <c r="M117" s="535"/>
      <c r="N117" s="1150"/>
      <c r="O117" s="1150"/>
      <c r="P117" s="45"/>
      <c r="Q117" s="502"/>
    </row>
    <row r="118" spans="1:17" ht="14.4" thickTop="1">
      <c r="A118" s="597"/>
      <c r="B118" s="536">
        <f>B39</f>
        <v>111</v>
      </c>
      <c r="C118" s="552"/>
      <c r="D118" s="552"/>
      <c r="E118" s="552"/>
      <c r="F118" s="552"/>
      <c r="G118" s="581"/>
      <c r="H118" s="581"/>
      <c r="I118" s="581"/>
      <c r="J118" s="581"/>
      <c r="K118" s="582"/>
      <c r="L118" s="583"/>
      <c r="M118" s="584"/>
      <c r="N118" s="1149"/>
      <c r="O118" s="1149"/>
      <c r="P118" s="45"/>
      <c r="Q118" s="502"/>
    </row>
    <row r="119" spans="1:17" ht="14.4" thickBot="1">
      <c r="A119" s="532"/>
      <c r="B119" s="541"/>
      <c r="C119" s="558"/>
      <c r="D119" s="558"/>
      <c r="E119" s="558"/>
      <c r="F119" s="558"/>
      <c r="G119" s="534"/>
      <c r="H119" s="534"/>
      <c r="I119" s="534"/>
      <c r="J119" s="534"/>
      <c r="K119" s="534"/>
      <c r="L119" s="534"/>
      <c r="M119" s="535"/>
      <c r="N119" s="1150"/>
      <c r="O119" s="1150"/>
      <c r="P119" s="45"/>
      <c r="Q119" s="502"/>
    </row>
    <row r="120" spans="1:17" s="469" customFormat="1" ht="14.4"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4.4"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3.2"/>
  <cols>
    <col min="1" max="1" width="25.88671875" style="2969" customWidth="1"/>
    <col min="2" max="2" width="6.21875" style="2969" customWidth="1"/>
    <col min="3" max="3" width="7.88671875" style="2969" customWidth="1"/>
    <col min="4" max="4" width="10.44140625" style="2969" customWidth="1"/>
    <col min="5" max="5" width="13.88671875" style="2969" customWidth="1"/>
    <col min="6" max="6" width="6.21875" style="2969" customWidth="1"/>
    <col min="7" max="7" width="7.88671875" style="2969" customWidth="1"/>
    <col min="8" max="8" width="13.44140625" style="2969" customWidth="1"/>
    <col min="9" max="10" width="9" style="2969" customWidth="1"/>
    <col min="11" max="12" width="10.6640625" style="2969" customWidth="1"/>
    <col min="13" max="13" width="10.77734375" style="2969" customWidth="1"/>
    <col min="14" max="14" width="6.21875" style="2969" customWidth="1"/>
    <col min="15" max="15" width="26.109375" style="2969" customWidth="1"/>
    <col min="16" max="16" width="7.88671875" style="2969" customWidth="1"/>
    <col min="17" max="256" width="9" style="2969"/>
    <col min="257" max="257" width="41.33203125" style="2969" customWidth="1"/>
    <col min="258" max="258" width="6.21875" style="2969" customWidth="1"/>
    <col min="259" max="259" width="7.88671875" style="2969" customWidth="1"/>
    <col min="260" max="261" width="13.88671875" style="2969" customWidth="1"/>
    <col min="262" max="262" width="6.21875" style="2969" customWidth="1"/>
    <col min="263" max="263" width="7.88671875" style="2969" customWidth="1"/>
    <col min="264" max="264" width="13.44140625" style="2969" customWidth="1"/>
    <col min="265" max="266" width="9" style="2969" customWidth="1"/>
    <col min="267" max="268" width="10.6640625" style="2969" customWidth="1"/>
    <col min="269" max="269" width="14.33203125" style="2969" customWidth="1"/>
    <col min="270" max="270" width="6.21875" style="2969" customWidth="1"/>
    <col min="271" max="271" width="26.109375" style="2969" customWidth="1"/>
    <col min="272" max="272" width="7.88671875" style="2969" customWidth="1"/>
    <col min="273" max="512" width="9" style="2969"/>
    <col min="513" max="513" width="41.33203125" style="2969" customWidth="1"/>
    <col min="514" max="514" width="6.21875" style="2969" customWidth="1"/>
    <col min="515" max="515" width="7.88671875" style="2969" customWidth="1"/>
    <col min="516" max="517" width="13.88671875" style="2969" customWidth="1"/>
    <col min="518" max="518" width="6.21875" style="2969" customWidth="1"/>
    <col min="519" max="519" width="7.88671875" style="2969" customWidth="1"/>
    <col min="520" max="520" width="13.44140625" style="2969" customWidth="1"/>
    <col min="521" max="522" width="9" style="2969" customWidth="1"/>
    <col min="523" max="524" width="10.6640625" style="2969" customWidth="1"/>
    <col min="525" max="525" width="14.33203125" style="2969" customWidth="1"/>
    <col min="526" max="526" width="6.21875" style="2969" customWidth="1"/>
    <col min="527" max="527" width="26.109375" style="2969" customWidth="1"/>
    <col min="528" max="528" width="7.88671875" style="2969" customWidth="1"/>
    <col min="529" max="768" width="9" style="2969"/>
    <col min="769" max="769" width="41.33203125" style="2969" customWidth="1"/>
    <col min="770" max="770" width="6.21875" style="2969" customWidth="1"/>
    <col min="771" max="771" width="7.88671875" style="2969" customWidth="1"/>
    <col min="772" max="773" width="13.88671875" style="2969" customWidth="1"/>
    <col min="774" max="774" width="6.21875" style="2969" customWidth="1"/>
    <col min="775" max="775" width="7.88671875" style="2969" customWidth="1"/>
    <col min="776" max="776" width="13.44140625" style="2969" customWidth="1"/>
    <col min="777" max="778" width="9" style="2969" customWidth="1"/>
    <col min="779" max="780" width="10.6640625" style="2969" customWidth="1"/>
    <col min="781" max="781" width="14.33203125" style="2969" customWidth="1"/>
    <col min="782" max="782" width="6.21875" style="2969" customWidth="1"/>
    <col min="783" max="783" width="26.109375" style="2969" customWidth="1"/>
    <col min="784" max="784" width="7.88671875" style="2969" customWidth="1"/>
    <col min="785" max="1024" width="9" style="2969"/>
    <col min="1025" max="1025" width="41.33203125" style="2969" customWidth="1"/>
    <col min="1026" max="1026" width="6.21875" style="2969" customWidth="1"/>
    <col min="1027" max="1027" width="7.88671875" style="2969" customWidth="1"/>
    <col min="1028" max="1029" width="13.88671875" style="2969" customWidth="1"/>
    <col min="1030" max="1030" width="6.21875" style="2969" customWidth="1"/>
    <col min="1031" max="1031" width="7.88671875" style="2969" customWidth="1"/>
    <col min="1032" max="1032" width="13.44140625" style="2969" customWidth="1"/>
    <col min="1033" max="1034" width="9" style="2969" customWidth="1"/>
    <col min="1035" max="1036" width="10.6640625" style="2969" customWidth="1"/>
    <col min="1037" max="1037" width="14.33203125" style="2969" customWidth="1"/>
    <col min="1038" max="1038" width="6.21875" style="2969" customWidth="1"/>
    <col min="1039" max="1039" width="26.109375" style="2969" customWidth="1"/>
    <col min="1040" max="1040" width="7.88671875" style="2969" customWidth="1"/>
    <col min="1041" max="1280" width="9" style="2969"/>
    <col min="1281" max="1281" width="41.33203125" style="2969" customWidth="1"/>
    <col min="1282" max="1282" width="6.21875" style="2969" customWidth="1"/>
    <col min="1283" max="1283" width="7.88671875" style="2969" customWidth="1"/>
    <col min="1284" max="1285" width="13.88671875" style="2969" customWidth="1"/>
    <col min="1286" max="1286" width="6.21875" style="2969" customWidth="1"/>
    <col min="1287" max="1287" width="7.88671875" style="2969" customWidth="1"/>
    <col min="1288" max="1288" width="13.44140625" style="2969" customWidth="1"/>
    <col min="1289" max="1290" width="9" style="2969" customWidth="1"/>
    <col min="1291" max="1292" width="10.6640625" style="2969" customWidth="1"/>
    <col min="1293" max="1293" width="14.33203125" style="2969" customWidth="1"/>
    <col min="1294" max="1294" width="6.21875" style="2969" customWidth="1"/>
    <col min="1295" max="1295" width="26.109375" style="2969" customWidth="1"/>
    <col min="1296" max="1296" width="7.88671875" style="2969" customWidth="1"/>
    <col min="1297" max="1536" width="9" style="2969"/>
    <col min="1537" max="1537" width="41.33203125" style="2969" customWidth="1"/>
    <col min="1538" max="1538" width="6.21875" style="2969" customWidth="1"/>
    <col min="1539" max="1539" width="7.88671875" style="2969" customWidth="1"/>
    <col min="1540" max="1541" width="13.88671875" style="2969" customWidth="1"/>
    <col min="1542" max="1542" width="6.21875" style="2969" customWidth="1"/>
    <col min="1543" max="1543" width="7.88671875" style="2969" customWidth="1"/>
    <col min="1544" max="1544" width="13.44140625" style="2969" customWidth="1"/>
    <col min="1545" max="1546" width="9" style="2969" customWidth="1"/>
    <col min="1547" max="1548" width="10.6640625" style="2969" customWidth="1"/>
    <col min="1549" max="1549" width="14.33203125" style="2969" customWidth="1"/>
    <col min="1550" max="1550" width="6.21875" style="2969" customWidth="1"/>
    <col min="1551" max="1551" width="26.109375" style="2969" customWidth="1"/>
    <col min="1552" max="1552" width="7.88671875" style="2969" customWidth="1"/>
    <col min="1553" max="1792" width="9" style="2969"/>
    <col min="1793" max="1793" width="41.33203125" style="2969" customWidth="1"/>
    <col min="1794" max="1794" width="6.21875" style="2969" customWidth="1"/>
    <col min="1795" max="1795" width="7.88671875" style="2969" customWidth="1"/>
    <col min="1796" max="1797" width="13.88671875" style="2969" customWidth="1"/>
    <col min="1798" max="1798" width="6.21875" style="2969" customWidth="1"/>
    <col min="1799" max="1799" width="7.88671875" style="2969" customWidth="1"/>
    <col min="1800" max="1800" width="13.44140625" style="2969" customWidth="1"/>
    <col min="1801" max="1802" width="9" style="2969" customWidth="1"/>
    <col min="1803" max="1804" width="10.6640625" style="2969" customWidth="1"/>
    <col min="1805" max="1805" width="14.33203125" style="2969" customWidth="1"/>
    <col min="1806" max="1806" width="6.21875" style="2969" customWidth="1"/>
    <col min="1807" max="1807" width="26.109375" style="2969" customWidth="1"/>
    <col min="1808" max="1808" width="7.88671875" style="2969" customWidth="1"/>
    <col min="1809" max="2048" width="9" style="2969"/>
    <col min="2049" max="2049" width="41.33203125" style="2969" customWidth="1"/>
    <col min="2050" max="2050" width="6.21875" style="2969" customWidth="1"/>
    <col min="2051" max="2051" width="7.88671875" style="2969" customWidth="1"/>
    <col min="2052" max="2053" width="13.88671875" style="2969" customWidth="1"/>
    <col min="2054" max="2054" width="6.21875" style="2969" customWidth="1"/>
    <col min="2055" max="2055" width="7.88671875" style="2969" customWidth="1"/>
    <col min="2056" max="2056" width="13.44140625" style="2969" customWidth="1"/>
    <col min="2057" max="2058" width="9" style="2969" customWidth="1"/>
    <col min="2059" max="2060" width="10.6640625" style="2969" customWidth="1"/>
    <col min="2061" max="2061" width="14.33203125" style="2969" customWidth="1"/>
    <col min="2062" max="2062" width="6.21875" style="2969" customWidth="1"/>
    <col min="2063" max="2063" width="26.109375" style="2969" customWidth="1"/>
    <col min="2064" max="2064" width="7.88671875" style="2969" customWidth="1"/>
    <col min="2065" max="2304" width="9" style="2969"/>
    <col min="2305" max="2305" width="41.33203125" style="2969" customWidth="1"/>
    <col min="2306" max="2306" width="6.21875" style="2969" customWidth="1"/>
    <col min="2307" max="2307" width="7.88671875" style="2969" customWidth="1"/>
    <col min="2308" max="2309" width="13.88671875" style="2969" customWidth="1"/>
    <col min="2310" max="2310" width="6.21875" style="2969" customWidth="1"/>
    <col min="2311" max="2311" width="7.88671875" style="2969" customWidth="1"/>
    <col min="2312" max="2312" width="13.44140625" style="2969" customWidth="1"/>
    <col min="2313" max="2314" width="9" style="2969" customWidth="1"/>
    <col min="2315" max="2316" width="10.6640625" style="2969" customWidth="1"/>
    <col min="2317" max="2317" width="14.33203125" style="2969" customWidth="1"/>
    <col min="2318" max="2318" width="6.21875" style="2969" customWidth="1"/>
    <col min="2319" max="2319" width="26.109375" style="2969" customWidth="1"/>
    <col min="2320" max="2320" width="7.88671875" style="2969" customWidth="1"/>
    <col min="2321" max="2560" width="9" style="2969"/>
    <col min="2561" max="2561" width="41.33203125" style="2969" customWidth="1"/>
    <col min="2562" max="2562" width="6.21875" style="2969" customWidth="1"/>
    <col min="2563" max="2563" width="7.88671875" style="2969" customWidth="1"/>
    <col min="2564" max="2565" width="13.88671875" style="2969" customWidth="1"/>
    <col min="2566" max="2566" width="6.21875" style="2969" customWidth="1"/>
    <col min="2567" max="2567" width="7.88671875" style="2969" customWidth="1"/>
    <col min="2568" max="2568" width="13.44140625" style="2969" customWidth="1"/>
    <col min="2569" max="2570" width="9" style="2969" customWidth="1"/>
    <col min="2571" max="2572" width="10.6640625" style="2969" customWidth="1"/>
    <col min="2573" max="2573" width="14.33203125" style="2969" customWidth="1"/>
    <col min="2574" max="2574" width="6.21875" style="2969" customWidth="1"/>
    <col min="2575" max="2575" width="26.109375" style="2969" customWidth="1"/>
    <col min="2576" max="2576" width="7.88671875" style="2969" customWidth="1"/>
    <col min="2577" max="2816" width="9" style="2969"/>
    <col min="2817" max="2817" width="41.33203125" style="2969" customWidth="1"/>
    <col min="2818" max="2818" width="6.21875" style="2969" customWidth="1"/>
    <col min="2819" max="2819" width="7.88671875" style="2969" customWidth="1"/>
    <col min="2820" max="2821" width="13.88671875" style="2969" customWidth="1"/>
    <col min="2822" max="2822" width="6.21875" style="2969" customWidth="1"/>
    <col min="2823" max="2823" width="7.88671875" style="2969" customWidth="1"/>
    <col min="2824" max="2824" width="13.44140625" style="2969" customWidth="1"/>
    <col min="2825" max="2826" width="9" style="2969" customWidth="1"/>
    <col min="2827" max="2828" width="10.6640625" style="2969" customWidth="1"/>
    <col min="2829" max="2829" width="14.33203125" style="2969" customWidth="1"/>
    <col min="2830" max="2830" width="6.21875" style="2969" customWidth="1"/>
    <col min="2831" max="2831" width="26.109375" style="2969" customWidth="1"/>
    <col min="2832" max="2832" width="7.88671875" style="2969" customWidth="1"/>
    <col min="2833" max="3072" width="9" style="2969"/>
    <col min="3073" max="3073" width="41.33203125" style="2969" customWidth="1"/>
    <col min="3074" max="3074" width="6.21875" style="2969" customWidth="1"/>
    <col min="3075" max="3075" width="7.88671875" style="2969" customWidth="1"/>
    <col min="3076" max="3077" width="13.88671875" style="2969" customWidth="1"/>
    <col min="3078" max="3078" width="6.21875" style="2969" customWidth="1"/>
    <col min="3079" max="3079" width="7.88671875" style="2969" customWidth="1"/>
    <col min="3080" max="3080" width="13.44140625" style="2969" customWidth="1"/>
    <col min="3081" max="3082" width="9" style="2969" customWidth="1"/>
    <col min="3083" max="3084" width="10.6640625" style="2969" customWidth="1"/>
    <col min="3085" max="3085" width="14.33203125" style="2969" customWidth="1"/>
    <col min="3086" max="3086" width="6.21875" style="2969" customWidth="1"/>
    <col min="3087" max="3087" width="26.109375" style="2969" customWidth="1"/>
    <col min="3088" max="3088" width="7.88671875" style="2969" customWidth="1"/>
    <col min="3089" max="3328" width="9" style="2969"/>
    <col min="3329" max="3329" width="41.33203125" style="2969" customWidth="1"/>
    <col min="3330" max="3330" width="6.21875" style="2969" customWidth="1"/>
    <col min="3331" max="3331" width="7.88671875" style="2969" customWidth="1"/>
    <col min="3332" max="3333" width="13.88671875" style="2969" customWidth="1"/>
    <col min="3334" max="3334" width="6.21875" style="2969" customWidth="1"/>
    <col min="3335" max="3335" width="7.88671875" style="2969" customWidth="1"/>
    <col min="3336" max="3336" width="13.44140625" style="2969" customWidth="1"/>
    <col min="3337" max="3338" width="9" style="2969" customWidth="1"/>
    <col min="3339" max="3340" width="10.6640625" style="2969" customWidth="1"/>
    <col min="3341" max="3341" width="14.33203125" style="2969" customWidth="1"/>
    <col min="3342" max="3342" width="6.21875" style="2969" customWidth="1"/>
    <col min="3343" max="3343" width="26.109375" style="2969" customWidth="1"/>
    <col min="3344" max="3344" width="7.88671875" style="2969" customWidth="1"/>
    <col min="3345" max="3584" width="9" style="2969"/>
    <col min="3585" max="3585" width="41.33203125" style="2969" customWidth="1"/>
    <col min="3586" max="3586" width="6.21875" style="2969" customWidth="1"/>
    <col min="3587" max="3587" width="7.88671875" style="2969" customWidth="1"/>
    <col min="3588" max="3589" width="13.88671875" style="2969" customWidth="1"/>
    <col min="3590" max="3590" width="6.21875" style="2969" customWidth="1"/>
    <col min="3591" max="3591" width="7.88671875" style="2969" customWidth="1"/>
    <col min="3592" max="3592" width="13.44140625" style="2969" customWidth="1"/>
    <col min="3593" max="3594" width="9" style="2969" customWidth="1"/>
    <col min="3595" max="3596" width="10.6640625" style="2969" customWidth="1"/>
    <col min="3597" max="3597" width="14.33203125" style="2969" customWidth="1"/>
    <col min="3598" max="3598" width="6.21875" style="2969" customWidth="1"/>
    <col min="3599" max="3599" width="26.109375" style="2969" customWidth="1"/>
    <col min="3600" max="3600" width="7.88671875" style="2969" customWidth="1"/>
    <col min="3601" max="3840" width="9" style="2969"/>
    <col min="3841" max="3841" width="41.33203125" style="2969" customWidth="1"/>
    <col min="3842" max="3842" width="6.21875" style="2969" customWidth="1"/>
    <col min="3843" max="3843" width="7.88671875" style="2969" customWidth="1"/>
    <col min="3844" max="3845" width="13.88671875" style="2969" customWidth="1"/>
    <col min="3846" max="3846" width="6.21875" style="2969" customWidth="1"/>
    <col min="3847" max="3847" width="7.88671875" style="2969" customWidth="1"/>
    <col min="3848" max="3848" width="13.44140625" style="2969" customWidth="1"/>
    <col min="3849" max="3850" width="9" style="2969" customWidth="1"/>
    <col min="3851" max="3852" width="10.6640625" style="2969" customWidth="1"/>
    <col min="3853" max="3853" width="14.33203125" style="2969" customWidth="1"/>
    <col min="3854" max="3854" width="6.21875" style="2969" customWidth="1"/>
    <col min="3855" max="3855" width="26.109375" style="2969" customWidth="1"/>
    <col min="3856" max="3856" width="7.88671875" style="2969" customWidth="1"/>
    <col min="3857" max="4096" width="9" style="2969"/>
    <col min="4097" max="4097" width="41.33203125" style="2969" customWidth="1"/>
    <col min="4098" max="4098" width="6.21875" style="2969" customWidth="1"/>
    <col min="4099" max="4099" width="7.88671875" style="2969" customWidth="1"/>
    <col min="4100" max="4101" width="13.88671875" style="2969" customWidth="1"/>
    <col min="4102" max="4102" width="6.21875" style="2969" customWidth="1"/>
    <col min="4103" max="4103" width="7.88671875" style="2969" customWidth="1"/>
    <col min="4104" max="4104" width="13.44140625" style="2969" customWidth="1"/>
    <col min="4105" max="4106" width="9" style="2969" customWidth="1"/>
    <col min="4107" max="4108" width="10.6640625" style="2969" customWidth="1"/>
    <col min="4109" max="4109" width="14.33203125" style="2969" customWidth="1"/>
    <col min="4110" max="4110" width="6.21875" style="2969" customWidth="1"/>
    <col min="4111" max="4111" width="26.109375" style="2969" customWidth="1"/>
    <col min="4112" max="4112" width="7.88671875" style="2969" customWidth="1"/>
    <col min="4113" max="4352" width="9" style="2969"/>
    <col min="4353" max="4353" width="41.33203125" style="2969" customWidth="1"/>
    <col min="4354" max="4354" width="6.21875" style="2969" customWidth="1"/>
    <col min="4355" max="4355" width="7.88671875" style="2969" customWidth="1"/>
    <col min="4356" max="4357" width="13.88671875" style="2969" customWidth="1"/>
    <col min="4358" max="4358" width="6.21875" style="2969" customWidth="1"/>
    <col min="4359" max="4359" width="7.88671875" style="2969" customWidth="1"/>
    <col min="4360" max="4360" width="13.44140625" style="2969" customWidth="1"/>
    <col min="4361" max="4362" width="9" style="2969" customWidth="1"/>
    <col min="4363" max="4364" width="10.6640625" style="2969" customWidth="1"/>
    <col min="4365" max="4365" width="14.33203125" style="2969" customWidth="1"/>
    <col min="4366" max="4366" width="6.21875" style="2969" customWidth="1"/>
    <col min="4367" max="4367" width="26.109375" style="2969" customWidth="1"/>
    <col min="4368" max="4368" width="7.88671875" style="2969" customWidth="1"/>
    <col min="4369" max="4608" width="9" style="2969"/>
    <col min="4609" max="4609" width="41.33203125" style="2969" customWidth="1"/>
    <col min="4610" max="4610" width="6.21875" style="2969" customWidth="1"/>
    <col min="4611" max="4611" width="7.88671875" style="2969" customWidth="1"/>
    <col min="4612" max="4613" width="13.88671875" style="2969" customWidth="1"/>
    <col min="4614" max="4614" width="6.21875" style="2969" customWidth="1"/>
    <col min="4615" max="4615" width="7.88671875" style="2969" customWidth="1"/>
    <col min="4616" max="4616" width="13.44140625" style="2969" customWidth="1"/>
    <col min="4617" max="4618" width="9" style="2969" customWidth="1"/>
    <col min="4619" max="4620" width="10.6640625" style="2969" customWidth="1"/>
    <col min="4621" max="4621" width="14.33203125" style="2969" customWidth="1"/>
    <col min="4622" max="4622" width="6.21875" style="2969" customWidth="1"/>
    <col min="4623" max="4623" width="26.109375" style="2969" customWidth="1"/>
    <col min="4624" max="4624" width="7.88671875" style="2969" customWidth="1"/>
    <col min="4625" max="4864" width="9" style="2969"/>
    <col min="4865" max="4865" width="41.33203125" style="2969" customWidth="1"/>
    <col min="4866" max="4866" width="6.21875" style="2969" customWidth="1"/>
    <col min="4867" max="4867" width="7.88671875" style="2969" customWidth="1"/>
    <col min="4868" max="4869" width="13.88671875" style="2969" customWidth="1"/>
    <col min="4870" max="4870" width="6.21875" style="2969" customWidth="1"/>
    <col min="4871" max="4871" width="7.88671875" style="2969" customWidth="1"/>
    <col min="4872" max="4872" width="13.44140625" style="2969" customWidth="1"/>
    <col min="4873" max="4874" width="9" style="2969" customWidth="1"/>
    <col min="4875" max="4876" width="10.6640625" style="2969" customWidth="1"/>
    <col min="4877" max="4877" width="14.33203125" style="2969" customWidth="1"/>
    <col min="4878" max="4878" width="6.21875" style="2969" customWidth="1"/>
    <col min="4879" max="4879" width="26.109375" style="2969" customWidth="1"/>
    <col min="4880" max="4880" width="7.88671875" style="2969" customWidth="1"/>
    <col min="4881" max="5120" width="9" style="2969"/>
    <col min="5121" max="5121" width="41.33203125" style="2969" customWidth="1"/>
    <col min="5122" max="5122" width="6.21875" style="2969" customWidth="1"/>
    <col min="5123" max="5123" width="7.88671875" style="2969" customWidth="1"/>
    <col min="5124" max="5125" width="13.88671875" style="2969" customWidth="1"/>
    <col min="5126" max="5126" width="6.21875" style="2969" customWidth="1"/>
    <col min="5127" max="5127" width="7.88671875" style="2969" customWidth="1"/>
    <col min="5128" max="5128" width="13.44140625" style="2969" customWidth="1"/>
    <col min="5129" max="5130" width="9" style="2969" customWidth="1"/>
    <col min="5131" max="5132" width="10.6640625" style="2969" customWidth="1"/>
    <col min="5133" max="5133" width="14.33203125" style="2969" customWidth="1"/>
    <col min="5134" max="5134" width="6.21875" style="2969" customWidth="1"/>
    <col min="5135" max="5135" width="26.109375" style="2969" customWidth="1"/>
    <col min="5136" max="5136" width="7.88671875" style="2969" customWidth="1"/>
    <col min="5137" max="5376" width="9" style="2969"/>
    <col min="5377" max="5377" width="41.33203125" style="2969" customWidth="1"/>
    <col min="5378" max="5378" width="6.21875" style="2969" customWidth="1"/>
    <col min="5379" max="5379" width="7.88671875" style="2969" customWidth="1"/>
    <col min="5380" max="5381" width="13.88671875" style="2969" customWidth="1"/>
    <col min="5382" max="5382" width="6.21875" style="2969" customWidth="1"/>
    <col min="5383" max="5383" width="7.88671875" style="2969" customWidth="1"/>
    <col min="5384" max="5384" width="13.44140625" style="2969" customWidth="1"/>
    <col min="5385" max="5386" width="9" style="2969" customWidth="1"/>
    <col min="5387" max="5388" width="10.6640625" style="2969" customWidth="1"/>
    <col min="5389" max="5389" width="14.33203125" style="2969" customWidth="1"/>
    <col min="5390" max="5390" width="6.21875" style="2969" customWidth="1"/>
    <col min="5391" max="5391" width="26.109375" style="2969" customWidth="1"/>
    <col min="5392" max="5392" width="7.88671875" style="2969" customWidth="1"/>
    <col min="5393" max="5632" width="9" style="2969"/>
    <col min="5633" max="5633" width="41.33203125" style="2969" customWidth="1"/>
    <col min="5634" max="5634" width="6.21875" style="2969" customWidth="1"/>
    <col min="5635" max="5635" width="7.88671875" style="2969" customWidth="1"/>
    <col min="5636" max="5637" width="13.88671875" style="2969" customWidth="1"/>
    <col min="5638" max="5638" width="6.21875" style="2969" customWidth="1"/>
    <col min="5639" max="5639" width="7.88671875" style="2969" customWidth="1"/>
    <col min="5640" max="5640" width="13.44140625" style="2969" customWidth="1"/>
    <col min="5641" max="5642" width="9" style="2969" customWidth="1"/>
    <col min="5643" max="5644" width="10.6640625" style="2969" customWidth="1"/>
    <col min="5645" max="5645" width="14.33203125" style="2969" customWidth="1"/>
    <col min="5646" max="5646" width="6.21875" style="2969" customWidth="1"/>
    <col min="5647" max="5647" width="26.109375" style="2969" customWidth="1"/>
    <col min="5648" max="5648" width="7.88671875" style="2969" customWidth="1"/>
    <col min="5649" max="5888" width="9" style="2969"/>
    <col min="5889" max="5889" width="41.33203125" style="2969" customWidth="1"/>
    <col min="5890" max="5890" width="6.21875" style="2969" customWidth="1"/>
    <col min="5891" max="5891" width="7.88671875" style="2969" customWidth="1"/>
    <col min="5892" max="5893" width="13.88671875" style="2969" customWidth="1"/>
    <col min="5894" max="5894" width="6.21875" style="2969" customWidth="1"/>
    <col min="5895" max="5895" width="7.88671875" style="2969" customWidth="1"/>
    <col min="5896" max="5896" width="13.44140625" style="2969" customWidth="1"/>
    <col min="5897" max="5898" width="9" style="2969" customWidth="1"/>
    <col min="5899" max="5900" width="10.6640625" style="2969" customWidth="1"/>
    <col min="5901" max="5901" width="14.33203125" style="2969" customWidth="1"/>
    <col min="5902" max="5902" width="6.21875" style="2969" customWidth="1"/>
    <col min="5903" max="5903" width="26.109375" style="2969" customWidth="1"/>
    <col min="5904" max="5904" width="7.88671875" style="2969" customWidth="1"/>
    <col min="5905" max="6144" width="9" style="2969"/>
    <col min="6145" max="6145" width="41.33203125" style="2969" customWidth="1"/>
    <col min="6146" max="6146" width="6.21875" style="2969" customWidth="1"/>
    <col min="6147" max="6147" width="7.88671875" style="2969" customWidth="1"/>
    <col min="6148" max="6149" width="13.88671875" style="2969" customWidth="1"/>
    <col min="6150" max="6150" width="6.21875" style="2969" customWidth="1"/>
    <col min="6151" max="6151" width="7.88671875" style="2969" customWidth="1"/>
    <col min="6152" max="6152" width="13.44140625" style="2969" customWidth="1"/>
    <col min="6153" max="6154" width="9" style="2969" customWidth="1"/>
    <col min="6155" max="6156" width="10.6640625" style="2969" customWidth="1"/>
    <col min="6157" max="6157" width="14.33203125" style="2969" customWidth="1"/>
    <col min="6158" max="6158" width="6.21875" style="2969" customWidth="1"/>
    <col min="6159" max="6159" width="26.109375" style="2969" customWidth="1"/>
    <col min="6160" max="6160" width="7.88671875" style="2969" customWidth="1"/>
    <col min="6161" max="6400" width="9" style="2969"/>
    <col min="6401" max="6401" width="41.33203125" style="2969" customWidth="1"/>
    <col min="6402" max="6402" width="6.21875" style="2969" customWidth="1"/>
    <col min="6403" max="6403" width="7.88671875" style="2969" customWidth="1"/>
    <col min="6404" max="6405" width="13.88671875" style="2969" customWidth="1"/>
    <col min="6406" max="6406" width="6.21875" style="2969" customWidth="1"/>
    <col min="6407" max="6407" width="7.88671875" style="2969" customWidth="1"/>
    <col min="6408" max="6408" width="13.44140625" style="2969" customWidth="1"/>
    <col min="6409" max="6410" width="9" style="2969" customWidth="1"/>
    <col min="6411" max="6412" width="10.6640625" style="2969" customWidth="1"/>
    <col min="6413" max="6413" width="14.33203125" style="2969" customWidth="1"/>
    <col min="6414" max="6414" width="6.21875" style="2969" customWidth="1"/>
    <col min="6415" max="6415" width="26.109375" style="2969" customWidth="1"/>
    <col min="6416" max="6416" width="7.88671875" style="2969" customWidth="1"/>
    <col min="6417" max="6656" width="9" style="2969"/>
    <col min="6657" max="6657" width="41.33203125" style="2969" customWidth="1"/>
    <col min="6658" max="6658" width="6.21875" style="2969" customWidth="1"/>
    <col min="6659" max="6659" width="7.88671875" style="2969" customWidth="1"/>
    <col min="6660" max="6661" width="13.88671875" style="2969" customWidth="1"/>
    <col min="6662" max="6662" width="6.21875" style="2969" customWidth="1"/>
    <col min="6663" max="6663" width="7.88671875" style="2969" customWidth="1"/>
    <col min="6664" max="6664" width="13.44140625" style="2969" customWidth="1"/>
    <col min="6665" max="6666" width="9" style="2969" customWidth="1"/>
    <col min="6667" max="6668" width="10.6640625" style="2969" customWidth="1"/>
    <col min="6669" max="6669" width="14.33203125" style="2969" customWidth="1"/>
    <col min="6670" max="6670" width="6.21875" style="2969" customWidth="1"/>
    <col min="6671" max="6671" width="26.109375" style="2969" customWidth="1"/>
    <col min="6672" max="6672" width="7.88671875" style="2969" customWidth="1"/>
    <col min="6673" max="6912" width="9" style="2969"/>
    <col min="6913" max="6913" width="41.33203125" style="2969" customWidth="1"/>
    <col min="6914" max="6914" width="6.21875" style="2969" customWidth="1"/>
    <col min="6915" max="6915" width="7.88671875" style="2969" customWidth="1"/>
    <col min="6916" max="6917" width="13.88671875" style="2969" customWidth="1"/>
    <col min="6918" max="6918" width="6.21875" style="2969" customWidth="1"/>
    <col min="6919" max="6919" width="7.88671875" style="2969" customWidth="1"/>
    <col min="6920" max="6920" width="13.44140625" style="2969" customWidth="1"/>
    <col min="6921" max="6922" width="9" style="2969" customWidth="1"/>
    <col min="6923" max="6924" width="10.6640625" style="2969" customWidth="1"/>
    <col min="6925" max="6925" width="14.33203125" style="2969" customWidth="1"/>
    <col min="6926" max="6926" width="6.21875" style="2969" customWidth="1"/>
    <col min="6927" max="6927" width="26.109375" style="2969" customWidth="1"/>
    <col min="6928" max="6928" width="7.88671875" style="2969" customWidth="1"/>
    <col min="6929" max="7168" width="9" style="2969"/>
    <col min="7169" max="7169" width="41.33203125" style="2969" customWidth="1"/>
    <col min="7170" max="7170" width="6.21875" style="2969" customWidth="1"/>
    <col min="7171" max="7171" width="7.88671875" style="2969" customWidth="1"/>
    <col min="7172" max="7173" width="13.88671875" style="2969" customWidth="1"/>
    <col min="7174" max="7174" width="6.21875" style="2969" customWidth="1"/>
    <col min="7175" max="7175" width="7.88671875" style="2969" customWidth="1"/>
    <col min="7176" max="7176" width="13.44140625" style="2969" customWidth="1"/>
    <col min="7177" max="7178" width="9" style="2969" customWidth="1"/>
    <col min="7179" max="7180" width="10.6640625" style="2969" customWidth="1"/>
    <col min="7181" max="7181" width="14.33203125" style="2969" customWidth="1"/>
    <col min="7182" max="7182" width="6.21875" style="2969" customWidth="1"/>
    <col min="7183" max="7183" width="26.109375" style="2969" customWidth="1"/>
    <col min="7184" max="7184" width="7.88671875" style="2969" customWidth="1"/>
    <col min="7185" max="7424" width="9" style="2969"/>
    <col min="7425" max="7425" width="41.33203125" style="2969" customWidth="1"/>
    <col min="7426" max="7426" width="6.21875" style="2969" customWidth="1"/>
    <col min="7427" max="7427" width="7.88671875" style="2969" customWidth="1"/>
    <col min="7428" max="7429" width="13.88671875" style="2969" customWidth="1"/>
    <col min="7430" max="7430" width="6.21875" style="2969" customWidth="1"/>
    <col min="7431" max="7431" width="7.88671875" style="2969" customWidth="1"/>
    <col min="7432" max="7432" width="13.44140625" style="2969" customWidth="1"/>
    <col min="7433" max="7434" width="9" style="2969" customWidth="1"/>
    <col min="7435" max="7436" width="10.6640625" style="2969" customWidth="1"/>
    <col min="7437" max="7437" width="14.33203125" style="2969" customWidth="1"/>
    <col min="7438" max="7438" width="6.21875" style="2969" customWidth="1"/>
    <col min="7439" max="7439" width="26.109375" style="2969" customWidth="1"/>
    <col min="7440" max="7440" width="7.88671875" style="2969" customWidth="1"/>
    <col min="7441" max="7680" width="9" style="2969"/>
    <col min="7681" max="7681" width="41.33203125" style="2969" customWidth="1"/>
    <col min="7682" max="7682" width="6.21875" style="2969" customWidth="1"/>
    <col min="7683" max="7683" width="7.88671875" style="2969" customWidth="1"/>
    <col min="7684" max="7685" width="13.88671875" style="2969" customWidth="1"/>
    <col min="7686" max="7686" width="6.21875" style="2969" customWidth="1"/>
    <col min="7687" max="7687" width="7.88671875" style="2969" customWidth="1"/>
    <col min="7688" max="7688" width="13.44140625" style="2969" customWidth="1"/>
    <col min="7689" max="7690" width="9" style="2969" customWidth="1"/>
    <col min="7691" max="7692" width="10.6640625" style="2969" customWidth="1"/>
    <col min="7693" max="7693" width="14.33203125" style="2969" customWidth="1"/>
    <col min="7694" max="7694" width="6.21875" style="2969" customWidth="1"/>
    <col min="7695" max="7695" width="26.109375" style="2969" customWidth="1"/>
    <col min="7696" max="7696" width="7.88671875" style="2969" customWidth="1"/>
    <col min="7697" max="7936" width="9" style="2969"/>
    <col min="7937" max="7937" width="41.33203125" style="2969" customWidth="1"/>
    <col min="7938" max="7938" width="6.21875" style="2969" customWidth="1"/>
    <col min="7939" max="7939" width="7.88671875" style="2969" customWidth="1"/>
    <col min="7940" max="7941" width="13.88671875" style="2969" customWidth="1"/>
    <col min="7942" max="7942" width="6.21875" style="2969" customWidth="1"/>
    <col min="7943" max="7943" width="7.88671875" style="2969" customWidth="1"/>
    <col min="7944" max="7944" width="13.44140625" style="2969" customWidth="1"/>
    <col min="7945" max="7946" width="9" style="2969" customWidth="1"/>
    <col min="7947" max="7948" width="10.6640625" style="2969" customWidth="1"/>
    <col min="7949" max="7949" width="14.33203125" style="2969" customWidth="1"/>
    <col min="7950" max="7950" width="6.21875" style="2969" customWidth="1"/>
    <col min="7951" max="7951" width="26.109375" style="2969" customWidth="1"/>
    <col min="7952" max="7952" width="7.88671875" style="2969" customWidth="1"/>
    <col min="7953" max="8192" width="9" style="2969"/>
    <col min="8193" max="8193" width="41.33203125" style="2969" customWidth="1"/>
    <col min="8194" max="8194" width="6.21875" style="2969" customWidth="1"/>
    <col min="8195" max="8195" width="7.88671875" style="2969" customWidth="1"/>
    <col min="8196" max="8197" width="13.88671875" style="2969" customWidth="1"/>
    <col min="8198" max="8198" width="6.21875" style="2969" customWidth="1"/>
    <col min="8199" max="8199" width="7.88671875" style="2969" customWidth="1"/>
    <col min="8200" max="8200" width="13.44140625" style="2969" customWidth="1"/>
    <col min="8201" max="8202" width="9" style="2969" customWidth="1"/>
    <col min="8203" max="8204" width="10.6640625" style="2969" customWidth="1"/>
    <col min="8205" max="8205" width="14.33203125" style="2969" customWidth="1"/>
    <col min="8206" max="8206" width="6.21875" style="2969" customWidth="1"/>
    <col min="8207" max="8207" width="26.109375" style="2969" customWidth="1"/>
    <col min="8208" max="8208" width="7.88671875" style="2969" customWidth="1"/>
    <col min="8209" max="8448" width="9" style="2969"/>
    <col min="8449" max="8449" width="41.33203125" style="2969" customWidth="1"/>
    <col min="8450" max="8450" width="6.21875" style="2969" customWidth="1"/>
    <col min="8451" max="8451" width="7.88671875" style="2969" customWidth="1"/>
    <col min="8452" max="8453" width="13.88671875" style="2969" customWidth="1"/>
    <col min="8454" max="8454" width="6.21875" style="2969" customWidth="1"/>
    <col min="8455" max="8455" width="7.88671875" style="2969" customWidth="1"/>
    <col min="8456" max="8456" width="13.44140625" style="2969" customWidth="1"/>
    <col min="8457" max="8458" width="9" style="2969" customWidth="1"/>
    <col min="8459" max="8460" width="10.6640625" style="2969" customWidth="1"/>
    <col min="8461" max="8461" width="14.33203125" style="2969" customWidth="1"/>
    <col min="8462" max="8462" width="6.21875" style="2969" customWidth="1"/>
    <col min="8463" max="8463" width="26.109375" style="2969" customWidth="1"/>
    <col min="8464" max="8464" width="7.88671875" style="2969" customWidth="1"/>
    <col min="8465" max="8704" width="9" style="2969"/>
    <col min="8705" max="8705" width="41.33203125" style="2969" customWidth="1"/>
    <col min="8706" max="8706" width="6.21875" style="2969" customWidth="1"/>
    <col min="8707" max="8707" width="7.88671875" style="2969" customWidth="1"/>
    <col min="8708" max="8709" width="13.88671875" style="2969" customWidth="1"/>
    <col min="8710" max="8710" width="6.21875" style="2969" customWidth="1"/>
    <col min="8711" max="8711" width="7.88671875" style="2969" customWidth="1"/>
    <col min="8712" max="8712" width="13.44140625" style="2969" customWidth="1"/>
    <col min="8713" max="8714" width="9" style="2969" customWidth="1"/>
    <col min="8715" max="8716" width="10.6640625" style="2969" customWidth="1"/>
    <col min="8717" max="8717" width="14.33203125" style="2969" customWidth="1"/>
    <col min="8718" max="8718" width="6.21875" style="2969" customWidth="1"/>
    <col min="8719" max="8719" width="26.109375" style="2969" customWidth="1"/>
    <col min="8720" max="8720" width="7.88671875" style="2969" customWidth="1"/>
    <col min="8721" max="8960" width="9" style="2969"/>
    <col min="8961" max="8961" width="41.33203125" style="2969" customWidth="1"/>
    <col min="8962" max="8962" width="6.21875" style="2969" customWidth="1"/>
    <col min="8963" max="8963" width="7.88671875" style="2969" customWidth="1"/>
    <col min="8964" max="8965" width="13.88671875" style="2969" customWidth="1"/>
    <col min="8966" max="8966" width="6.21875" style="2969" customWidth="1"/>
    <col min="8967" max="8967" width="7.88671875" style="2969" customWidth="1"/>
    <col min="8968" max="8968" width="13.44140625" style="2969" customWidth="1"/>
    <col min="8969" max="8970" width="9" style="2969" customWidth="1"/>
    <col min="8971" max="8972" width="10.6640625" style="2969" customWidth="1"/>
    <col min="8973" max="8973" width="14.33203125" style="2969" customWidth="1"/>
    <col min="8974" max="8974" width="6.21875" style="2969" customWidth="1"/>
    <col min="8975" max="8975" width="26.109375" style="2969" customWidth="1"/>
    <col min="8976" max="8976" width="7.88671875" style="2969" customWidth="1"/>
    <col min="8977" max="9216" width="9" style="2969"/>
    <col min="9217" max="9217" width="41.33203125" style="2969" customWidth="1"/>
    <col min="9218" max="9218" width="6.21875" style="2969" customWidth="1"/>
    <col min="9219" max="9219" width="7.88671875" style="2969" customWidth="1"/>
    <col min="9220" max="9221" width="13.88671875" style="2969" customWidth="1"/>
    <col min="9222" max="9222" width="6.21875" style="2969" customWidth="1"/>
    <col min="9223" max="9223" width="7.88671875" style="2969" customWidth="1"/>
    <col min="9224" max="9224" width="13.44140625" style="2969" customWidth="1"/>
    <col min="9225" max="9226" width="9" style="2969" customWidth="1"/>
    <col min="9227" max="9228" width="10.6640625" style="2969" customWidth="1"/>
    <col min="9229" max="9229" width="14.33203125" style="2969" customWidth="1"/>
    <col min="9230" max="9230" width="6.21875" style="2969" customWidth="1"/>
    <col min="9231" max="9231" width="26.109375" style="2969" customWidth="1"/>
    <col min="9232" max="9232" width="7.88671875" style="2969" customWidth="1"/>
    <col min="9233" max="9472" width="9" style="2969"/>
    <col min="9473" max="9473" width="41.33203125" style="2969" customWidth="1"/>
    <col min="9474" max="9474" width="6.21875" style="2969" customWidth="1"/>
    <col min="9475" max="9475" width="7.88671875" style="2969" customWidth="1"/>
    <col min="9476" max="9477" width="13.88671875" style="2969" customWidth="1"/>
    <col min="9478" max="9478" width="6.21875" style="2969" customWidth="1"/>
    <col min="9479" max="9479" width="7.88671875" style="2969" customWidth="1"/>
    <col min="9480" max="9480" width="13.44140625" style="2969" customWidth="1"/>
    <col min="9481" max="9482" width="9" style="2969" customWidth="1"/>
    <col min="9483" max="9484" width="10.6640625" style="2969" customWidth="1"/>
    <col min="9485" max="9485" width="14.33203125" style="2969" customWidth="1"/>
    <col min="9486" max="9486" width="6.21875" style="2969" customWidth="1"/>
    <col min="9487" max="9487" width="26.109375" style="2969" customWidth="1"/>
    <col min="9488" max="9488" width="7.88671875" style="2969" customWidth="1"/>
    <col min="9489" max="9728" width="9" style="2969"/>
    <col min="9729" max="9729" width="41.33203125" style="2969" customWidth="1"/>
    <col min="9730" max="9730" width="6.21875" style="2969" customWidth="1"/>
    <col min="9731" max="9731" width="7.88671875" style="2969" customWidth="1"/>
    <col min="9732" max="9733" width="13.88671875" style="2969" customWidth="1"/>
    <col min="9734" max="9734" width="6.21875" style="2969" customWidth="1"/>
    <col min="9735" max="9735" width="7.88671875" style="2969" customWidth="1"/>
    <col min="9736" max="9736" width="13.44140625" style="2969" customWidth="1"/>
    <col min="9737" max="9738" width="9" style="2969" customWidth="1"/>
    <col min="9739" max="9740" width="10.6640625" style="2969" customWidth="1"/>
    <col min="9741" max="9741" width="14.33203125" style="2969" customWidth="1"/>
    <col min="9742" max="9742" width="6.21875" style="2969" customWidth="1"/>
    <col min="9743" max="9743" width="26.109375" style="2969" customWidth="1"/>
    <col min="9744" max="9744" width="7.88671875" style="2969" customWidth="1"/>
    <col min="9745" max="9984" width="9" style="2969"/>
    <col min="9985" max="9985" width="41.33203125" style="2969" customWidth="1"/>
    <col min="9986" max="9986" width="6.21875" style="2969" customWidth="1"/>
    <col min="9987" max="9987" width="7.88671875" style="2969" customWidth="1"/>
    <col min="9988" max="9989" width="13.88671875" style="2969" customWidth="1"/>
    <col min="9990" max="9990" width="6.21875" style="2969" customWidth="1"/>
    <col min="9991" max="9991" width="7.88671875" style="2969" customWidth="1"/>
    <col min="9992" max="9992" width="13.44140625" style="2969" customWidth="1"/>
    <col min="9993" max="9994" width="9" style="2969" customWidth="1"/>
    <col min="9995" max="9996" width="10.6640625" style="2969" customWidth="1"/>
    <col min="9997" max="9997" width="14.33203125" style="2969" customWidth="1"/>
    <col min="9998" max="9998" width="6.21875" style="2969" customWidth="1"/>
    <col min="9999" max="9999" width="26.109375" style="2969" customWidth="1"/>
    <col min="10000" max="10000" width="7.88671875" style="2969" customWidth="1"/>
    <col min="10001" max="10240" width="9" style="2969"/>
    <col min="10241" max="10241" width="41.33203125" style="2969" customWidth="1"/>
    <col min="10242" max="10242" width="6.21875" style="2969" customWidth="1"/>
    <col min="10243" max="10243" width="7.88671875" style="2969" customWidth="1"/>
    <col min="10244" max="10245" width="13.88671875" style="2969" customWidth="1"/>
    <col min="10246" max="10246" width="6.21875" style="2969" customWidth="1"/>
    <col min="10247" max="10247" width="7.88671875" style="2969" customWidth="1"/>
    <col min="10248" max="10248" width="13.44140625" style="2969" customWidth="1"/>
    <col min="10249" max="10250" width="9" style="2969" customWidth="1"/>
    <col min="10251" max="10252" width="10.6640625" style="2969" customWidth="1"/>
    <col min="10253" max="10253" width="14.33203125" style="2969" customWidth="1"/>
    <col min="10254" max="10254" width="6.21875" style="2969" customWidth="1"/>
    <col min="10255" max="10255" width="26.109375" style="2969" customWidth="1"/>
    <col min="10256" max="10256" width="7.88671875" style="2969" customWidth="1"/>
    <col min="10257" max="10496" width="9" style="2969"/>
    <col min="10497" max="10497" width="41.33203125" style="2969" customWidth="1"/>
    <col min="10498" max="10498" width="6.21875" style="2969" customWidth="1"/>
    <col min="10499" max="10499" width="7.88671875" style="2969" customWidth="1"/>
    <col min="10500" max="10501" width="13.88671875" style="2969" customWidth="1"/>
    <col min="10502" max="10502" width="6.21875" style="2969" customWidth="1"/>
    <col min="10503" max="10503" width="7.88671875" style="2969" customWidth="1"/>
    <col min="10504" max="10504" width="13.44140625" style="2969" customWidth="1"/>
    <col min="10505" max="10506" width="9" style="2969" customWidth="1"/>
    <col min="10507" max="10508" width="10.6640625" style="2969" customWidth="1"/>
    <col min="10509" max="10509" width="14.33203125" style="2969" customWidth="1"/>
    <col min="10510" max="10510" width="6.21875" style="2969" customWidth="1"/>
    <col min="10511" max="10511" width="26.109375" style="2969" customWidth="1"/>
    <col min="10512" max="10512" width="7.88671875" style="2969" customWidth="1"/>
    <col min="10513" max="10752" width="9" style="2969"/>
    <col min="10753" max="10753" width="41.33203125" style="2969" customWidth="1"/>
    <col min="10754" max="10754" width="6.21875" style="2969" customWidth="1"/>
    <col min="10755" max="10755" width="7.88671875" style="2969" customWidth="1"/>
    <col min="10756" max="10757" width="13.88671875" style="2969" customWidth="1"/>
    <col min="10758" max="10758" width="6.21875" style="2969" customWidth="1"/>
    <col min="10759" max="10759" width="7.88671875" style="2969" customWidth="1"/>
    <col min="10760" max="10760" width="13.44140625" style="2969" customWidth="1"/>
    <col min="10761" max="10762" width="9" style="2969" customWidth="1"/>
    <col min="10763" max="10764" width="10.6640625" style="2969" customWidth="1"/>
    <col min="10765" max="10765" width="14.33203125" style="2969" customWidth="1"/>
    <col min="10766" max="10766" width="6.21875" style="2969" customWidth="1"/>
    <col min="10767" max="10767" width="26.109375" style="2969" customWidth="1"/>
    <col min="10768" max="10768" width="7.88671875" style="2969" customWidth="1"/>
    <col min="10769" max="11008" width="9" style="2969"/>
    <col min="11009" max="11009" width="41.33203125" style="2969" customWidth="1"/>
    <col min="11010" max="11010" width="6.21875" style="2969" customWidth="1"/>
    <col min="11011" max="11011" width="7.88671875" style="2969" customWidth="1"/>
    <col min="11012" max="11013" width="13.88671875" style="2969" customWidth="1"/>
    <col min="11014" max="11014" width="6.21875" style="2969" customWidth="1"/>
    <col min="11015" max="11015" width="7.88671875" style="2969" customWidth="1"/>
    <col min="11016" max="11016" width="13.44140625" style="2969" customWidth="1"/>
    <col min="11017" max="11018" width="9" style="2969" customWidth="1"/>
    <col min="11019" max="11020" width="10.6640625" style="2969" customWidth="1"/>
    <col min="11021" max="11021" width="14.33203125" style="2969" customWidth="1"/>
    <col min="11022" max="11022" width="6.21875" style="2969" customWidth="1"/>
    <col min="11023" max="11023" width="26.109375" style="2969" customWidth="1"/>
    <col min="11024" max="11024" width="7.88671875" style="2969" customWidth="1"/>
    <col min="11025" max="11264" width="9" style="2969"/>
    <col min="11265" max="11265" width="41.33203125" style="2969" customWidth="1"/>
    <col min="11266" max="11266" width="6.21875" style="2969" customWidth="1"/>
    <col min="11267" max="11267" width="7.88671875" style="2969" customWidth="1"/>
    <col min="11268" max="11269" width="13.88671875" style="2969" customWidth="1"/>
    <col min="11270" max="11270" width="6.21875" style="2969" customWidth="1"/>
    <col min="11271" max="11271" width="7.88671875" style="2969" customWidth="1"/>
    <col min="11272" max="11272" width="13.44140625" style="2969" customWidth="1"/>
    <col min="11273" max="11274" width="9" style="2969" customWidth="1"/>
    <col min="11275" max="11276" width="10.6640625" style="2969" customWidth="1"/>
    <col min="11277" max="11277" width="14.33203125" style="2969" customWidth="1"/>
    <col min="11278" max="11278" width="6.21875" style="2969" customWidth="1"/>
    <col min="11279" max="11279" width="26.109375" style="2969" customWidth="1"/>
    <col min="11280" max="11280" width="7.88671875" style="2969" customWidth="1"/>
    <col min="11281" max="11520" width="9" style="2969"/>
    <col min="11521" max="11521" width="41.33203125" style="2969" customWidth="1"/>
    <col min="11522" max="11522" width="6.21875" style="2969" customWidth="1"/>
    <col min="11523" max="11523" width="7.88671875" style="2969" customWidth="1"/>
    <col min="11524" max="11525" width="13.88671875" style="2969" customWidth="1"/>
    <col min="11526" max="11526" width="6.21875" style="2969" customWidth="1"/>
    <col min="11527" max="11527" width="7.88671875" style="2969" customWidth="1"/>
    <col min="11528" max="11528" width="13.44140625" style="2969" customWidth="1"/>
    <col min="11529" max="11530" width="9" style="2969" customWidth="1"/>
    <col min="11531" max="11532" width="10.6640625" style="2969" customWidth="1"/>
    <col min="11533" max="11533" width="14.33203125" style="2969" customWidth="1"/>
    <col min="11534" max="11534" width="6.21875" style="2969" customWidth="1"/>
    <col min="11535" max="11535" width="26.109375" style="2969" customWidth="1"/>
    <col min="11536" max="11536" width="7.88671875" style="2969" customWidth="1"/>
    <col min="11537" max="11776" width="9" style="2969"/>
    <col min="11777" max="11777" width="41.33203125" style="2969" customWidth="1"/>
    <col min="11778" max="11778" width="6.21875" style="2969" customWidth="1"/>
    <col min="11779" max="11779" width="7.88671875" style="2969" customWidth="1"/>
    <col min="11780" max="11781" width="13.88671875" style="2969" customWidth="1"/>
    <col min="11782" max="11782" width="6.21875" style="2969" customWidth="1"/>
    <col min="11783" max="11783" width="7.88671875" style="2969" customWidth="1"/>
    <col min="11784" max="11784" width="13.44140625" style="2969" customWidth="1"/>
    <col min="11785" max="11786" width="9" style="2969" customWidth="1"/>
    <col min="11787" max="11788" width="10.6640625" style="2969" customWidth="1"/>
    <col min="11789" max="11789" width="14.33203125" style="2969" customWidth="1"/>
    <col min="11790" max="11790" width="6.21875" style="2969" customWidth="1"/>
    <col min="11791" max="11791" width="26.109375" style="2969" customWidth="1"/>
    <col min="11792" max="11792" width="7.88671875" style="2969" customWidth="1"/>
    <col min="11793" max="12032" width="9" style="2969"/>
    <col min="12033" max="12033" width="41.33203125" style="2969" customWidth="1"/>
    <col min="12034" max="12034" width="6.21875" style="2969" customWidth="1"/>
    <col min="12035" max="12035" width="7.88671875" style="2969" customWidth="1"/>
    <col min="12036" max="12037" width="13.88671875" style="2969" customWidth="1"/>
    <col min="12038" max="12038" width="6.21875" style="2969" customWidth="1"/>
    <col min="12039" max="12039" width="7.88671875" style="2969" customWidth="1"/>
    <col min="12040" max="12040" width="13.44140625" style="2969" customWidth="1"/>
    <col min="12041" max="12042" width="9" style="2969" customWidth="1"/>
    <col min="12043" max="12044" width="10.6640625" style="2969" customWidth="1"/>
    <col min="12045" max="12045" width="14.33203125" style="2969" customWidth="1"/>
    <col min="12046" max="12046" width="6.21875" style="2969" customWidth="1"/>
    <col min="12047" max="12047" width="26.109375" style="2969" customWidth="1"/>
    <col min="12048" max="12048" width="7.88671875" style="2969" customWidth="1"/>
    <col min="12049" max="12288" width="9" style="2969"/>
    <col min="12289" max="12289" width="41.33203125" style="2969" customWidth="1"/>
    <col min="12290" max="12290" width="6.21875" style="2969" customWidth="1"/>
    <col min="12291" max="12291" width="7.88671875" style="2969" customWidth="1"/>
    <col min="12292" max="12293" width="13.88671875" style="2969" customWidth="1"/>
    <col min="12294" max="12294" width="6.21875" style="2969" customWidth="1"/>
    <col min="12295" max="12295" width="7.88671875" style="2969" customWidth="1"/>
    <col min="12296" max="12296" width="13.44140625" style="2969" customWidth="1"/>
    <col min="12297" max="12298" width="9" style="2969" customWidth="1"/>
    <col min="12299" max="12300" width="10.6640625" style="2969" customWidth="1"/>
    <col min="12301" max="12301" width="14.33203125" style="2969" customWidth="1"/>
    <col min="12302" max="12302" width="6.21875" style="2969" customWidth="1"/>
    <col min="12303" max="12303" width="26.109375" style="2969" customWidth="1"/>
    <col min="12304" max="12304" width="7.88671875" style="2969" customWidth="1"/>
    <col min="12305" max="12544" width="9" style="2969"/>
    <col min="12545" max="12545" width="41.33203125" style="2969" customWidth="1"/>
    <col min="12546" max="12546" width="6.21875" style="2969" customWidth="1"/>
    <col min="12547" max="12547" width="7.88671875" style="2969" customWidth="1"/>
    <col min="12548" max="12549" width="13.88671875" style="2969" customWidth="1"/>
    <col min="12550" max="12550" width="6.21875" style="2969" customWidth="1"/>
    <col min="12551" max="12551" width="7.88671875" style="2969" customWidth="1"/>
    <col min="12552" max="12552" width="13.44140625" style="2969" customWidth="1"/>
    <col min="12553" max="12554" width="9" style="2969" customWidth="1"/>
    <col min="12555" max="12556" width="10.6640625" style="2969" customWidth="1"/>
    <col min="12557" max="12557" width="14.33203125" style="2969" customWidth="1"/>
    <col min="12558" max="12558" width="6.21875" style="2969" customWidth="1"/>
    <col min="12559" max="12559" width="26.109375" style="2969" customWidth="1"/>
    <col min="12560" max="12560" width="7.88671875" style="2969" customWidth="1"/>
    <col min="12561" max="12800" width="9" style="2969"/>
    <col min="12801" max="12801" width="41.33203125" style="2969" customWidth="1"/>
    <col min="12802" max="12802" width="6.21875" style="2969" customWidth="1"/>
    <col min="12803" max="12803" width="7.88671875" style="2969" customWidth="1"/>
    <col min="12804" max="12805" width="13.88671875" style="2969" customWidth="1"/>
    <col min="12806" max="12806" width="6.21875" style="2969" customWidth="1"/>
    <col min="12807" max="12807" width="7.88671875" style="2969" customWidth="1"/>
    <col min="12808" max="12808" width="13.44140625" style="2969" customWidth="1"/>
    <col min="12809" max="12810" width="9" style="2969" customWidth="1"/>
    <col min="12811" max="12812" width="10.6640625" style="2969" customWidth="1"/>
    <col min="12813" max="12813" width="14.33203125" style="2969" customWidth="1"/>
    <col min="12814" max="12814" width="6.21875" style="2969" customWidth="1"/>
    <col min="12815" max="12815" width="26.109375" style="2969" customWidth="1"/>
    <col min="12816" max="12816" width="7.88671875" style="2969" customWidth="1"/>
    <col min="12817" max="13056" width="9" style="2969"/>
    <col min="13057" max="13057" width="41.33203125" style="2969" customWidth="1"/>
    <col min="13058" max="13058" width="6.21875" style="2969" customWidth="1"/>
    <col min="13059" max="13059" width="7.88671875" style="2969" customWidth="1"/>
    <col min="13060" max="13061" width="13.88671875" style="2969" customWidth="1"/>
    <col min="13062" max="13062" width="6.21875" style="2969" customWidth="1"/>
    <col min="13063" max="13063" width="7.88671875" style="2969" customWidth="1"/>
    <col min="13064" max="13064" width="13.44140625" style="2969" customWidth="1"/>
    <col min="13065" max="13066" width="9" style="2969" customWidth="1"/>
    <col min="13067" max="13068" width="10.6640625" style="2969" customWidth="1"/>
    <col min="13069" max="13069" width="14.33203125" style="2969" customWidth="1"/>
    <col min="13070" max="13070" width="6.21875" style="2969" customWidth="1"/>
    <col min="13071" max="13071" width="26.109375" style="2969" customWidth="1"/>
    <col min="13072" max="13072" width="7.88671875" style="2969" customWidth="1"/>
    <col min="13073" max="13312" width="9" style="2969"/>
    <col min="13313" max="13313" width="41.33203125" style="2969" customWidth="1"/>
    <col min="13314" max="13314" width="6.21875" style="2969" customWidth="1"/>
    <col min="13315" max="13315" width="7.88671875" style="2969" customWidth="1"/>
    <col min="13316" max="13317" width="13.88671875" style="2969" customWidth="1"/>
    <col min="13318" max="13318" width="6.21875" style="2969" customWidth="1"/>
    <col min="13319" max="13319" width="7.88671875" style="2969" customWidth="1"/>
    <col min="13320" max="13320" width="13.44140625" style="2969" customWidth="1"/>
    <col min="13321" max="13322" width="9" style="2969" customWidth="1"/>
    <col min="13323" max="13324" width="10.6640625" style="2969" customWidth="1"/>
    <col min="13325" max="13325" width="14.33203125" style="2969" customWidth="1"/>
    <col min="13326" max="13326" width="6.21875" style="2969" customWidth="1"/>
    <col min="13327" max="13327" width="26.109375" style="2969" customWidth="1"/>
    <col min="13328" max="13328" width="7.88671875" style="2969" customWidth="1"/>
    <col min="13329" max="13568" width="9" style="2969"/>
    <col min="13569" max="13569" width="41.33203125" style="2969" customWidth="1"/>
    <col min="13570" max="13570" width="6.21875" style="2969" customWidth="1"/>
    <col min="13571" max="13571" width="7.88671875" style="2969" customWidth="1"/>
    <col min="13572" max="13573" width="13.88671875" style="2969" customWidth="1"/>
    <col min="13574" max="13574" width="6.21875" style="2969" customWidth="1"/>
    <col min="13575" max="13575" width="7.88671875" style="2969" customWidth="1"/>
    <col min="13576" max="13576" width="13.44140625" style="2969" customWidth="1"/>
    <col min="13577" max="13578" width="9" style="2969" customWidth="1"/>
    <col min="13579" max="13580" width="10.6640625" style="2969" customWidth="1"/>
    <col min="13581" max="13581" width="14.33203125" style="2969" customWidth="1"/>
    <col min="13582" max="13582" width="6.21875" style="2969" customWidth="1"/>
    <col min="13583" max="13583" width="26.109375" style="2969" customWidth="1"/>
    <col min="13584" max="13584" width="7.88671875" style="2969" customWidth="1"/>
    <col min="13585" max="13824" width="9" style="2969"/>
    <col min="13825" max="13825" width="41.33203125" style="2969" customWidth="1"/>
    <col min="13826" max="13826" width="6.21875" style="2969" customWidth="1"/>
    <col min="13827" max="13827" width="7.88671875" style="2969" customWidth="1"/>
    <col min="13828" max="13829" width="13.88671875" style="2969" customWidth="1"/>
    <col min="13830" max="13830" width="6.21875" style="2969" customWidth="1"/>
    <col min="13831" max="13831" width="7.88671875" style="2969" customWidth="1"/>
    <col min="13832" max="13832" width="13.44140625" style="2969" customWidth="1"/>
    <col min="13833" max="13834" width="9" style="2969" customWidth="1"/>
    <col min="13835" max="13836" width="10.6640625" style="2969" customWidth="1"/>
    <col min="13837" max="13837" width="14.33203125" style="2969" customWidth="1"/>
    <col min="13838" max="13838" width="6.21875" style="2969" customWidth="1"/>
    <col min="13839" max="13839" width="26.109375" style="2969" customWidth="1"/>
    <col min="13840" max="13840" width="7.88671875" style="2969" customWidth="1"/>
    <col min="13841" max="14080" width="9" style="2969"/>
    <col min="14081" max="14081" width="41.33203125" style="2969" customWidth="1"/>
    <col min="14082" max="14082" width="6.21875" style="2969" customWidth="1"/>
    <col min="14083" max="14083" width="7.88671875" style="2969" customWidth="1"/>
    <col min="14084" max="14085" width="13.88671875" style="2969" customWidth="1"/>
    <col min="14086" max="14086" width="6.21875" style="2969" customWidth="1"/>
    <col min="14087" max="14087" width="7.88671875" style="2969" customWidth="1"/>
    <col min="14088" max="14088" width="13.44140625" style="2969" customWidth="1"/>
    <col min="14089" max="14090" width="9" style="2969" customWidth="1"/>
    <col min="14091" max="14092" width="10.6640625" style="2969" customWidth="1"/>
    <col min="14093" max="14093" width="14.33203125" style="2969" customWidth="1"/>
    <col min="14094" max="14094" width="6.21875" style="2969" customWidth="1"/>
    <col min="14095" max="14095" width="26.109375" style="2969" customWidth="1"/>
    <col min="14096" max="14096" width="7.88671875" style="2969" customWidth="1"/>
    <col min="14097" max="14336" width="9" style="2969"/>
    <col min="14337" max="14337" width="41.33203125" style="2969" customWidth="1"/>
    <col min="14338" max="14338" width="6.21875" style="2969" customWidth="1"/>
    <col min="14339" max="14339" width="7.88671875" style="2969" customWidth="1"/>
    <col min="14340" max="14341" width="13.88671875" style="2969" customWidth="1"/>
    <col min="14342" max="14342" width="6.21875" style="2969" customWidth="1"/>
    <col min="14343" max="14343" width="7.88671875" style="2969" customWidth="1"/>
    <col min="14344" max="14344" width="13.44140625" style="2969" customWidth="1"/>
    <col min="14345" max="14346" width="9" style="2969" customWidth="1"/>
    <col min="14347" max="14348" width="10.6640625" style="2969" customWidth="1"/>
    <col min="14349" max="14349" width="14.33203125" style="2969" customWidth="1"/>
    <col min="14350" max="14350" width="6.21875" style="2969" customWidth="1"/>
    <col min="14351" max="14351" width="26.109375" style="2969" customWidth="1"/>
    <col min="14352" max="14352" width="7.88671875" style="2969" customWidth="1"/>
    <col min="14353" max="14592" width="9" style="2969"/>
    <col min="14593" max="14593" width="41.33203125" style="2969" customWidth="1"/>
    <col min="14594" max="14594" width="6.21875" style="2969" customWidth="1"/>
    <col min="14595" max="14595" width="7.88671875" style="2969" customWidth="1"/>
    <col min="14596" max="14597" width="13.88671875" style="2969" customWidth="1"/>
    <col min="14598" max="14598" width="6.21875" style="2969" customWidth="1"/>
    <col min="14599" max="14599" width="7.88671875" style="2969" customWidth="1"/>
    <col min="14600" max="14600" width="13.44140625" style="2969" customWidth="1"/>
    <col min="14601" max="14602" width="9" style="2969" customWidth="1"/>
    <col min="14603" max="14604" width="10.6640625" style="2969" customWidth="1"/>
    <col min="14605" max="14605" width="14.33203125" style="2969" customWidth="1"/>
    <col min="14606" max="14606" width="6.21875" style="2969" customWidth="1"/>
    <col min="14607" max="14607" width="26.109375" style="2969" customWidth="1"/>
    <col min="14608" max="14608" width="7.88671875" style="2969" customWidth="1"/>
    <col min="14609" max="14848" width="9" style="2969"/>
    <col min="14849" max="14849" width="41.33203125" style="2969" customWidth="1"/>
    <col min="14850" max="14850" width="6.21875" style="2969" customWidth="1"/>
    <col min="14851" max="14851" width="7.88671875" style="2969" customWidth="1"/>
    <col min="14852" max="14853" width="13.88671875" style="2969" customWidth="1"/>
    <col min="14854" max="14854" width="6.21875" style="2969" customWidth="1"/>
    <col min="14855" max="14855" width="7.88671875" style="2969" customWidth="1"/>
    <col min="14856" max="14856" width="13.44140625" style="2969" customWidth="1"/>
    <col min="14857" max="14858" width="9" style="2969" customWidth="1"/>
    <col min="14859" max="14860" width="10.6640625" style="2969" customWidth="1"/>
    <col min="14861" max="14861" width="14.33203125" style="2969" customWidth="1"/>
    <col min="14862" max="14862" width="6.21875" style="2969" customWidth="1"/>
    <col min="14863" max="14863" width="26.109375" style="2969" customWidth="1"/>
    <col min="14864" max="14864" width="7.88671875" style="2969" customWidth="1"/>
    <col min="14865" max="15104" width="9" style="2969"/>
    <col min="15105" max="15105" width="41.33203125" style="2969" customWidth="1"/>
    <col min="15106" max="15106" width="6.21875" style="2969" customWidth="1"/>
    <col min="15107" max="15107" width="7.88671875" style="2969" customWidth="1"/>
    <col min="15108" max="15109" width="13.88671875" style="2969" customWidth="1"/>
    <col min="15110" max="15110" width="6.21875" style="2969" customWidth="1"/>
    <col min="15111" max="15111" width="7.88671875" style="2969" customWidth="1"/>
    <col min="15112" max="15112" width="13.44140625" style="2969" customWidth="1"/>
    <col min="15113" max="15114" width="9" style="2969" customWidth="1"/>
    <col min="15115" max="15116" width="10.6640625" style="2969" customWidth="1"/>
    <col min="15117" max="15117" width="14.33203125" style="2969" customWidth="1"/>
    <col min="15118" max="15118" width="6.21875" style="2969" customWidth="1"/>
    <col min="15119" max="15119" width="26.109375" style="2969" customWidth="1"/>
    <col min="15120" max="15120" width="7.88671875" style="2969" customWidth="1"/>
    <col min="15121" max="15360" width="9" style="2969"/>
    <col min="15361" max="15361" width="41.33203125" style="2969" customWidth="1"/>
    <col min="15362" max="15362" width="6.21875" style="2969" customWidth="1"/>
    <col min="15363" max="15363" width="7.88671875" style="2969" customWidth="1"/>
    <col min="15364" max="15365" width="13.88671875" style="2969" customWidth="1"/>
    <col min="15366" max="15366" width="6.21875" style="2969" customWidth="1"/>
    <col min="15367" max="15367" width="7.88671875" style="2969" customWidth="1"/>
    <col min="15368" max="15368" width="13.44140625" style="2969" customWidth="1"/>
    <col min="15369" max="15370" width="9" style="2969" customWidth="1"/>
    <col min="15371" max="15372" width="10.6640625" style="2969" customWidth="1"/>
    <col min="15373" max="15373" width="14.33203125" style="2969" customWidth="1"/>
    <col min="15374" max="15374" width="6.21875" style="2969" customWidth="1"/>
    <col min="15375" max="15375" width="26.109375" style="2969" customWidth="1"/>
    <col min="15376" max="15376" width="7.88671875" style="2969" customWidth="1"/>
    <col min="15377" max="15616" width="9" style="2969"/>
    <col min="15617" max="15617" width="41.33203125" style="2969" customWidth="1"/>
    <col min="15618" max="15618" width="6.21875" style="2969" customWidth="1"/>
    <col min="15619" max="15619" width="7.88671875" style="2969" customWidth="1"/>
    <col min="15620" max="15621" width="13.88671875" style="2969" customWidth="1"/>
    <col min="15622" max="15622" width="6.21875" style="2969" customWidth="1"/>
    <col min="15623" max="15623" width="7.88671875" style="2969" customWidth="1"/>
    <col min="15624" max="15624" width="13.44140625" style="2969" customWidth="1"/>
    <col min="15625" max="15626" width="9" style="2969" customWidth="1"/>
    <col min="15627" max="15628" width="10.6640625" style="2969" customWidth="1"/>
    <col min="15629" max="15629" width="14.33203125" style="2969" customWidth="1"/>
    <col min="15630" max="15630" width="6.21875" style="2969" customWidth="1"/>
    <col min="15631" max="15631" width="26.109375" style="2969" customWidth="1"/>
    <col min="15632" max="15632" width="7.88671875" style="2969" customWidth="1"/>
    <col min="15633" max="15872" width="9" style="2969"/>
    <col min="15873" max="15873" width="41.33203125" style="2969" customWidth="1"/>
    <col min="15874" max="15874" width="6.21875" style="2969" customWidth="1"/>
    <col min="15875" max="15875" width="7.88671875" style="2969" customWidth="1"/>
    <col min="15876" max="15877" width="13.88671875" style="2969" customWidth="1"/>
    <col min="15878" max="15878" width="6.21875" style="2969" customWidth="1"/>
    <col min="15879" max="15879" width="7.88671875" style="2969" customWidth="1"/>
    <col min="15880" max="15880" width="13.44140625" style="2969" customWidth="1"/>
    <col min="15881" max="15882" width="9" style="2969" customWidth="1"/>
    <col min="15883" max="15884" width="10.6640625" style="2969" customWidth="1"/>
    <col min="15885" max="15885" width="14.33203125" style="2969" customWidth="1"/>
    <col min="15886" max="15886" width="6.21875" style="2969" customWidth="1"/>
    <col min="15887" max="15887" width="26.109375" style="2969" customWidth="1"/>
    <col min="15888" max="15888" width="7.88671875" style="2969" customWidth="1"/>
    <col min="15889" max="16128" width="9" style="2969"/>
    <col min="16129" max="16129" width="41.33203125" style="2969" customWidth="1"/>
    <col min="16130" max="16130" width="6.21875" style="2969" customWidth="1"/>
    <col min="16131" max="16131" width="7.88671875" style="2969" customWidth="1"/>
    <col min="16132" max="16133" width="13.88671875" style="2969" customWidth="1"/>
    <col min="16134" max="16134" width="6.21875" style="2969" customWidth="1"/>
    <col min="16135" max="16135" width="7.88671875" style="2969" customWidth="1"/>
    <col min="16136" max="16136" width="13.44140625" style="2969" customWidth="1"/>
    <col min="16137" max="16138" width="9" style="2969" customWidth="1"/>
    <col min="16139" max="16140" width="10.6640625" style="2969" customWidth="1"/>
    <col min="16141" max="16141" width="14.33203125" style="2969" customWidth="1"/>
    <col min="16142" max="16142" width="6.21875" style="2969" customWidth="1"/>
    <col min="16143" max="16143" width="26.109375" style="2969" customWidth="1"/>
    <col min="16144" max="16144" width="7.88671875" style="2969" customWidth="1"/>
    <col min="16145" max="16384" width="9" style="2969"/>
  </cols>
  <sheetData>
    <row r="1" spans="1:16">
      <c r="A1" s="2969" t="s">
        <v>3100</v>
      </c>
      <c r="B1" s="2969" t="s">
        <v>3101</v>
      </c>
      <c r="C1" s="2969" t="s">
        <v>3102</v>
      </c>
      <c r="D1" s="2969" t="s">
        <v>3103</v>
      </c>
      <c r="E1" s="2969" t="s">
        <v>3104</v>
      </c>
      <c r="F1" s="2969" t="s">
        <v>3105</v>
      </c>
      <c r="G1" s="2969" t="s">
        <v>3106</v>
      </c>
      <c r="H1" s="2969" t="s">
        <v>3107</v>
      </c>
      <c r="I1" s="2969" t="s">
        <v>3108</v>
      </c>
      <c r="J1" s="2969" t="s">
        <v>3109</v>
      </c>
      <c r="K1" s="2969" t="s">
        <v>3110</v>
      </c>
      <c r="L1" s="2969" t="s">
        <v>3111</v>
      </c>
      <c r="M1" s="2969" t="s">
        <v>3112</v>
      </c>
      <c r="N1" s="2969" t="s">
        <v>3113</v>
      </c>
      <c r="O1" s="2969" t="s">
        <v>3114</v>
      </c>
      <c r="P1" s="2969" t="s">
        <v>3115</v>
      </c>
    </row>
    <row r="2" spans="1:16">
      <c r="A2" s="2969" t="s">
        <v>3116</v>
      </c>
      <c r="B2" s="2969" t="s">
        <v>3060</v>
      </c>
      <c r="C2" s="2969" t="s">
        <v>3085</v>
      </c>
      <c r="D2" s="2969">
        <v>19340</v>
      </c>
      <c r="E2" s="2969">
        <v>34812</v>
      </c>
      <c r="F2" s="2969" t="s">
        <v>3117</v>
      </c>
      <c r="G2" s="2969" t="s">
        <v>3118</v>
      </c>
      <c r="H2" s="2969" t="s">
        <v>3119</v>
      </c>
      <c r="I2" s="2969" t="s">
        <v>3120</v>
      </c>
      <c r="J2" s="2969" t="s">
        <v>3120</v>
      </c>
      <c r="K2" s="2969">
        <v>5764.86</v>
      </c>
      <c r="L2" s="2969">
        <v>5764.86</v>
      </c>
      <c r="M2" s="2969">
        <v>1656</v>
      </c>
      <c r="N2" s="2969">
        <v>0</v>
      </c>
      <c r="O2" s="2969" t="s">
        <v>3121</v>
      </c>
      <c r="P2" s="2969" t="s">
        <v>3122</v>
      </c>
    </row>
    <row r="3" spans="1:16">
      <c r="A3" s="2969" t="s">
        <v>3123</v>
      </c>
      <c r="B3" s="2969" t="s">
        <v>3060</v>
      </c>
      <c r="C3" s="2969" t="s">
        <v>3085</v>
      </c>
      <c r="D3" s="2969">
        <v>16697.47</v>
      </c>
      <c r="E3" s="2969">
        <v>30055</v>
      </c>
      <c r="F3" s="2969">
        <v>1.8</v>
      </c>
      <c r="G3" s="2969" t="s">
        <v>3118</v>
      </c>
      <c r="H3" s="2969" t="s">
        <v>3124</v>
      </c>
      <c r="I3" s="2969" t="s">
        <v>3125</v>
      </c>
      <c r="J3" s="2969" t="s">
        <v>3125</v>
      </c>
      <c r="K3" s="2969">
        <v>4977.1000000000004</v>
      </c>
      <c r="L3" s="2969">
        <v>4977.1000000000004</v>
      </c>
      <c r="M3" s="2969">
        <v>1656</v>
      </c>
      <c r="N3" s="2969">
        <v>0</v>
      </c>
      <c r="O3" s="2969" t="s">
        <v>3126</v>
      </c>
      <c r="P3" s="2969" t="s">
        <v>3122</v>
      </c>
    </row>
    <row r="4" spans="1:16">
      <c r="A4" s="2969" t="s">
        <v>3127</v>
      </c>
      <c r="B4" s="2969" t="s">
        <v>3060</v>
      </c>
      <c r="C4" s="2969" t="s">
        <v>3085</v>
      </c>
      <c r="D4" s="2969">
        <v>46618.33</v>
      </c>
      <c r="E4" s="2969">
        <v>93237</v>
      </c>
      <c r="F4" s="2969">
        <v>2</v>
      </c>
      <c r="G4" s="2969" t="s">
        <v>3118</v>
      </c>
      <c r="H4" s="2969" t="s">
        <v>3124</v>
      </c>
      <c r="I4" s="2969" t="s">
        <v>3128</v>
      </c>
      <c r="J4" s="2969" t="s">
        <v>3128</v>
      </c>
      <c r="K4" s="2969">
        <v>16204.59</v>
      </c>
      <c r="L4" s="2969">
        <v>16204.59</v>
      </c>
      <c r="M4" s="2969">
        <v>1738</v>
      </c>
      <c r="N4" s="2969">
        <v>0</v>
      </c>
      <c r="O4" s="2969" t="s">
        <v>3129</v>
      </c>
      <c r="P4" s="2969" t="s">
        <v>3122</v>
      </c>
    </row>
    <row r="5" spans="1:16">
      <c r="A5" s="2969" t="s">
        <v>3130</v>
      </c>
      <c r="B5" s="2969" t="s">
        <v>3060</v>
      </c>
      <c r="C5" s="2969" t="s">
        <v>3085</v>
      </c>
      <c r="D5" s="2969">
        <v>8700</v>
      </c>
      <c r="E5" s="2969">
        <v>15660</v>
      </c>
      <c r="F5" s="2969">
        <v>1.8</v>
      </c>
      <c r="G5" s="2969" t="s">
        <v>3118</v>
      </c>
      <c r="H5" s="2969" t="s">
        <v>3124</v>
      </c>
      <c r="I5" s="2969" t="s">
        <v>3128</v>
      </c>
      <c r="J5" s="2969" t="s">
        <v>3128</v>
      </c>
      <c r="K5" s="2969">
        <v>2593.3000000000002</v>
      </c>
      <c r="L5" s="2969">
        <v>2593.3000000000002</v>
      </c>
      <c r="M5" s="2969">
        <v>1656</v>
      </c>
      <c r="N5" s="2969">
        <v>0</v>
      </c>
      <c r="O5" s="2969" t="s">
        <v>3131</v>
      </c>
      <c r="P5" s="2969" t="s">
        <v>3122</v>
      </c>
    </row>
    <row r="6" spans="1:16">
      <c r="A6" s="2969" t="s">
        <v>3132</v>
      </c>
      <c r="B6" s="2969" t="s">
        <v>3060</v>
      </c>
      <c r="C6" s="2969" t="s">
        <v>3085</v>
      </c>
      <c r="D6" s="2969">
        <v>4280.58</v>
      </c>
      <c r="E6" s="2969">
        <v>3424</v>
      </c>
      <c r="F6" s="2969">
        <v>0.8</v>
      </c>
      <c r="G6" s="2969" t="s">
        <v>3118</v>
      </c>
      <c r="H6" s="2969" t="s">
        <v>3133</v>
      </c>
      <c r="I6" s="2969" t="s">
        <v>3134</v>
      </c>
      <c r="J6" s="2969" t="s">
        <v>3134</v>
      </c>
      <c r="K6" s="2969">
        <v>642.09</v>
      </c>
      <c r="L6" s="2969">
        <v>642.09</v>
      </c>
      <c r="M6" s="2969">
        <v>1875.25</v>
      </c>
      <c r="N6" s="2969">
        <v>0</v>
      </c>
      <c r="O6" s="2969" t="s">
        <v>3135</v>
      </c>
      <c r="P6" s="2969" t="s">
        <v>3122</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J48" sqref="J4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29820</v>
      </c>
      <c r="C2" s="1834" t="s">
        <v>1510</v>
      </c>
      <c r="D2" s="1834"/>
      <c r="E2" s="1835"/>
      <c r="F2" s="1836"/>
      <c r="G2" s="1837"/>
      <c r="H2" s="1829"/>
      <c r="I2" s="1829"/>
      <c r="J2" s="1829"/>
      <c r="K2" s="1830"/>
      <c r="L2" s="1829"/>
      <c r="M2" s="1829"/>
    </row>
    <row r="3" spans="1:37" ht="18" customHeight="1" thickBot="1">
      <c r="A3" s="1838" t="s">
        <v>1511</v>
      </c>
      <c r="B3" s="1839">
        <f ca="1">IF(ISERROR(B2*10000/F43),0,ROUND(B2*10000/F43,0))</f>
        <v>4780</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2667</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2664</v>
      </c>
      <c r="D6" s="162" t="s">
        <v>3028</v>
      </c>
      <c r="E6" s="345" t="s">
        <v>1399</v>
      </c>
      <c r="F6" s="346">
        <f ca="1">INDIRECT("'数据-取费表'!u"&amp;$G$1)</f>
        <v>1.3</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62390.71</v>
      </c>
      <c r="G7" s="1840"/>
      <c r="H7" s="347"/>
      <c r="I7" s="3241"/>
      <c r="J7" s="349"/>
      <c r="K7" s="350"/>
      <c r="L7" s="345" t="s">
        <v>1400</v>
      </c>
      <c r="M7" s="346">
        <f ca="1">F7</f>
        <v>62390.71</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3</v>
      </c>
      <c r="D10" s="1813" t="s">
        <v>3037</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19851</v>
      </c>
      <c r="D13" s="1328" t="s">
        <v>1409</v>
      </c>
      <c r="E13" s="1328" t="s">
        <v>1410</v>
      </c>
      <c r="F13" s="1329">
        <f ca="1">INDIRECT("'数据-取费表'!y"&amp;$G$1)</f>
        <v>0.81</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16845</v>
      </c>
      <c r="D14" s="1789" t="s">
        <v>1412</v>
      </c>
      <c r="E14" s="1783"/>
      <c r="F14" s="362"/>
      <c r="G14" s="1840"/>
      <c r="H14" s="1198" t="s">
        <v>1031</v>
      </c>
      <c r="I14" s="345" t="s">
        <v>1413</v>
      </c>
      <c r="J14" s="24">
        <f ca="1">C29</f>
        <v>24507</v>
      </c>
      <c r="K14" s="15"/>
      <c r="L14" s="976"/>
      <c r="M14" s="977"/>
    </row>
    <row r="15" spans="1:37" s="1847" customFormat="1" ht="18" customHeight="1" thickBot="1">
      <c r="A15" s="1198" t="s">
        <v>1032</v>
      </c>
      <c r="B15" s="345" t="s">
        <v>1414</v>
      </c>
      <c r="C15" s="24">
        <f ca="1">ROUND(C14*F15,0)</f>
        <v>505</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419</v>
      </c>
      <c r="K16" s="1334" t="s">
        <v>1419</v>
      </c>
      <c r="L16" s="1335"/>
      <c r="M16" s="1291"/>
    </row>
    <row r="17" spans="1:37" s="1847" customFormat="1" ht="18" customHeight="1">
      <c r="A17" s="1198" t="s">
        <v>1384</v>
      </c>
      <c r="B17" s="345" t="s">
        <v>1420</v>
      </c>
      <c r="C17" s="24">
        <f ca="1">ROUND(F17*(F43+INDIRECT("'数据-取费表'!S"&amp;$G$1))/10000,0)</f>
        <v>1123</v>
      </c>
      <c r="D17" s="345" t="s">
        <v>1421</v>
      </c>
      <c r="E17" s="345" t="s">
        <v>1422</v>
      </c>
      <c r="F17" s="26">
        <f>'数据-取费表'!B35</f>
        <v>180</v>
      </c>
      <c r="G17" s="1843"/>
      <c r="H17" s="1198" t="s">
        <v>1031</v>
      </c>
      <c r="I17" s="345" t="s">
        <v>1423</v>
      </c>
      <c r="J17" s="24">
        <f ca="1">ROUND(IF(项目基本情况!B11="自然人",J6*M17/(1+'数据-取费表'!C42),J18+J19+J20),1)</f>
        <v>222.7</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253</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18726</v>
      </c>
      <c r="D19" s="138" t="s">
        <v>1430</v>
      </c>
      <c r="E19" s="1807"/>
      <c r="F19" s="26"/>
      <c r="G19" s="1840"/>
      <c r="H19" s="1198" t="s">
        <v>1032</v>
      </c>
      <c r="I19" s="345" t="s">
        <v>1431</v>
      </c>
      <c r="J19" s="24">
        <f ca="1">IF(K19="按租金收入计税",ROUND(J6*M19/(1+'数据-取费表'!C42),2),ROUND(C29*M19*0.7,2))</f>
        <v>205.86</v>
      </c>
      <c r="K19" s="1817" t="s">
        <v>1432</v>
      </c>
      <c r="L19" s="345" t="s">
        <v>1416</v>
      </c>
      <c r="M19" s="365">
        <f>IF(K19="按租金收入计税",'数据-取费表'!B51,'数据-取费表'!B50)</f>
        <v>1.2E-2</v>
      </c>
    </row>
    <row r="20" spans="1:37" s="1847" customFormat="1" ht="18" customHeight="1">
      <c r="A20" s="1198" t="s">
        <v>1035</v>
      </c>
      <c r="B20" s="345" t="s">
        <v>1433</v>
      </c>
      <c r="C20" s="24">
        <f ca="1">ROUND(C19*F20,0)</f>
        <v>375</v>
      </c>
      <c r="D20" s="367" t="s">
        <v>1434</v>
      </c>
      <c r="E20" s="345" t="s">
        <v>1416</v>
      </c>
      <c r="F20" s="365">
        <f>'数据-取费表'!B37</f>
        <v>0.02</v>
      </c>
      <c r="G20" s="1843"/>
      <c r="H20" s="1198" t="s">
        <v>1383</v>
      </c>
      <c r="I20" s="162" t="s">
        <v>1435</v>
      </c>
      <c r="J20" s="25">
        <f ca="1">ROUND(M20*M21/10000,2)</f>
        <v>16.850000000000001</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112348.64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196.1</v>
      </c>
      <c r="K22" s="1787" t="s">
        <v>1444</v>
      </c>
      <c r="L22" s="345" t="s">
        <v>1416</v>
      </c>
      <c r="M22" s="372">
        <f ca="1">INDIRECT("'数据-取费表'!Ak"&amp;$G$1)</f>
        <v>8.0000000000000002E-3</v>
      </c>
    </row>
    <row r="23" spans="1:37" s="1847" customFormat="1" ht="18" customHeight="1">
      <c r="A23" s="1198" t="s">
        <v>1030</v>
      </c>
      <c r="B23" s="345" t="s">
        <v>1445</v>
      </c>
      <c r="C23" s="24">
        <f ca="1">IF('数据-取费表'!B22&lt;=1,ROUND(C19*F24*F23/2,0)+ROUND(C20*F24*F23/2,0),ROUND(C19*(POWER((1+F24),F23/2)-1),0)+ROUND(C20*(POWER((1+F24),F23/2)-1),0))</f>
        <v>676</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5.0000000000000001E-3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-419</v>
      </c>
      <c r="K25" s="1342" t="s">
        <v>1458</v>
      </c>
      <c r="L25" s="1343"/>
      <c r="M25" s="1344"/>
    </row>
    <row r="26" spans="1:37">
      <c r="A26" s="1198" t="s">
        <v>1030</v>
      </c>
      <c r="B26" s="345" t="s">
        <v>1459</v>
      </c>
      <c r="C26" s="24">
        <f ca="1">ROUND((C19+C20)*F26,0)</f>
        <v>2865</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24507</v>
      </c>
      <c r="D29" s="1339"/>
      <c r="E29" s="1337"/>
      <c r="F29" s="1340"/>
      <c r="G29" s="1843"/>
      <c r="H29" s="378" t="s">
        <v>1029</v>
      </c>
      <c r="I29" s="379" t="s">
        <v>1473</v>
      </c>
      <c r="J29" s="380">
        <f ca="1">ROUND(J26/(1+F40)^F41,0)</f>
        <v>0</v>
      </c>
      <c r="K29" s="381" t="s">
        <v>1474</v>
      </c>
      <c r="L29" s="382"/>
      <c r="M29" s="383">
        <f ca="1">INDIRECT("'数据-取费表'!k"&amp;$G$1)</f>
        <v>62390.71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690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460.9</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139.54</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304.45999999999998</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16.850000000000001</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112348.64</v>
      </c>
      <c r="G35" s="1840"/>
      <c r="H35" s="742"/>
      <c r="I35" s="1849"/>
      <c r="J35" s="1850"/>
      <c r="K35" s="1851"/>
      <c r="L35" s="1848"/>
      <c r="M35" s="1848"/>
    </row>
    <row r="36" spans="1:18" ht="18" customHeight="1">
      <c r="A36" s="1349" t="s">
        <v>1035</v>
      </c>
      <c r="B36" s="345" t="s">
        <v>1443</v>
      </c>
      <c r="C36" s="24">
        <f ca="1">ROUND(C29*F36,1)</f>
        <v>196.1</v>
      </c>
      <c r="D36" s="1787" t="s">
        <v>1476</v>
      </c>
      <c r="E36" s="345" t="s">
        <v>1416</v>
      </c>
      <c r="F36" s="372">
        <f ca="1">INDIRECT("'数据-取费表'!Ak"&amp;$G$1)</f>
        <v>8.0000000000000002E-3</v>
      </c>
      <c r="G36" s="1840"/>
      <c r="H36" s="1848"/>
      <c r="I36" s="1849"/>
      <c r="J36" s="1850"/>
      <c r="K36" s="748"/>
      <c r="L36" s="1848"/>
      <c r="M36" s="1848"/>
    </row>
    <row r="37" spans="1:18" ht="18" customHeight="1">
      <c r="A37" s="1198" t="s">
        <v>1071</v>
      </c>
      <c r="B37" s="345" t="s">
        <v>1447</v>
      </c>
      <c r="C37" s="24">
        <f ca="1">ROUND(C13*F37,1)</f>
        <v>19.899999999999999</v>
      </c>
      <c r="D37" s="1787" t="s">
        <v>1448</v>
      </c>
      <c r="E37" s="345" t="s">
        <v>1449</v>
      </c>
      <c r="F37" s="374">
        <f ca="1">INDIRECT("'数据-取费表'!Al"&amp;$G$1)</f>
        <v>1E-3</v>
      </c>
      <c r="G37" s="1840"/>
      <c r="H37" s="1848"/>
      <c r="I37" s="1849"/>
      <c r="J37" s="1850"/>
      <c r="K37" s="748"/>
      <c r="L37" s="1848"/>
      <c r="M37" s="1848"/>
    </row>
    <row r="38" spans="1:18" ht="18" customHeight="1" thickBot="1">
      <c r="A38" s="1336" t="s">
        <v>1387</v>
      </c>
      <c r="B38" s="1337" t="s">
        <v>1433</v>
      </c>
      <c r="C38" s="1338">
        <f ca="1">ROUND(C5*F38,1)</f>
        <v>13.3</v>
      </c>
      <c r="D38" s="1339" t="s">
        <v>1453</v>
      </c>
      <c r="E38" s="1337" t="s">
        <v>1449</v>
      </c>
      <c r="F38" s="1333">
        <f ca="1">INDIRECT("'数据-取费表'!Am"&amp;$G$1)</f>
        <v>5.0000000000000001E-3</v>
      </c>
      <c r="G38" s="1840"/>
      <c r="H38" s="1848"/>
      <c r="I38" s="1849"/>
      <c r="J38" s="1850"/>
      <c r="K38" s="1854"/>
      <c r="L38" s="1848"/>
      <c r="M38" s="1848"/>
    </row>
    <row r="39" spans="1:18" ht="24.6" customHeight="1" thickTop="1">
      <c r="A39" s="1326" t="s">
        <v>1027</v>
      </c>
      <c r="B39" s="1341" t="s">
        <v>1477</v>
      </c>
      <c r="C39" s="353">
        <f ca="1">C5-C30</f>
        <v>1977</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29820</v>
      </c>
      <c r="D40" s="368" t="s">
        <v>1463</v>
      </c>
      <c r="E40" s="345" t="s">
        <v>1464</v>
      </c>
      <c r="F40" s="355">
        <f ca="1">INDIRECT("'数据-取费表'!I"&amp;$G$1)</f>
        <v>5.5E-2</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f ca="1">ROUND(C40*10000/F43,0)</f>
        <v>4780</v>
      </c>
      <c r="D43" s="381" t="s">
        <v>1482</v>
      </c>
      <c r="E43" s="382" t="s">
        <v>1483</v>
      </c>
      <c r="F43" s="383">
        <f ca="1">INDIRECT("'数据-取费表'!k"&amp;$G$1)</f>
        <v>62390.71</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8" thickBot="1">
      <c r="A46" s="1859" t="s">
        <v>1514</v>
      </c>
      <c r="C46" s="1860">
        <f ca="1">C68-C40</f>
        <v>-64376</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8" thickBot="1">
      <c r="A47" s="1162" t="s">
        <v>1390</v>
      </c>
      <c r="B47" s="1194" t="s">
        <v>1391</v>
      </c>
      <c r="C47" s="1364" t="s">
        <v>1392</v>
      </c>
      <c r="D47" s="1194" t="s">
        <v>1393</v>
      </c>
      <c r="E47" s="1276" t="s">
        <v>1394</v>
      </c>
      <c r="F47" s="1277"/>
      <c r="G47" s="789"/>
      <c r="I47" s="1869" t="s">
        <v>1520</v>
      </c>
      <c r="J47" s="1870" t="s">
        <v>3075</v>
      </c>
      <c r="K47" s="1871" t="s">
        <v>1521</v>
      </c>
      <c r="L47" s="1872">
        <f ca="1">INDIRECT("'数据-取费表'!d"&amp;$G$1)</f>
        <v>50</v>
      </c>
      <c r="M47" s="1827" t="str">
        <f>IF(ISNUMBER(FIND("住宅",C1)),"住宅","非住宅")</f>
        <v>非住宅</v>
      </c>
      <c r="O47" s="1873" t="s">
        <v>1036</v>
      </c>
      <c r="P47" s="1874" t="s">
        <v>1522</v>
      </c>
      <c r="Q47" s="1875">
        <f ca="1">C40+J29</f>
        <v>29820</v>
      </c>
      <c r="R47" s="1875" t="s">
        <v>1523</v>
      </c>
    </row>
    <row r="48" spans="1:18" s="1831" customFormat="1" ht="40.200000000000003" thickBot="1">
      <c r="A48" s="1357" t="s">
        <v>1131</v>
      </c>
      <c r="B48" s="343" t="s">
        <v>1395</v>
      </c>
      <c r="C48" s="1806">
        <f ca="1">C49+C53+C55</f>
        <v>0</v>
      </c>
      <c r="D48" s="1359"/>
      <c r="E48" s="1360"/>
      <c r="F48" s="1178"/>
      <c r="G48" s="789"/>
      <c r="H48" s="790"/>
      <c r="I48" s="1876" t="s">
        <v>1524</v>
      </c>
      <c r="J48" s="1877" t="s">
        <v>3080</v>
      </c>
      <c r="K48" s="1878" t="s">
        <v>1525</v>
      </c>
      <c r="L48" s="1879">
        <f ca="1">INDIRECT("'数据-取费表'!f"&amp;$G$1)</f>
        <v>33.049999999999997</v>
      </c>
      <c r="O48" s="1873" t="s">
        <v>1037</v>
      </c>
      <c r="P48" s="1874" t="s">
        <v>1526</v>
      </c>
      <c r="Q48" s="1875" t="str">
        <f ca="1">J60</f>
        <v>0</v>
      </c>
      <c r="R48" s="1875" t="s">
        <v>1527</v>
      </c>
    </row>
    <row r="49" spans="1:18" s="1831" customFormat="1" ht="13.8" thickBot="1">
      <c r="A49" s="1191" t="s">
        <v>1132</v>
      </c>
      <c r="B49" s="1818" t="s">
        <v>1484</v>
      </c>
      <c r="C49" s="1361">
        <f ca="1">ROUND(F49*F51*F50*(1-F52)/10000,0)</f>
        <v>0</v>
      </c>
      <c r="D49" s="1273" t="s">
        <v>3029</v>
      </c>
      <c r="E49" s="1819" t="s">
        <v>1485</v>
      </c>
      <c r="F49" s="1278"/>
      <c r="G49" s="1880"/>
      <c r="H49" s="790"/>
      <c r="I49" s="1876" t="s">
        <v>1528</v>
      </c>
      <c r="J49" s="1882">
        <v>2003</v>
      </c>
      <c r="K49" s="1878" t="s">
        <v>1529</v>
      </c>
      <c r="L49" s="1882"/>
      <c r="O49" s="1883" t="s">
        <v>1038</v>
      </c>
      <c r="P49" s="1874" t="s">
        <v>1530</v>
      </c>
      <c r="Q49" s="1875">
        <f ca="1">C29</f>
        <v>24507</v>
      </c>
      <c r="R49" s="1875" t="s">
        <v>1523</v>
      </c>
    </row>
    <row r="50" spans="1:18" s="1831" customFormat="1" ht="13.8" thickBot="1">
      <c r="A50" s="1192"/>
      <c r="B50" s="1195"/>
      <c r="C50" s="1365"/>
      <c r="D50" s="1169"/>
      <c r="E50" s="1274" t="s">
        <v>1400</v>
      </c>
      <c r="F50" s="1275">
        <f ca="1">F7</f>
        <v>62390.71</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8" thickBot="1">
      <c r="A51" s="1193"/>
      <c r="B51" s="1195"/>
      <c r="C51" s="1196"/>
      <c r="D51" s="1169"/>
      <c r="E51" s="1197" t="s">
        <v>1401</v>
      </c>
      <c r="F51" s="346">
        <f ca="1">F8</f>
        <v>365</v>
      </c>
      <c r="I51" s="1887" t="s">
        <v>1534</v>
      </c>
      <c r="J51" s="1888">
        <f>IF(J49="",J50,J49+J50-YEAR('数据-取费表'!B2))</f>
        <v>53</v>
      </c>
      <c r="K51" s="1889" t="s">
        <v>1535</v>
      </c>
      <c r="L51" s="1890">
        <f ca="1">ROUND(-PV(INDIRECT("'数据-取费表'!h"&amp;$G$1),J51,(C39-C13*C76),0),0)</f>
        <v>5532</v>
      </c>
      <c r="M51" s="1891"/>
      <c r="O51" s="1883" t="s">
        <v>1040</v>
      </c>
      <c r="P51" s="1874" t="s">
        <v>1536</v>
      </c>
      <c r="Q51" s="1886">
        <f>J52</f>
        <v>8.5000000000000006E-2</v>
      </c>
      <c r="R51" s="1875"/>
    </row>
    <row r="52" spans="1:18" s="1831" customFormat="1" ht="13.8"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36.6"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29820</v>
      </c>
      <c r="R53" s="1875" t="s">
        <v>1043</v>
      </c>
    </row>
    <row r="54" spans="1:18" s="1831" customFormat="1" ht="24.6"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8"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37.200000000000003" thickTop="1" thickBot="1">
      <c r="A56" s="1173">
        <v>2</v>
      </c>
      <c r="B56" s="1174" t="s">
        <v>1408</v>
      </c>
      <c r="C56" s="274">
        <f ca="1">C13</f>
        <v>19851</v>
      </c>
      <c r="D56" s="1902"/>
      <c r="E56" s="1903"/>
      <c r="F56" s="1895"/>
      <c r="I56" s="1904" t="s">
        <v>1548</v>
      </c>
      <c r="J56" s="1905" t="s">
        <v>3064</v>
      </c>
      <c r="K56" s="1876" t="s">
        <v>1549</v>
      </c>
      <c r="L56" s="1879" t="str">
        <f ca="1">IF(L48&lt;J51,"——",L48-J53)</f>
        <v>——</v>
      </c>
      <c r="O56" s="1873" t="s">
        <v>1036</v>
      </c>
      <c r="P56" s="1874" t="s">
        <v>1522</v>
      </c>
      <c r="Q56" s="1875">
        <f ca="1">C40+J29</f>
        <v>29820</v>
      </c>
      <c r="R56" s="1875" t="s">
        <v>1523</v>
      </c>
    </row>
    <row r="57" spans="1:18" s="1831" customFormat="1" ht="24.6" thickBot="1">
      <c r="A57" s="1906"/>
      <c r="B57" s="1166" t="s">
        <v>1472</v>
      </c>
      <c r="C57" s="280">
        <f ca="1">C29</f>
        <v>24507</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6" thickBot="1">
      <c r="A58" s="358" t="s">
        <v>1026</v>
      </c>
      <c r="B58" s="1174" t="s">
        <v>1418</v>
      </c>
      <c r="C58" s="359">
        <f ca="1">ROUND(C59+C64+C65+C66,0)</f>
        <v>2291</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ROUND(IF(项目基本情况!B11="自然人",C48*F59,C60+C61+C62),1)</f>
        <v>2075.4</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8" thickBot="1">
      <c r="A61" s="1198" t="s">
        <v>1486</v>
      </c>
      <c r="B61" s="1166" t="s">
        <v>1487</v>
      </c>
      <c r="C61" s="24">
        <f ca="1">IF(项目基本情况!B11="自然人","——",IF(D61="按租金收入计税",ROUND(C48*F61,2),IF(D61="按房产原值计税",ROUND(C57*F61*0.7,2),INDIRECT("'数据-取费表'!Aj"&amp;$G$1))))</f>
        <v>2058.59</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8" thickBot="1">
      <c r="A62" s="1198" t="s">
        <v>1489</v>
      </c>
      <c r="B62" s="1165" t="s">
        <v>1490</v>
      </c>
      <c r="C62" s="25">
        <f ca="1">IF(项目基本情况!B11="自然人","——",ROUND(F62*F63/10000,2))</f>
        <v>16.850000000000001</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29820</v>
      </c>
      <c r="R62" s="1875" t="s">
        <v>1043</v>
      </c>
    </row>
    <row r="63" spans="1:18" s="1831" customFormat="1" ht="13.8" thickBot="1">
      <c r="A63" s="370"/>
      <c r="B63" s="1172"/>
      <c r="C63" s="29"/>
      <c r="D63" s="1182"/>
      <c r="E63" s="1166" t="s">
        <v>1493</v>
      </c>
      <c r="F63" s="346">
        <f t="shared" ca="1" si="0"/>
        <v>112348.64</v>
      </c>
      <c r="I63" s="1917" t="s">
        <v>1570</v>
      </c>
      <c r="J63" s="1918">
        <v>70</v>
      </c>
      <c r="K63" s="1918">
        <v>50</v>
      </c>
      <c r="L63" s="1918">
        <v>80</v>
      </c>
      <c r="M63" s="1920">
        <v>0.02</v>
      </c>
      <c r="O63" s="1858" t="s">
        <v>1571</v>
      </c>
      <c r="P63" s="1828"/>
      <c r="Q63" s="1828"/>
      <c r="R63" s="1828"/>
    </row>
    <row r="64" spans="1:18" s="1831" customFormat="1" ht="13.8" thickBot="1">
      <c r="A64" s="1198" t="s">
        <v>1494</v>
      </c>
      <c r="B64" s="1166" t="s">
        <v>1495</v>
      </c>
      <c r="C64" s="24">
        <f ca="1">ROUND(C57*F64,1)</f>
        <v>196.1</v>
      </c>
      <c r="D64" s="1180" t="s">
        <v>1496</v>
      </c>
      <c r="E64" s="1166" t="s">
        <v>1488</v>
      </c>
      <c r="F64" s="372">
        <f t="shared" ca="1" si="0"/>
        <v>8.0000000000000002E-3</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ROUND(C56*F65,1)</f>
        <v>19.899999999999999</v>
      </c>
      <c r="D65" s="1180" t="s">
        <v>1448</v>
      </c>
      <c r="E65" s="1166" t="s">
        <v>1449</v>
      </c>
      <c r="F65" s="374">
        <f t="shared" ca="1" si="0"/>
        <v>1E-3</v>
      </c>
      <c r="I65" s="1917" t="s">
        <v>1573</v>
      </c>
      <c r="J65" s="1918">
        <v>40</v>
      </c>
      <c r="K65" s="1918">
        <v>30</v>
      </c>
      <c r="L65" s="1918">
        <v>50</v>
      </c>
      <c r="M65" s="1920">
        <v>0.02</v>
      </c>
      <c r="O65" s="1873" t="s">
        <v>1036</v>
      </c>
      <c r="P65" s="1874" t="s">
        <v>1574</v>
      </c>
      <c r="Q65" s="1875">
        <f ca="1">C40+J29</f>
        <v>29820</v>
      </c>
      <c r="R65" s="1875" t="s">
        <v>1523</v>
      </c>
    </row>
    <row r="66" spans="1:18" s="1831" customFormat="1" ht="16.2" thickBot="1">
      <c r="A66" s="1198" t="s">
        <v>1498</v>
      </c>
      <c r="B66" s="1166" t="s">
        <v>1433</v>
      </c>
      <c r="C66" s="24">
        <f ca="1">ROUND(C48*F66,1)</f>
        <v>0</v>
      </c>
      <c r="D66" s="1180" t="s">
        <v>1499</v>
      </c>
      <c r="E66" s="1166" t="s">
        <v>1416</v>
      </c>
      <c r="F66" s="355">
        <f t="shared" ca="1" si="0"/>
        <v>5.0000000000000001E-3</v>
      </c>
      <c r="O66" s="1873" t="s">
        <v>1037</v>
      </c>
      <c r="P66" s="1874" t="s">
        <v>1552</v>
      </c>
      <c r="Q66" s="1875">
        <f ca="1">L60</f>
        <v>0</v>
      </c>
      <c r="R66" s="1875" t="s">
        <v>1575</v>
      </c>
    </row>
    <row r="67" spans="1:18" s="1831" customFormat="1" ht="24.6" thickBot="1">
      <c r="A67" s="1173" t="s">
        <v>1027</v>
      </c>
      <c r="B67" s="1183" t="s">
        <v>1457</v>
      </c>
      <c r="C67" s="359">
        <f ca="1">C48-C58</f>
        <v>-2291</v>
      </c>
      <c r="D67" s="1179" t="s">
        <v>1458</v>
      </c>
      <c r="E67" s="1184"/>
      <c r="F67" s="1185"/>
      <c r="O67" s="1883" t="s">
        <v>1038</v>
      </c>
      <c r="P67" s="1874" t="s">
        <v>1556</v>
      </c>
      <c r="Q67" s="1921">
        <f ca="1">L51</f>
        <v>5532</v>
      </c>
      <c r="R67" s="1875" t="s">
        <v>1576</v>
      </c>
    </row>
    <row r="68" spans="1:18" s="1831" customFormat="1" ht="16.2" thickBot="1">
      <c r="A68" s="1163" t="s">
        <v>1028</v>
      </c>
      <c r="B68" s="1164" t="s">
        <v>1479</v>
      </c>
      <c r="C68" s="344">
        <f ca="1">ROUND(C67*(1-((1+F70)/(1+F68))^F69)/(F68-F70),0)</f>
        <v>-34556</v>
      </c>
      <c r="D68" s="1181" t="s">
        <v>1463</v>
      </c>
      <c r="E68" s="1166" t="s">
        <v>1464</v>
      </c>
      <c r="F68" s="355">
        <f ca="1">F40</f>
        <v>5.5E-2</v>
      </c>
      <c r="O68" s="1883" t="s">
        <v>1039</v>
      </c>
      <c r="P68" s="1922" t="s">
        <v>1577</v>
      </c>
      <c r="Q68" s="1875">
        <f ca="1">ROUND(Q69-Q70*Q71,0)</f>
        <v>290</v>
      </c>
      <c r="R68" s="1875" t="s">
        <v>1047</v>
      </c>
    </row>
    <row r="69" spans="1:18" s="1831" customFormat="1" ht="13.8" thickBot="1">
      <c r="A69" s="1167"/>
      <c r="B69" s="1168"/>
      <c r="C69" s="349"/>
      <c r="D69" s="1186" t="s">
        <v>1467</v>
      </c>
      <c r="E69" s="1166" t="s">
        <v>1468</v>
      </c>
      <c r="F69" s="377">
        <f ca="1">F41</f>
        <v>33.049999999999997</v>
      </c>
      <c r="O69" s="1883" t="s">
        <v>1044</v>
      </c>
      <c r="P69" s="1922" t="s">
        <v>1578</v>
      </c>
      <c r="Q69" s="1875">
        <f ca="1">C39</f>
        <v>1977</v>
      </c>
      <c r="R69" s="1875" t="s">
        <v>1523</v>
      </c>
    </row>
    <row r="70" spans="1:18" s="1831" customFormat="1" ht="13.8" thickBot="1">
      <c r="A70" s="1170"/>
      <c r="B70" s="1171"/>
      <c r="C70" s="353"/>
      <c r="D70" s="1182"/>
      <c r="E70" s="1166" t="s">
        <v>1471</v>
      </c>
      <c r="F70" s="1272"/>
      <c r="O70" s="1883" t="s">
        <v>1045</v>
      </c>
      <c r="P70" s="1922" t="s">
        <v>1579</v>
      </c>
      <c r="Q70" s="1875">
        <f ca="1">C13</f>
        <v>19851</v>
      </c>
      <c r="R70" s="1875" t="s">
        <v>1523</v>
      </c>
    </row>
    <row r="71" spans="1:18" s="1831" customFormat="1" ht="13.8" thickBot="1">
      <c r="A71" s="1187" t="s">
        <v>1029</v>
      </c>
      <c r="B71" s="1188" t="s">
        <v>1481</v>
      </c>
      <c r="C71" s="380">
        <f ca="1">ROUND(C68*10000/F71,0)</f>
        <v>-5539</v>
      </c>
      <c r="D71" s="1189" t="s">
        <v>1482</v>
      </c>
      <c r="E71" s="1190" t="s">
        <v>1483</v>
      </c>
      <c r="F71" s="383">
        <f ca="1">F43</f>
        <v>62390.71</v>
      </c>
      <c r="O71" s="1883" t="s">
        <v>1046</v>
      </c>
      <c r="P71" s="1922" t="s">
        <v>1580</v>
      </c>
      <c r="Q71" s="1886">
        <f ca="1">C76</f>
        <v>8.5000000000000006E-2</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8" thickBot="1">
      <c r="A75" s="1831"/>
      <c r="B75" s="384" t="s">
        <v>1500</v>
      </c>
      <c r="C75" s="385">
        <f ca="1">ROUND(C13*C76,0)</f>
        <v>1687</v>
      </c>
      <c r="D75" s="1831"/>
      <c r="E75" s="1831"/>
      <c r="F75" s="1831"/>
      <c r="K75" s="1857"/>
      <c r="L75" s="1831"/>
      <c r="O75" s="1873" t="s">
        <v>1042</v>
      </c>
      <c r="P75" s="1874" t="s">
        <v>1543</v>
      </c>
      <c r="Q75" s="1875">
        <f ca="1">Q65+Q66</f>
        <v>29820</v>
      </c>
      <c r="R75" s="1875" t="s">
        <v>1043</v>
      </c>
    </row>
    <row r="76" spans="1:18">
      <c r="B76" s="386" t="s">
        <v>1501</v>
      </c>
      <c r="C76" s="387">
        <f ca="1">INDIRECT("'数据-取费表'!j"&amp;$G$1)</f>
        <v>8.5000000000000006E-2</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0.14700000000000002</v>
      </c>
    </row>
    <row r="80" spans="1:18">
      <c r="B80" s="384" t="s">
        <v>1505</v>
      </c>
      <c r="C80" s="316">
        <f ca="1">ROUND(C75/C39,3)</f>
        <v>0.85299999999999998</v>
      </c>
    </row>
    <row r="81" spans="2:3">
      <c r="B81" s="312" t="s">
        <v>1506</v>
      </c>
      <c r="C81" s="280"/>
    </row>
    <row r="82" spans="2:3">
      <c r="B82" s="315" t="s">
        <v>1507</v>
      </c>
      <c r="C82" s="317">
        <f ca="1">1-C83</f>
        <v>0.33399999999999996</v>
      </c>
    </row>
    <row r="83" spans="2:3">
      <c r="B83" s="315" t="s">
        <v>1508</v>
      </c>
      <c r="C83" s="316">
        <f ca="1">ROUND(C13/C40,3)</f>
        <v>0.66600000000000004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40" t="s">
        <v>1397</v>
      </c>
      <c r="C6" s="1293">
        <f ca="1">ROUND(F6*F8*F7*(1-F9),0)</f>
        <v>0</v>
      </c>
      <c r="D6" s="162" t="s">
        <v>3025</v>
      </c>
      <c r="E6" s="345" t="s">
        <v>1399</v>
      </c>
      <c r="F6" s="346">
        <f ca="1">INDIRECT("'数据-取费表'!u"&amp;$G$1)</f>
        <v>0</v>
      </c>
      <c r="G6" s="1840"/>
      <c r="H6" s="1288" t="s">
        <v>1031</v>
      </c>
      <c r="I6" s="3240" t="s">
        <v>1397</v>
      </c>
      <c r="J6" s="344">
        <f ca="1">ROUND(M6*M8*M7*(1-M9),0)</f>
        <v>0</v>
      </c>
      <c r="K6" s="1823" t="s">
        <v>3026</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0</v>
      </c>
      <c r="G7" s="1840"/>
      <c r="H7" s="347"/>
      <c r="I7" s="3241"/>
      <c r="J7" s="349"/>
      <c r="K7" s="350"/>
      <c r="L7" s="345" t="s">
        <v>1400</v>
      </c>
      <c r="M7" s="346">
        <f ca="1">F7</f>
        <v>0</v>
      </c>
    </row>
    <row r="8" spans="1:37" ht="18" customHeight="1">
      <c r="A8" s="347"/>
      <c r="B8" s="3241"/>
      <c r="C8" s="349"/>
      <c r="D8" s="350"/>
      <c r="E8" s="345" t="s">
        <v>1401</v>
      </c>
      <c r="F8" s="346">
        <f ca="1">INDIRECT("'数据-取费表'!ai"&amp;$G$1)</f>
        <v>0</v>
      </c>
      <c r="G8" s="1840"/>
      <c r="H8" s="347"/>
      <c r="I8" s="3241"/>
      <c r="J8" s="349"/>
      <c r="K8" s="350"/>
      <c r="L8" s="345" t="s">
        <v>1401</v>
      </c>
      <c r="M8" s="346">
        <f ca="1">INDIRECT("'数据-取费表'!ai"&amp;$G$1)</f>
        <v>0</v>
      </c>
    </row>
    <row r="9" spans="1:37" ht="18" customHeight="1">
      <c r="A9" s="347"/>
      <c r="B9" s="3242"/>
      <c r="C9" s="349"/>
      <c r="D9" s="350"/>
      <c r="E9" s="345" t="s">
        <v>1402</v>
      </c>
      <c r="F9" s="355">
        <f ca="1">INDIRECT("'数据-取费表'!w"&amp;$G$1)</f>
        <v>0</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c r="G10" s="1840"/>
      <c r="H10" s="1288" t="s">
        <v>1035</v>
      </c>
      <c r="I10" s="1812" t="s">
        <v>1403</v>
      </c>
      <c r="J10" s="344">
        <f ca="1">ROUND(IF(M10="押一",J6/12*M11,IF(M10="押二",J6/12*2*M11,IF(M10="押三",J6/12*3*M11,J11*M11))),0)</f>
        <v>0</v>
      </c>
      <c r="K10" s="1824" t="s">
        <v>3038</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180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8"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8"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40.200000000000003"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8"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8"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8"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8"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3039</v>
      </c>
      <c r="E53" s="356" t="s">
        <v>1404</v>
      </c>
      <c r="F53" s="1363"/>
      <c r="I53" s="1894" t="s">
        <v>1541</v>
      </c>
      <c r="J53" s="2941">
        <f ca="1">IF(M47="住宅",IF(D1="——",MAX(J51,L48),MAX(J51,L48-'数据-取费表'!B24)),IF(D1="——",MIN(J51,L48),MIN(J51,L48-'数据-取费表'!B24)))</f>
        <v>0</v>
      </c>
      <c r="K53" s="3238" t="s">
        <v>1542</v>
      </c>
      <c r="L53" s="3239"/>
      <c r="O53" s="1873" t="s">
        <v>1042</v>
      </c>
      <c r="P53" s="1874" t="s">
        <v>1543</v>
      </c>
      <c r="Q53" s="1875" t="e">
        <f ca="1">Q47+Q48</f>
        <v>#DIV/0!</v>
      </c>
      <c r="R53" s="1875" t="s">
        <v>1043</v>
      </c>
    </row>
    <row r="54" spans="1:18" s="1831" customFormat="1" ht="13.8"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8"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6"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6"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8"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8"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8"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8"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2"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24.6"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2"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8" thickBot="1">
      <c r="A69" s="1167"/>
      <c r="B69" s="1168"/>
      <c r="C69" s="349"/>
      <c r="D69" s="1186" t="s">
        <v>1467</v>
      </c>
      <c r="E69" s="1166" t="s">
        <v>1468</v>
      </c>
      <c r="F69" s="377">
        <f ca="1">F41</f>
        <v>0</v>
      </c>
      <c r="O69" s="1883" t="s">
        <v>1044</v>
      </c>
      <c r="P69" s="1922" t="s">
        <v>1578</v>
      </c>
      <c r="Q69" s="1875">
        <f ca="1">C39</f>
        <v>0</v>
      </c>
      <c r="R69" s="1875" t="s">
        <v>1523</v>
      </c>
    </row>
    <row r="70" spans="1:18" s="1831" customFormat="1" ht="13.8" thickBot="1">
      <c r="A70" s="1170"/>
      <c r="B70" s="1171"/>
      <c r="C70" s="353"/>
      <c r="D70" s="1182"/>
      <c r="E70" s="1166" t="s">
        <v>1471</v>
      </c>
      <c r="F70" s="1272">
        <f ca="1">F42</f>
        <v>0</v>
      </c>
      <c r="O70" s="1883" t="s">
        <v>1045</v>
      </c>
      <c r="P70" s="1922" t="s">
        <v>1579</v>
      </c>
      <c r="Q70" s="1875">
        <f ca="1">C13</f>
        <v>0</v>
      </c>
      <c r="R70" s="1875" t="s">
        <v>1523</v>
      </c>
    </row>
    <row r="71" spans="1:18" s="1831" customFormat="1" ht="13.8"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8"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3" t="s">
        <v>1072</v>
      </c>
      <c r="B1" s="3244"/>
      <c r="C1" s="3245"/>
      <c r="D1" s="3246">
        <f>SUM(I10,I15,I20,I21,I23)</f>
        <v>0</v>
      </c>
      <c r="E1" s="3246"/>
      <c r="F1" s="3246"/>
      <c r="G1" s="3246"/>
      <c r="H1" s="3246"/>
      <c r="I1" s="3247"/>
    </row>
    <row r="2" spans="1:9">
      <c r="A2" s="3248" t="s">
        <v>1073</v>
      </c>
      <c r="B2" s="3249" t="s">
        <v>1074</v>
      </c>
      <c r="C2" s="3249"/>
      <c r="D2" s="1298" t="s">
        <v>1075</v>
      </c>
      <c r="E2" s="1298" t="s">
        <v>1076</v>
      </c>
      <c r="F2" s="1298" t="s">
        <v>1077</v>
      </c>
      <c r="G2" s="1298" t="s">
        <v>1078</v>
      </c>
      <c r="H2" s="1298" t="s">
        <v>1079</v>
      </c>
      <c r="I2" s="1299" t="s">
        <v>1080</v>
      </c>
    </row>
    <row r="3" spans="1:9">
      <c r="A3" s="3248"/>
      <c r="B3" s="3249" t="s">
        <v>1081</v>
      </c>
      <c r="C3" s="3249"/>
      <c r="D3" s="1300"/>
      <c r="E3" s="1298"/>
      <c r="F3" s="1301"/>
      <c r="G3" s="1301"/>
      <c r="H3" s="1302"/>
      <c r="I3" s="1303">
        <f>ROUND(D3*E3*F3*G3*H3/10000,0)</f>
        <v>0</v>
      </c>
    </row>
    <row r="4" spans="1:9">
      <c r="A4" s="3248"/>
      <c r="B4" s="3249" t="s">
        <v>1082</v>
      </c>
      <c r="C4" s="3249"/>
      <c r="D4" s="1300"/>
      <c r="E4" s="1298"/>
      <c r="F4" s="1301"/>
      <c r="G4" s="1301"/>
      <c r="H4" s="1302"/>
      <c r="I4" s="1303">
        <f t="shared" ref="I4:I9" si="0">ROUND(D4*E4*F4*G4*H4/10000,0)</f>
        <v>0</v>
      </c>
    </row>
    <row r="5" spans="1:9">
      <c r="A5" s="3248"/>
      <c r="B5" s="3249" t="s">
        <v>1083</v>
      </c>
      <c r="C5" s="3249"/>
      <c r="D5" s="1300"/>
      <c r="E5" s="1298"/>
      <c r="F5" s="1301"/>
      <c r="G5" s="1301"/>
      <c r="H5" s="1302"/>
      <c r="I5" s="1303">
        <f t="shared" si="0"/>
        <v>0</v>
      </c>
    </row>
    <row r="6" spans="1:9">
      <c r="A6" s="3248"/>
      <c r="B6" s="3249" t="s">
        <v>1084</v>
      </c>
      <c r="C6" s="3249"/>
      <c r="D6" s="1300"/>
      <c r="E6" s="1298"/>
      <c r="F6" s="1301"/>
      <c r="G6" s="1301"/>
      <c r="H6" s="1302"/>
      <c r="I6" s="1303">
        <f t="shared" si="0"/>
        <v>0</v>
      </c>
    </row>
    <row r="7" spans="1:9">
      <c r="A7" s="3248"/>
      <c r="B7" s="3249" t="s">
        <v>1085</v>
      </c>
      <c r="C7" s="3249"/>
      <c r="D7" s="1300"/>
      <c r="E7" s="1298"/>
      <c r="F7" s="1301"/>
      <c r="G7" s="1301"/>
      <c r="H7" s="1302"/>
      <c r="I7" s="1303">
        <f t="shared" si="0"/>
        <v>0</v>
      </c>
    </row>
    <row r="8" spans="1:9">
      <c r="A8" s="3248"/>
      <c r="B8" s="3249" t="s">
        <v>1086</v>
      </c>
      <c r="C8" s="3249"/>
      <c r="D8" s="1300"/>
      <c r="E8" s="1298"/>
      <c r="F8" s="1301"/>
      <c r="G8" s="1301"/>
      <c r="H8" s="1302"/>
      <c r="I8" s="1303">
        <f t="shared" si="0"/>
        <v>0</v>
      </c>
    </row>
    <row r="9" spans="1:9">
      <c r="A9" s="3248"/>
      <c r="B9" s="3249" t="s">
        <v>1087</v>
      </c>
      <c r="C9" s="3249"/>
      <c r="D9" s="1300"/>
      <c r="E9" s="1298"/>
      <c r="F9" s="1301"/>
      <c r="G9" s="1301"/>
      <c r="H9" s="1302"/>
      <c r="I9" s="1303">
        <f t="shared" si="0"/>
        <v>0</v>
      </c>
    </row>
    <row r="10" spans="1:9">
      <c r="A10" s="3248"/>
      <c r="B10" s="3250" t="s">
        <v>1088</v>
      </c>
      <c r="C10" s="3250"/>
      <c r="D10" s="1304"/>
      <c r="E10" s="1304" t="e">
        <f>ROUND(D1*10000/D10/H9,0)</f>
        <v>#DIV/0!</v>
      </c>
      <c r="F10" s="1305"/>
      <c r="G10" s="1305"/>
      <c r="H10" s="1306"/>
      <c r="I10" s="1307">
        <f>SUM(I3:I9)</f>
        <v>0</v>
      </c>
    </row>
    <row r="11" spans="1:9" ht="15.6">
      <c r="A11" s="3248" t="s">
        <v>1089</v>
      </c>
      <c r="B11" s="3249" t="s">
        <v>1090</v>
      </c>
      <c r="C11" s="3249"/>
      <c r="D11" s="1300" t="s">
        <v>1091</v>
      </c>
      <c r="E11" s="1300" t="s">
        <v>1092</v>
      </c>
      <c r="F11" s="1301" t="s">
        <v>1093</v>
      </c>
      <c r="G11" s="1301" t="s">
        <v>1079</v>
      </c>
      <c r="H11" s="1308" t="s">
        <v>1094</v>
      </c>
      <c r="I11" s="1299" t="s">
        <v>1080</v>
      </c>
    </row>
    <row r="12" spans="1:9">
      <c r="A12" s="3248"/>
      <c r="B12" s="3249" t="s">
        <v>1095</v>
      </c>
      <c r="C12" s="3249"/>
      <c r="D12" s="1300"/>
      <c r="E12" s="1300"/>
      <c r="F12" s="1301"/>
      <c r="G12" s="1302"/>
      <c r="H12" s="1309"/>
      <c r="I12" s="1299">
        <f>ROUND(D12*E12*F12*G12/10000,0)</f>
        <v>0</v>
      </c>
    </row>
    <row r="13" spans="1:9">
      <c r="A13" s="3248"/>
      <c r="B13" s="3249" t="s">
        <v>1096</v>
      </c>
      <c r="C13" s="3249"/>
      <c r="D13" s="1300"/>
      <c r="E13" s="1300"/>
      <c r="F13" s="1301"/>
      <c r="G13" s="1302"/>
      <c r="H13" s="1309"/>
      <c r="I13" s="1299">
        <f>ROUND(D13*E13*F13*G13/10000,0)</f>
        <v>0</v>
      </c>
    </row>
    <row r="14" spans="1:9">
      <c r="A14" s="3248"/>
      <c r="B14" s="3249" t="s">
        <v>1097</v>
      </c>
      <c r="C14" s="3249"/>
      <c r="D14" s="1300"/>
      <c r="E14" s="1300"/>
      <c r="F14" s="1301"/>
      <c r="G14" s="1302"/>
      <c r="H14" s="1309"/>
      <c r="I14" s="1299">
        <f>ROUND(D14*E14*F14*G14/10000,0)</f>
        <v>0</v>
      </c>
    </row>
    <row r="15" spans="1:9">
      <c r="A15" s="3248"/>
      <c r="B15" s="3250" t="s">
        <v>1088</v>
      </c>
      <c r="C15" s="3250"/>
      <c r="D15" s="1304"/>
      <c r="E15" s="1304">
        <f>SUM(E12:E14)</f>
        <v>0</v>
      </c>
      <c r="F15" s="1305"/>
      <c r="G15" s="1302"/>
      <c r="H15" s="1309"/>
      <c r="I15" s="1310">
        <f>SUM(I12:I14)</f>
        <v>0</v>
      </c>
    </row>
    <row r="16" spans="1:9" ht="24">
      <c r="A16" s="3248" t="s">
        <v>1098</v>
      </c>
      <c r="B16" s="3249" t="s">
        <v>1099</v>
      </c>
      <c r="C16" s="3249"/>
      <c r="D16" s="1300" t="s">
        <v>1075</v>
      </c>
      <c r="E16" s="1311" t="s">
        <v>1100</v>
      </c>
      <c r="F16" s="1301" t="s">
        <v>1101</v>
      </c>
      <c r="G16" s="1302" t="s">
        <v>1079</v>
      </c>
      <c r="H16" s="1308" t="s">
        <v>1094</v>
      </c>
      <c r="I16" s="1299" t="s">
        <v>1080</v>
      </c>
    </row>
    <row r="17" spans="1:9" ht="15.6">
      <c r="A17" s="3248"/>
      <c r="B17" s="3249" t="s">
        <v>1102</v>
      </c>
      <c r="C17" s="3249"/>
      <c r="D17" s="1300"/>
      <c r="E17" s="1300"/>
      <c r="F17" s="1301"/>
      <c r="G17" s="1302"/>
      <c r="H17" s="1312"/>
      <c r="I17" s="1313">
        <f>ROUND(D17*E17*F17*G17/10000,0)</f>
        <v>0</v>
      </c>
    </row>
    <row r="18" spans="1:9" ht="15.6">
      <c r="A18" s="3248"/>
      <c r="B18" s="3249" t="s">
        <v>1103</v>
      </c>
      <c r="C18" s="3249"/>
      <c r="D18" s="1300"/>
      <c r="E18" s="1300"/>
      <c r="F18" s="1301"/>
      <c r="G18" s="1302"/>
      <c r="H18" s="1312"/>
      <c r="I18" s="1313">
        <f>ROUND(D18*E18*F18*G18/10000,0)</f>
        <v>0</v>
      </c>
    </row>
    <row r="19" spans="1:9" ht="15.6">
      <c r="A19" s="3248"/>
      <c r="B19" s="3249" t="s">
        <v>1104</v>
      </c>
      <c r="C19" s="3249"/>
      <c r="D19" s="1300"/>
      <c r="E19" s="1300"/>
      <c r="F19" s="1301"/>
      <c r="G19" s="1302"/>
      <c r="H19" s="1312"/>
      <c r="I19" s="1313">
        <f>ROUND(D19*E19*F19*G19/10000,0)</f>
        <v>0</v>
      </c>
    </row>
    <row r="20" spans="1:9">
      <c r="A20" s="3248"/>
      <c r="B20" s="3250" t="s">
        <v>1088</v>
      </c>
      <c r="C20" s="3250"/>
      <c r="D20" s="1304">
        <f>SUM(D17:D19)</f>
        <v>0</v>
      </c>
      <c r="E20" s="1304"/>
      <c r="F20" s="1305"/>
      <c r="G20" s="1302"/>
      <c r="H20" s="1309"/>
      <c r="I20" s="1310">
        <f>SUM(I17:I19)</f>
        <v>0</v>
      </c>
    </row>
    <row r="21" spans="1:9">
      <c r="A21" s="3248" t="s">
        <v>1105</v>
      </c>
      <c r="B21" s="3252"/>
      <c r="C21" s="3252"/>
      <c r="D21" s="3252"/>
      <c r="E21" s="3252"/>
      <c r="F21" s="3252"/>
      <c r="G21" s="3252"/>
      <c r="H21" s="1754">
        <v>0.1</v>
      </c>
      <c r="I21" s="1307">
        <f>ROUND(I10*H21,0)</f>
        <v>0</v>
      </c>
    </row>
    <row r="22" spans="1:9" ht="15.6">
      <c r="A22" s="3253" t="s">
        <v>1106</v>
      </c>
      <c r="B22" s="3254"/>
      <c r="C22" s="3255"/>
      <c r="D22" s="1314" t="s">
        <v>1107</v>
      </c>
      <c r="E22" s="1314" t="s">
        <v>1108</v>
      </c>
      <c r="F22" s="1315" t="s">
        <v>1109</v>
      </c>
      <c r="G22" s="1315" t="s">
        <v>1110</v>
      </c>
      <c r="H22" s="1308" t="s">
        <v>1111</v>
      </c>
      <c r="I22" s="1299" t="s">
        <v>1112</v>
      </c>
    </row>
    <row r="23" spans="1:9" ht="15" thickBot="1">
      <c r="A23" s="3256"/>
      <c r="B23" s="3257"/>
      <c r="C23" s="3258"/>
      <c r="D23" s="1316"/>
      <c r="E23" s="1316"/>
      <c r="F23" s="1316"/>
      <c r="G23" s="1317"/>
      <c r="H23" s="1318"/>
      <c r="I23" s="1319">
        <f>ROUND(E23*D23*F23*(1-G23)/10000,0)</f>
        <v>0</v>
      </c>
    </row>
    <row r="26" spans="1:9">
      <c r="A26" s="1320" t="s">
        <v>1113</v>
      </c>
      <c r="B26" s="1320"/>
      <c r="C26" s="1320"/>
      <c r="D26" s="1320"/>
      <c r="E26" s="3259">
        <f>C27-C30-C31-C32</f>
        <v>0</v>
      </c>
      <c r="F26" s="3259"/>
      <c r="G26" s="3259"/>
      <c r="H26" s="1734" t="s">
        <v>1335</v>
      </c>
    </row>
    <row r="27" spans="1:9">
      <c r="A27" s="1321">
        <v>1</v>
      </c>
      <c r="B27" s="1322" t="s">
        <v>1114</v>
      </c>
      <c r="C27" s="1322">
        <f>C28+C29</f>
        <v>0</v>
      </c>
      <c r="D27" s="1322"/>
      <c r="E27" s="3260"/>
      <c r="F27" s="3260"/>
      <c r="G27" s="3260"/>
    </row>
    <row r="28" spans="1:9">
      <c r="A28" s="1323" t="s">
        <v>1115</v>
      </c>
      <c r="B28" s="1322" t="s">
        <v>1116</v>
      </c>
      <c r="C28" s="1322"/>
      <c r="D28" s="1322"/>
      <c r="E28" s="3260"/>
      <c r="F28" s="3260"/>
      <c r="G28" s="3260"/>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51"/>
      <c r="F32" s="3251"/>
      <c r="G32" s="3251"/>
    </row>
    <row r="33" spans="1:7" hidden="1">
      <c r="A33" s="3261" t="s">
        <v>1125</v>
      </c>
      <c r="B33" s="3262"/>
      <c r="C33" s="3262"/>
      <c r="D33" s="3263"/>
      <c r="E33" s="3259"/>
      <c r="F33" s="3259"/>
      <c r="G33" s="3259"/>
    </row>
    <row r="34" spans="1:7" hidden="1">
      <c r="A34" s="1325">
        <v>1</v>
      </c>
      <c r="B34" s="1322" t="s">
        <v>1126</v>
      </c>
      <c r="C34" s="1322"/>
      <c r="D34" s="1322"/>
      <c r="E34" s="3260"/>
      <c r="F34" s="3260"/>
      <c r="G34" s="3260"/>
    </row>
    <row r="35" spans="1:7" hidden="1">
      <c r="A35" s="1325">
        <v>2</v>
      </c>
      <c r="B35" s="1322" t="s">
        <v>1127</v>
      </c>
      <c r="C35" s="1322"/>
      <c r="D35" s="1322"/>
      <c r="E35" s="3260"/>
      <c r="F35" s="3260"/>
      <c r="G35" s="3260"/>
    </row>
    <row r="36" spans="1:7" hidden="1">
      <c r="A36" s="1325">
        <v>3</v>
      </c>
      <c r="B36" s="1322" t="s">
        <v>1128</v>
      </c>
      <c r="C36" s="1322"/>
      <c r="D36" s="1322"/>
      <c r="E36" s="3260"/>
      <c r="F36" s="3260"/>
      <c r="G36" s="3260"/>
    </row>
    <row r="37" spans="1:7" hidden="1">
      <c r="A37" s="1325">
        <v>4</v>
      </c>
      <c r="B37" s="1322" t="s">
        <v>1129</v>
      </c>
      <c r="C37" s="1322"/>
      <c r="D37" s="1322"/>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573" t="s">
        <v>2527</v>
      </c>
      <c r="C1" s="1631" t="s">
        <v>2528</v>
      </c>
      <c r="D1" s="1618"/>
      <c r="E1" s="2574"/>
      <c r="F1" s="2575" t="s">
        <v>2529</v>
      </c>
      <c r="G1" s="1628" t="s">
        <v>2530</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2531</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2532</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4.4">
      <c r="A4" s="399" t="s">
        <v>2533</v>
      </c>
      <c r="B4" s="400"/>
      <c r="C4" s="3208" t="s">
        <v>2534</v>
      </c>
      <c r="D4" s="3209"/>
      <c r="E4" s="3210" t="s">
        <v>2535</v>
      </c>
      <c r="F4" s="3211"/>
      <c r="G4" s="3208" t="s">
        <v>2536</v>
      </c>
      <c r="H4" s="3209"/>
      <c r="I4" s="3208" t="s">
        <v>2537</v>
      </c>
      <c r="J4" s="3209"/>
      <c r="K4" s="2587" t="s">
        <v>2538</v>
      </c>
      <c r="L4" s="1127"/>
      <c r="M4" s="1128"/>
      <c r="N4" s="1128"/>
      <c r="O4" s="1128"/>
      <c r="P4" s="3212" t="s">
        <v>2539</v>
      </c>
      <c r="Q4" s="3213"/>
      <c r="R4" s="3225" t="s">
        <v>2535</v>
      </c>
      <c r="S4" s="3226"/>
      <c r="T4" s="3225" t="s">
        <v>2536</v>
      </c>
      <c r="U4" s="3226"/>
      <c r="V4" s="3200" t="s">
        <v>2537</v>
      </c>
      <c r="W4" s="3200"/>
      <c r="X4" s="1802"/>
      <c r="Y4" s="3225" t="s">
        <v>2539</v>
      </c>
      <c r="Z4" s="3226"/>
      <c r="AA4" s="3205" t="s">
        <v>2535</v>
      </c>
      <c r="AB4" s="3205" t="s">
        <v>2536</v>
      </c>
      <c r="AC4" s="3205" t="s">
        <v>2537</v>
      </c>
    </row>
    <row r="5" spans="1:29">
      <c r="A5" s="402"/>
      <c r="B5" s="403"/>
      <c r="C5" s="3229" t="s">
        <v>2540</v>
      </c>
      <c r="D5" s="3230"/>
      <c r="E5" s="3218" t="s">
        <v>2541</v>
      </c>
      <c r="F5" s="3219"/>
      <c r="G5" s="3229" t="s">
        <v>2542</v>
      </c>
      <c r="H5" s="3230"/>
      <c r="I5" s="3229" t="s">
        <v>2543</v>
      </c>
      <c r="J5" s="3230"/>
      <c r="K5" s="2588"/>
      <c r="L5" s="1127"/>
      <c r="M5" s="1128"/>
      <c r="N5" s="1128"/>
      <c r="O5" s="1128"/>
      <c r="P5" s="3214"/>
      <c r="Q5" s="3215"/>
      <c r="R5" s="3227"/>
      <c r="S5" s="3228"/>
      <c r="T5" s="3227"/>
      <c r="U5" s="3228"/>
      <c r="V5" s="3200"/>
      <c r="W5" s="3200"/>
      <c r="X5" s="1802"/>
      <c r="Y5" s="3227"/>
      <c r="Z5" s="3228"/>
      <c r="AA5" s="3206"/>
      <c r="AB5" s="3206"/>
      <c r="AC5" s="3206"/>
    </row>
    <row r="6" spans="1:29" ht="15" thickBot="1">
      <c r="A6" s="404"/>
      <c r="B6" s="405"/>
      <c r="C6" s="3264" t="s">
        <v>2544</v>
      </c>
      <c r="D6" s="3265"/>
      <c r="E6" s="3266" t="s">
        <v>2544</v>
      </c>
      <c r="F6" s="3267"/>
      <c r="G6" s="3264" t="s">
        <v>2544</v>
      </c>
      <c r="H6" s="3265"/>
      <c r="I6" s="3264" t="s">
        <v>2544</v>
      </c>
      <c r="J6" s="3265"/>
      <c r="K6" s="2588" t="s">
        <v>2545</v>
      </c>
      <c r="L6" s="1127"/>
      <c r="M6" s="1128"/>
      <c r="N6" s="1128"/>
      <c r="O6" s="1128"/>
      <c r="P6" s="3216"/>
      <c r="Q6" s="3217"/>
      <c r="R6" s="3227"/>
      <c r="S6" s="3228"/>
      <c r="T6" s="3236"/>
      <c r="U6" s="3237"/>
      <c r="V6" s="3200"/>
      <c r="W6" s="3200"/>
      <c r="X6" s="1802"/>
      <c r="Y6" s="3236"/>
      <c r="Z6" s="3237"/>
      <c r="AA6" s="3207"/>
      <c r="AB6" s="3207"/>
      <c r="AC6" s="3207"/>
    </row>
    <row r="7" spans="1:29" s="116" customFormat="1" ht="1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220" t="s">
        <v>2547</v>
      </c>
      <c r="Q7" s="3233"/>
      <c r="R7" s="767" t="s">
        <v>23</v>
      </c>
      <c r="S7" s="768">
        <f t="shared" ref="S7:S15" si="0">F7</f>
        <v>0</v>
      </c>
      <c r="T7" s="767" t="s">
        <v>23</v>
      </c>
      <c r="U7" s="768">
        <f t="shared" ref="U7:U15" si="1">H7</f>
        <v>0</v>
      </c>
      <c r="V7" s="767" t="s">
        <v>23</v>
      </c>
      <c r="W7" s="768">
        <f t="shared" ref="W7:W15" si="2">J7</f>
        <v>0</v>
      </c>
      <c r="X7" s="769"/>
      <c r="Y7" s="3220" t="s">
        <v>2547</v>
      </c>
      <c r="Z7" s="3221"/>
      <c r="AA7" s="770" t="e">
        <f>D7/F7</f>
        <v>#DIV/0!</v>
      </c>
      <c r="AB7" s="770" t="e">
        <f>D7/H7</f>
        <v>#DIV/0!</v>
      </c>
      <c r="AC7" s="770" t="e">
        <f>D7/J7</f>
        <v>#DIV/0!</v>
      </c>
    </row>
    <row r="8" spans="1:29" s="116" customFormat="1" ht="15" thickBot="1">
      <c r="A8" s="406" t="s">
        <v>2548</v>
      </c>
      <c r="B8" s="407"/>
      <c r="C8" s="412" t="s">
        <v>2549</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220" t="s">
        <v>2550</v>
      </c>
      <c r="Q8" s="3221"/>
      <c r="R8" s="767" t="s">
        <v>23</v>
      </c>
      <c r="S8" s="768">
        <f t="shared" si="0"/>
        <v>0</v>
      </c>
      <c r="T8" s="767" t="s">
        <v>23</v>
      </c>
      <c r="U8" s="768">
        <f t="shared" si="1"/>
        <v>0</v>
      </c>
      <c r="V8" s="767" t="s">
        <v>23</v>
      </c>
      <c r="W8" s="768">
        <f t="shared" si="2"/>
        <v>0</v>
      </c>
      <c r="X8" s="769"/>
      <c r="Y8" s="3220" t="s">
        <v>2550</v>
      </c>
      <c r="Z8" s="3221"/>
      <c r="AA8" s="770" t="e">
        <f t="shared" ref="AA8:AA19" si="3">D8/F8</f>
        <v>#DIV/0!</v>
      </c>
      <c r="AB8" s="770" t="e">
        <f t="shared" ref="AB8:AB19" si="4">D8/H8</f>
        <v>#DIV/0!</v>
      </c>
      <c r="AC8" s="770" t="e">
        <f t="shared" ref="AC8:AC19" si="5">D8/J8</f>
        <v>#DIV/0!</v>
      </c>
    </row>
    <row r="9" spans="1:29" s="116" customFormat="1" ht="14.4">
      <c r="A9" s="413" t="s">
        <v>2551</v>
      </c>
      <c r="B9" s="71" t="s">
        <v>2552</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23"/>
      <c r="Q11" s="1784" t="str">
        <f t="shared" si="6"/>
        <v>容积率</v>
      </c>
      <c r="R11" s="767" t="s">
        <v>21</v>
      </c>
      <c r="S11" s="768" t="e">
        <f t="shared" si="0"/>
        <v>#N/A</v>
      </c>
      <c r="T11" s="767" t="s">
        <v>21</v>
      </c>
      <c r="U11" s="768" t="e">
        <f t="shared" si="1"/>
        <v>#N/A</v>
      </c>
      <c r="V11" s="767" t="s">
        <v>21</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223"/>
      <c r="Q12" s="1784">
        <f t="shared" si="6"/>
        <v>111</v>
      </c>
      <c r="R12" s="767" t="s">
        <v>21</v>
      </c>
      <c r="S12" s="768">
        <f t="shared" si="0"/>
        <v>100</v>
      </c>
      <c r="T12" s="767" t="s">
        <v>21</v>
      </c>
      <c r="U12" s="768">
        <f t="shared" si="1"/>
        <v>100</v>
      </c>
      <c r="V12" s="767" t="s">
        <v>21</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223"/>
      <c r="Q13" s="1784">
        <f t="shared" si="6"/>
        <v>111</v>
      </c>
      <c r="R13" s="767" t="s">
        <v>21</v>
      </c>
      <c r="S13" s="768">
        <f t="shared" si="0"/>
        <v>100</v>
      </c>
      <c r="T13" s="767" t="s">
        <v>21</v>
      </c>
      <c r="U13" s="768">
        <f t="shared" si="1"/>
        <v>100</v>
      </c>
      <c r="V13" s="767" t="s">
        <v>21</v>
      </c>
      <c r="W13" s="768">
        <f t="shared" si="2"/>
        <v>100</v>
      </c>
      <c r="X13" s="769"/>
      <c r="Y13" s="3047"/>
      <c r="Z13" s="55">
        <f t="shared" si="7"/>
        <v>111</v>
      </c>
      <c r="AA13" s="770">
        <f t="shared" si="3"/>
        <v>1</v>
      </c>
      <c r="AB13" s="770">
        <f t="shared" si="4"/>
        <v>1</v>
      </c>
      <c r="AC13" s="770">
        <f t="shared" si="5"/>
        <v>1</v>
      </c>
    </row>
    <row r="14" spans="1:29" ht="15.6"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223"/>
      <c r="Q14" s="1784">
        <f t="shared" si="6"/>
        <v>111</v>
      </c>
      <c r="R14" s="767" t="s">
        <v>21</v>
      </c>
      <c r="S14" s="768">
        <f t="shared" si="0"/>
        <v>100</v>
      </c>
      <c r="T14" s="767" t="s">
        <v>21</v>
      </c>
      <c r="U14" s="768">
        <f t="shared" si="1"/>
        <v>100</v>
      </c>
      <c r="V14" s="767" t="s">
        <v>21</v>
      </c>
      <c r="W14" s="768">
        <f t="shared" si="2"/>
        <v>100</v>
      </c>
      <c r="X14" s="769"/>
      <c r="Y14" s="3047"/>
      <c r="Z14" s="55">
        <f t="shared" si="7"/>
        <v>111</v>
      </c>
      <c r="AA14" s="770">
        <f t="shared" si="3"/>
        <v>1</v>
      </c>
      <c r="AB14" s="770">
        <f t="shared" si="4"/>
        <v>1</v>
      </c>
      <c r="AC14" s="770">
        <f t="shared" si="5"/>
        <v>1</v>
      </c>
    </row>
    <row r="15" spans="1:29" ht="96.6">
      <c r="A15" s="438" t="s">
        <v>2557</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74" t="s">
        <v>2558</v>
      </c>
      <c r="Q15" s="1799" t="str">
        <f t="shared" si="6"/>
        <v>居住社区成熟度</v>
      </c>
      <c r="R15" s="771" t="s">
        <v>21</v>
      </c>
      <c r="S15" s="772">
        <f t="shared" si="0"/>
        <v>100</v>
      </c>
      <c r="T15" s="771" t="s">
        <v>21</v>
      </c>
      <c r="U15" s="772">
        <f t="shared" si="1"/>
        <v>100</v>
      </c>
      <c r="V15" s="771" t="s">
        <v>21</v>
      </c>
      <c r="W15" s="772">
        <f t="shared" si="2"/>
        <v>100</v>
      </c>
      <c r="X15" s="1802"/>
      <c r="Y15" s="3201" t="s">
        <v>2558</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75"/>
      <c r="Q16" s="1799"/>
      <c r="R16" s="771"/>
      <c r="S16" s="772"/>
      <c r="T16" s="771"/>
      <c r="U16" s="772"/>
      <c r="V16" s="771"/>
      <c r="W16" s="772"/>
      <c r="X16" s="1802"/>
      <c r="Y16" s="3202"/>
      <c r="Z16" s="1803"/>
      <c r="AA16" s="1800">
        <v>1</v>
      </c>
      <c r="AB16" s="1800">
        <v>1</v>
      </c>
      <c r="AC16" s="1800">
        <v>1</v>
      </c>
    </row>
    <row r="17" spans="1:29" ht="82.8">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75"/>
      <c r="Q17" s="1799" t="str">
        <f>B17</f>
        <v>交通便捷度</v>
      </c>
      <c r="R17" s="771" t="s">
        <v>21</v>
      </c>
      <c r="S17" s="772">
        <f>F17</f>
        <v>100</v>
      </c>
      <c r="T17" s="771" t="s">
        <v>21</v>
      </c>
      <c r="U17" s="772">
        <f>H17</f>
        <v>100</v>
      </c>
      <c r="V17" s="771" t="s">
        <v>21</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75"/>
      <c r="Q18" s="1799"/>
      <c r="R18" s="771"/>
      <c r="S18" s="772"/>
      <c r="T18" s="771"/>
      <c r="U18" s="772"/>
      <c r="V18" s="771"/>
      <c r="W18" s="772"/>
      <c r="X18" s="1802"/>
      <c r="Y18" s="3202"/>
      <c r="Z18" s="1803"/>
      <c r="AA18" s="1800">
        <v>1</v>
      </c>
      <c r="AB18" s="1800">
        <v>1</v>
      </c>
      <c r="AC18" s="1800">
        <v>1</v>
      </c>
    </row>
    <row r="19" spans="1:29" ht="41.4">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75"/>
      <c r="Q19" s="1799" t="str">
        <f>B19</f>
        <v>公共配套设施</v>
      </c>
      <c r="R19" s="771" t="s">
        <v>21</v>
      </c>
      <c r="S19" s="772">
        <f>F19</f>
        <v>100</v>
      </c>
      <c r="T19" s="771" t="s">
        <v>21</v>
      </c>
      <c r="U19" s="772">
        <f>H19</f>
        <v>100</v>
      </c>
      <c r="V19" s="771" t="s">
        <v>21</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75"/>
      <c r="Q20" s="1799"/>
      <c r="R20" s="771"/>
      <c r="S20" s="772"/>
      <c r="T20" s="771"/>
      <c r="U20" s="772"/>
      <c r="V20" s="771"/>
      <c r="W20" s="772"/>
      <c r="X20" s="1802"/>
      <c r="Y20" s="3202"/>
      <c r="Z20" s="1803"/>
      <c r="AA20" s="1800">
        <v>1</v>
      </c>
      <c r="AB20" s="1800">
        <v>1</v>
      </c>
      <c r="AC20" s="1800">
        <v>1</v>
      </c>
    </row>
    <row r="21" spans="1:29" ht="27.6">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75"/>
      <c r="Q22" s="1799"/>
      <c r="R22" s="771"/>
      <c r="S22" s="772"/>
      <c r="T22" s="771"/>
      <c r="U22" s="772"/>
      <c r="V22" s="771"/>
      <c r="W22" s="772"/>
      <c r="X22" s="1802"/>
      <c r="Y22" s="3202"/>
      <c r="Z22" s="1803"/>
      <c r="AA22" s="1800">
        <v>1</v>
      </c>
      <c r="AB22" s="1800">
        <v>1</v>
      </c>
      <c r="AC22" s="1800">
        <v>1</v>
      </c>
    </row>
    <row r="23" spans="1:29" ht="55.2">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75"/>
      <c r="Q23" s="1799" t="str">
        <f>B23</f>
        <v>自然及人文环境</v>
      </c>
      <c r="R23" s="771" t="s">
        <v>21</v>
      </c>
      <c r="S23" s="772">
        <f>F23</f>
        <v>100</v>
      </c>
      <c r="T23" s="771" t="s">
        <v>21</v>
      </c>
      <c r="U23" s="772">
        <f>H23</f>
        <v>100</v>
      </c>
      <c r="V23" s="771" t="s">
        <v>21</v>
      </c>
      <c r="W23" s="772">
        <f>J23</f>
        <v>100</v>
      </c>
      <c r="X23" s="1802"/>
      <c r="Y23" s="3202"/>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75"/>
      <c r="Q24" s="1799"/>
      <c r="R24" s="771"/>
      <c r="S24" s="772"/>
      <c r="T24" s="771"/>
      <c r="U24" s="772"/>
      <c r="V24" s="771"/>
      <c r="W24" s="772"/>
      <c r="X24" s="1802"/>
      <c r="Y24" s="3202"/>
      <c r="Z24" s="1803"/>
      <c r="AA24" s="1800">
        <v>1</v>
      </c>
      <c r="AB24" s="1800">
        <v>1</v>
      </c>
      <c r="AC24" s="1800">
        <v>1</v>
      </c>
    </row>
    <row r="25" spans="1:29" ht="15">
      <c r="A25" s="426"/>
      <c r="B25" s="420" t="s">
        <v>2559</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75"/>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02"/>
      <c r="Z25" s="1803" t="str">
        <f>Q25</f>
        <v>楼层-1</v>
      </c>
      <c r="AA25" s="1800">
        <f t="shared" ref="AA25:AA46" si="15">D25/F25</f>
        <v>1</v>
      </c>
      <c r="AB25" s="1800">
        <f t="shared" ref="AB25:AB46" si="16">D25/H25</f>
        <v>1</v>
      </c>
      <c r="AC25" s="1800">
        <f t="shared" ref="AC25:AC46" si="17">D25/J25</f>
        <v>1</v>
      </c>
    </row>
    <row r="26" spans="1:29" ht="15">
      <c r="A26" s="426"/>
      <c r="B26" s="420" t="s">
        <v>2560</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75"/>
      <c r="Q26" s="1799" t="str">
        <f t="shared" si="11"/>
        <v>朝向</v>
      </c>
      <c r="R26" s="771" t="s">
        <v>21</v>
      </c>
      <c r="S26" s="772">
        <f t="shared" si="12"/>
        <v>100</v>
      </c>
      <c r="T26" s="771" t="s">
        <v>21</v>
      </c>
      <c r="U26" s="772">
        <f t="shared" si="13"/>
        <v>100</v>
      </c>
      <c r="V26" s="771" t="s">
        <v>21</v>
      </c>
      <c r="W26" s="772">
        <f t="shared" si="14"/>
        <v>100</v>
      </c>
      <c r="X26" s="1802"/>
      <c r="Y26" s="3202"/>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75"/>
      <c r="Q27" s="1784">
        <f t="shared" si="11"/>
        <v>111</v>
      </c>
      <c r="R27" s="767" t="s">
        <v>21</v>
      </c>
      <c r="S27" s="768">
        <f t="shared" si="12"/>
        <v>100</v>
      </c>
      <c r="T27" s="767" t="s">
        <v>21</v>
      </c>
      <c r="U27" s="768">
        <f t="shared" si="13"/>
        <v>100</v>
      </c>
      <c r="V27" s="767" t="s">
        <v>21</v>
      </c>
      <c r="W27" s="768">
        <f t="shared" si="14"/>
        <v>100</v>
      </c>
      <c r="X27" s="769"/>
      <c r="Y27" s="3202"/>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75"/>
      <c r="Q28" s="1799">
        <f t="shared" si="11"/>
        <v>111</v>
      </c>
      <c r="R28" s="771" t="s">
        <v>21</v>
      </c>
      <c r="S28" s="772">
        <f t="shared" si="12"/>
        <v>100</v>
      </c>
      <c r="T28" s="771" t="s">
        <v>21</v>
      </c>
      <c r="U28" s="772">
        <f t="shared" si="13"/>
        <v>100</v>
      </c>
      <c r="V28" s="771" t="s">
        <v>21</v>
      </c>
      <c r="W28" s="772">
        <f t="shared" si="14"/>
        <v>100</v>
      </c>
      <c r="X28" s="1802"/>
      <c r="Y28" s="3202"/>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75"/>
      <c r="Q29" s="1799">
        <f t="shared" si="11"/>
        <v>111</v>
      </c>
      <c r="R29" s="771" t="s">
        <v>21</v>
      </c>
      <c r="S29" s="772">
        <f t="shared" si="12"/>
        <v>100</v>
      </c>
      <c r="T29" s="771" t="s">
        <v>21</v>
      </c>
      <c r="U29" s="772">
        <f t="shared" si="13"/>
        <v>100</v>
      </c>
      <c r="V29" s="771" t="s">
        <v>21</v>
      </c>
      <c r="W29" s="772">
        <f t="shared" si="14"/>
        <v>100</v>
      </c>
      <c r="X29" s="1802"/>
      <c r="Y29" s="3202"/>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75"/>
      <c r="Q30" s="1799">
        <f t="shared" si="11"/>
        <v>111</v>
      </c>
      <c r="R30" s="771" t="s">
        <v>21</v>
      </c>
      <c r="S30" s="772">
        <f t="shared" si="12"/>
        <v>100</v>
      </c>
      <c r="T30" s="771" t="s">
        <v>21</v>
      </c>
      <c r="U30" s="772">
        <f t="shared" si="13"/>
        <v>100</v>
      </c>
      <c r="V30" s="771" t="s">
        <v>21</v>
      </c>
      <c r="W30" s="772">
        <f t="shared" si="14"/>
        <v>100</v>
      </c>
      <c r="X30" s="1802"/>
      <c r="Y30" s="3202"/>
      <c r="Z30" s="1803">
        <f t="shared" si="18"/>
        <v>111</v>
      </c>
      <c r="AA30" s="1800">
        <f t="shared" si="15"/>
        <v>1</v>
      </c>
      <c r="AB30" s="1800">
        <f t="shared" si="16"/>
        <v>1</v>
      </c>
      <c r="AC30" s="1800">
        <f t="shared" si="17"/>
        <v>1</v>
      </c>
    </row>
    <row r="31" spans="1:29" ht="15.6"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75"/>
      <c r="Q31" s="1799">
        <f t="shared" si="11"/>
        <v>111</v>
      </c>
      <c r="R31" s="771" t="s">
        <v>21</v>
      </c>
      <c r="S31" s="772">
        <f t="shared" si="12"/>
        <v>100</v>
      </c>
      <c r="T31" s="771" t="s">
        <v>21</v>
      </c>
      <c r="U31" s="772">
        <f t="shared" si="13"/>
        <v>100</v>
      </c>
      <c r="V31" s="771" t="s">
        <v>21</v>
      </c>
      <c r="W31" s="772">
        <f t="shared" si="14"/>
        <v>100</v>
      </c>
      <c r="X31" s="1802"/>
      <c r="Y31" s="3202"/>
      <c r="Z31" s="1803">
        <f t="shared" si="18"/>
        <v>111</v>
      </c>
      <c r="AA31" s="1800">
        <f t="shared" si="15"/>
        <v>1</v>
      </c>
      <c r="AB31" s="1800">
        <f t="shared" si="16"/>
        <v>1</v>
      </c>
      <c r="AC31" s="1800">
        <f t="shared" si="17"/>
        <v>1</v>
      </c>
    </row>
    <row r="32" spans="1:29" ht="15">
      <c r="A32" s="438" t="s">
        <v>2561</v>
      </c>
      <c r="B32" s="71" t="s">
        <v>2562</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70" t="s">
        <v>2563</v>
      </c>
      <c r="Q32" s="1799" t="str">
        <f t="shared" si="11"/>
        <v>建筑类型</v>
      </c>
      <c r="R32" s="771" t="s">
        <v>21</v>
      </c>
      <c r="S32" s="772">
        <f t="shared" si="12"/>
        <v>100</v>
      </c>
      <c r="T32" s="771" t="s">
        <v>21</v>
      </c>
      <c r="U32" s="772">
        <f t="shared" si="13"/>
        <v>100</v>
      </c>
      <c r="V32" s="771" t="s">
        <v>21</v>
      </c>
      <c r="W32" s="772">
        <f t="shared" si="14"/>
        <v>100</v>
      </c>
      <c r="X32" s="1802"/>
      <c r="Y32" s="3204" t="s">
        <v>2563</v>
      </c>
      <c r="Z32" s="1803" t="str">
        <f t="shared" si="18"/>
        <v>建筑类型</v>
      </c>
      <c r="AA32" s="1800">
        <f t="shared" si="15"/>
        <v>1</v>
      </c>
      <c r="AB32" s="1800">
        <f t="shared" si="16"/>
        <v>1</v>
      </c>
      <c r="AC32" s="180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71"/>
      <c r="Q33" s="773" t="str">
        <f t="shared" si="11"/>
        <v>项目建筑规模</v>
      </c>
      <c r="R33" s="774" t="s">
        <v>21</v>
      </c>
      <c r="S33" s="775" t="e">
        <f t="shared" si="12"/>
        <v>#N/A</v>
      </c>
      <c r="T33" s="774" t="s">
        <v>21</v>
      </c>
      <c r="U33" s="775" t="e">
        <f t="shared" si="13"/>
        <v>#N/A</v>
      </c>
      <c r="V33" s="774" t="s">
        <v>21</v>
      </c>
      <c r="W33" s="775" t="e">
        <f t="shared" si="14"/>
        <v>#N/A</v>
      </c>
      <c r="X33" s="776"/>
      <c r="Y33" s="3204"/>
      <c r="Z33" s="777" t="str">
        <f t="shared" si="18"/>
        <v>项目建筑规模</v>
      </c>
      <c r="AA33" s="1800" t="e">
        <f t="shared" si="15"/>
        <v>#N/A</v>
      </c>
      <c r="AB33" s="1800" t="e">
        <f t="shared" si="16"/>
        <v>#N/A</v>
      </c>
      <c r="AC33" s="1800" t="e">
        <f t="shared" si="17"/>
        <v>#N/A</v>
      </c>
    </row>
    <row r="34" spans="1:29" ht="15">
      <c r="A34" s="470"/>
      <c r="B34" s="420" t="s">
        <v>2565</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71"/>
      <c r="Q34" s="1799" t="str">
        <f t="shared" si="11"/>
        <v>建筑结构</v>
      </c>
      <c r="R34" s="771" t="s">
        <v>21</v>
      </c>
      <c r="S34" s="772">
        <f t="shared" si="12"/>
        <v>100</v>
      </c>
      <c r="T34" s="771" t="s">
        <v>21</v>
      </c>
      <c r="U34" s="772">
        <f t="shared" si="13"/>
        <v>100</v>
      </c>
      <c r="V34" s="771" t="s">
        <v>21</v>
      </c>
      <c r="W34" s="772">
        <f t="shared" si="14"/>
        <v>100</v>
      </c>
      <c r="X34" s="1802"/>
      <c r="Y34" s="3204"/>
      <c r="Z34" s="1803" t="str">
        <f t="shared" si="18"/>
        <v>建筑结构</v>
      </c>
      <c r="AA34" s="1800">
        <f t="shared" si="15"/>
        <v>1</v>
      </c>
      <c r="AB34" s="1800">
        <f t="shared" si="16"/>
        <v>1</v>
      </c>
      <c r="AC34" s="1800">
        <f t="shared" si="17"/>
        <v>1</v>
      </c>
    </row>
    <row r="35" spans="1:29" ht="15">
      <c r="A35" s="470"/>
      <c r="B35" s="420" t="s">
        <v>2566</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71"/>
      <c r="Q35" s="1799" t="str">
        <f t="shared" si="11"/>
        <v>建筑品质</v>
      </c>
      <c r="R35" s="771" t="s">
        <v>21</v>
      </c>
      <c r="S35" s="772">
        <f t="shared" si="12"/>
        <v>100</v>
      </c>
      <c r="T35" s="771" t="s">
        <v>21</v>
      </c>
      <c r="U35" s="772">
        <f t="shared" si="13"/>
        <v>100</v>
      </c>
      <c r="V35" s="771" t="s">
        <v>21</v>
      </c>
      <c r="W35" s="772">
        <f t="shared" si="14"/>
        <v>100</v>
      </c>
      <c r="X35" s="1802"/>
      <c r="Y35" s="3204"/>
      <c r="Z35" s="1803" t="str">
        <f t="shared" si="18"/>
        <v>建筑品质</v>
      </c>
      <c r="AA35" s="1800">
        <f t="shared" si="15"/>
        <v>1</v>
      </c>
      <c r="AB35" s="1800">
        <f t="shared" si="16"/>
        <v>1</v>
      </c>
      <c r="AC35" s="1800">
        <f t="shared" si="17"/>
        <v>1</v>
      </c>
    </row>
    <row r="36" spans="1:29" ht="15">
      <c r="A36" s="470"/>
      <c r="B36" s="420" t="s">
        <v>2567</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71"/>
      <c r="Q36" s="1799" t="str">
        <f t="shared" si="11"/>
        <v>公共部分装修</v>
      </c>
      <c r="R36" s="771" t="s">
        <v>21</v>
      </c>
      <c r="S36" s="772">
        <f t="shared" si="12"/>
        <v>100</v>
      </c>
      <c r="T36" s="771" t="s">
        <v>21</v>
      </c>
      <c r="U36" s="772">
        <f t="shared" si="13"/>
        <v>100</v>
      </c>
      <c r="V36" s="771" t="s">
        <v>21</v>
      </c>
      <c r="W36" s="772">
        <f t="shared" si="14"/>
        <v>100</v>
      </c>
      <c r="X36" s="1802"/>
      <c r="Y36" s="3204"/>
      <c r="Z36" s="1803" t="str">
        <f t="shared" si="18"/>
        <v>公共部分装修</v>
      </c>
      <c r="AA36" s="1800">
        <f t="shared" si="15"/>
        <v>1</v>
      </c>
      <c r="AB36" s="1800">
        <f t="shared" si="16"/>
        <v>1</v>
      </c>
      <c r="AC36" s="1800">
        <f t="shared" si="17"/>
        <v>1</v>
      </c>
    </row>
    <row r="37" spans="1:29" s="116"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71"/>
      <c r="Q37" s="1784" t="str">
        <f t="shared" si="11"/>
        <v>成新度</v>
      </c>
      <c r="R37" s="767" t="s">
        <v>21</v>
      </c>
      <c r="S37" s="768" t="e">
        <f t="shared" si="12"/>
        <v>#N/A</v>
      </c>
      <c r="T37" s="767" t="s">
        <v>21</v>
      </c>
      <c r="U37" s="768" t="e">
        <f t="shared" si="13"/>
        <v>#N/A</v>
      </c>
      <c r="V37" s="767" t="s">
        <v>21</v>
      </c>
      <c r="W37" s="768" t="e">
        <f t="shared" si="14"/>
        <v>#N/A</v>
      </c>
      <c r="X37" s="769"/>
      <c r="Y37" s="3204"/>
      <c r="Z37" s="55" t="str">
        <f t="shared" si="18"/>
        <v>成新度</v>
      </c>
      <c r="AA37" s="770" t="e">
        <f t="shared" si="15"/>
        <v>#N/A</v>
      </c>
      <c r="AB37" s="770" t="e">
        <f t="shared" si="16"/>
        <v>#N/A</v>
      </c>
      <c r="AC37" s="770" t="e">
        <f t="shared" si="17"/>
        <v>#N/A</v>
      </c>
    </row>
    <row r="38" spans="1:29" ht="15">
      <c r="A38" s="470"/>
      <c r="B38" s="420" t="s">
        <v>2569</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71" t="s">
        <v>2563</v>
      </c>
      <c r="Q38" s="1799" t="str">
        <f t="shared" si="11"/>
        <v>物业管理</v>
      </c>
      <c r="R38" s="771" t="s">
        <v>21</v>
      </c>
      <c r="S38" s="772">
        <f t="shared" si="12"/>
        <v>100</v>
      </c>
      <c r="T38" s="771" t="s">
        <v>21</v>
      </c>
      <c r="U38" s="772">
        <f t="shared" si="13"/>
        <v>100</v>
      </c>
      <c r="V38" s="771" t="s">
        <v>21</v>
      </c>
      <c r="W38" s="772">
        <f t="shared" si="14"/>
        <v>100</v>
      </c>
      <c r="X38" s="1802"/>
      <c r="Y38" s="3204" t="s">
        <v>2563</v>
      </c>
      <c r="Z38" s="1803" t="str">
        <f t="shared" si="18"/>
        <v>物业管理</v>
      </c>
      <c r="AA38" s="1800">
        <f t="shared" si="15"/>
        <v>1</v>
      </c>
      <c r="AB38" s="1800">
        <f t="shared" si="16"/>
        <v>1</v>
      </c>
      <c r="AC38" s="1800">
        <f t="shared" si="17"/>
        <v>1</v>
      </c>
    </row>
    <row r="39" spans="1:29" ht="15">
      <c r="A39" s="470"/>
      <c r="B39" s="420" t="s">
        <v>2570</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71"/>
      <c r="Q39" s="1799" t="str">
        <f t="shared" si="11"/>
        <v>市政基础设施</v>
      </c>
      <c r="R39" s="771" t="s">
        <v>21</v>
      </c>
      <c r="S39" s="772">
        <f t="shared" si="12"/>
        <v>100</v>
      </c>
      <c r="T39" s="771" t="s">
        <v>21</v>
      </c>
      <c r="U39" s="772">
        <f t="shared" si="13"/>
        <v>100</v>
      </c>
      <c r="V39" s="771" t="s">
        <v>21</v>
      </c>
      <c r="W39" s="772">
        <f t="shared" si="14"/>
        <v>100</v>
      </c>
      <c r="X39" s="1802"/>
      <c r="Y39" s="3204"/>
      <c r="Z39" s="1803" t="str">
        <f t="shared" si="18"/>
        <v>市政基础设施</v>
      </c>
      <c r="AA39" s="1800">
        <f t="shared" si="15"/>
        <v>1</v>
      </c>
      <c r="AB39" s="1800">
        <f t="shared" si="16"/>
        <v>1</v>
      </c>
      <c r="AC39" s="1800">
        <f t="shared" si="17"/>
        <v>1</v>
      </c>
    </row>
    <row r="40" spans="1:29" ht="15">
      <c r="A40" s="470"/>
      <c r="B40" s="420" t="s">
        <v>2571</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71"/>
      <c r="Q40" s="1799" t="str">
        <f t="shared" si="11"/>
        <v>房型</v>
      </c>
      <c r="R40" s="771" t="s">
        <v>21</v>
      </c>
      <c r="S40" s="772">
        <f t="shared" si="12"/>
        <v>100</v>
      </c>
      <c r="T40" s="771" t="s">
        <v>21</v>
      </c>
      <c r="U40" s="772">
        <f t="shared" si="13"/>
        <v>100</v>
      </c>
      <c r="V40" s="771" t="s">
        <v>21</v>
      </c>
      <c r="W40" s="772">
        <f t="shared" si="14"/>
        <v>100</v>
      </c>
      <c r="X40" s="1802"/>
      <c r="Y40" s="3204"/>
      <c r="Z40" s="1803" t="str">
        <f t="shared" si="18"/>
        <v>房型</v>
      </c>
      <c r="AA40" s="1800">
        <f t="shared" si="15"/>
        <v>1</v>
      </c>
      <c r="AB40" s="1800">
        <f t="shared" si="16"/>
        <v>1</v>
      </c>
      <c r="AC40" s="1800">
        <f t="shared" si="17"/>
        <v>1</v>
      </c>
    </row>
    <row r="41" spans="1:29" s="469" customFormat="1" ht="28.8">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71"/>
      <c r="Q41" s="773" t="str">
        <f t="shared" si="11"/>
        <v>单套/主力户型建筑面积</v>
      </c>
      <c r="R41" s="774" t="s">
        <v>21</v>
      </c>
      <c r="S41" s="775">
        <f t="shared" si="12"/>
        <v>100</v>
      </c>
      <c r="T41" s="774" t="s">
        <v>21</v>
      </c>
      <c r="U41" s="775">
        <f t="shared" si="13"/>
        <v>100</v>
      </c>
      <c r="V41" s="774" t="s">
        <v>21</v>
      </c>
      <c r="W41" s="775">
        <f t="shared" si="14"/>
        <v>100</v>
      </c>
      <c r="X41" s="776"/>
      <c r="Y41" s="3204"/>
      <c r="Z41" s="777" t="str">
        <f t="shared" si="18"/>
        <v>单套/主力户型建筑面积</v>
      </c>
      <c r="AA41" s="1800">
        <f t="shared" si="15"/>
        <v>1</v>
      </c>
      <c r="AB41" s="1800">
        <f t="shared" si="16"/>
        <v>1</v>
      </c>
      <c r="AC41" s="1800">
        <f t="shared" si="17"/>
        <v>1</v>
      </c>
    </row>
    <row r="42" spans="1:29" ht="15">
      <c r="A42" s="470"/>
      <c r="B42" s="420" t="s">
        <v>2573</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71"/>
      <c r="Q42" s="1799" t="str">
        <f t="shared" si="11"/>
        <v>内部装修</v>
      </c>
      <c r="R42" s="771" t="s">
        <v>21</v>
      </c>
      <c r="S42" s="772">
        <f t="shared" si="12"/>
        <v>100</v>
      </c>
      <c r="T42" s="771" t="s">
        <v>21</v>
      </c>
      <c r="U42" s="772">
        <f t="shared" si="13"/>
        <v>100</v>
      </c>
      <c r="V42" s="771" t="s">
        <v>21</v>
      </c>
      <c r="W42" s="772">
        <f t="shared" si="14"/>
        <v>100</v>
      </c>
      <c r="X42" s="1802"/>
      <c r="Y42" s="3204"/>
      <c r="Z42" s="1803" t="str">
        <f t="shared" si="18"/>
        <v>内部装修</v>
      </c>
      <c r="AA42" s="1800">
        <f t="shared" si="15"/>
        <v>1</v>
      </c>
      <c r="AB42" s="1800">
        <f t="shared" si="16"/>
        <v>1</v>
      </c>
      <c r="AC42" s="1800">
        <f t="shared" si="17"/>
        <v>1</v>
      </c>
    </row>
    <row r="43" spans="1:29" ht="28.8">
      <c r="A43" s="470"/>
      <c r="B43" s="420" t="s">
        <v>2574</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71"/>
      <c r="Q43" s="1799" t="str">
        <f t="shared" si="11"/>
        <v>内部装修维护情况</v>
      </c>
      <c r="R43" s="771" t="s">
        <v>21</v>
      </c>
      <c r="S43" s="772">
        <f t="shared" si="12"/>
        <v>100</v>
      </c>
      <c r="T43" s="771" t="s">
        <v>21</v>
      </c>
      <c r="U43" s="772">
        <f t="shared" si="13"/>
        <v>100</v>
      </c>
      <c r="V43" s="771" t="s">
        <v>21</v>
      </c>
      <c r="W43" s="772">
        <f t="shared" si="14"/>
        <v>100</v>
      </c>
      <c r="X43" s="1802"/>
      <c r="Y43" s="3204"/>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71"/>
      <c r="Q44" s="1784">
        <f t="shared" si="11"/>
        <v>111</v>
      </c>
      <c r="R44" s="767" t="s">
        <v>21</v>
      </c>
      <c r="S44" s="768">
        <f t="shared" si="12"/>
        <v>100</v>
      </c>
      <c r="T44" s="767" t="s">
        <v>21</v>
      </c>
      <c r="U44" s="768">
        <f t="shared" si="13"/>
        <v>100</v>
      </c>
      <c r="V44" s="767" t="s">
        <v>21</v>
      </c>
      <c r="W44" s="768">
        <f t="shared" si="14"/>
        <v>100</v>
      </c>
      <c r="X44" s="769"/>
      <c r="Y44" s="3204"/>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71"/>
      <c r="Q45" s="1799">
        <f t="shared" si="11"/>
        <v>111</v>
      </c>
      <c r="R45" s="771" t="s">
        <v>21</v>
      </c>
      <c r="S45" s="772">
        <f t="shared" si="12"/>
        <v>100</v>
      </c>
      <c r="T45" s="771" t="s">
        <v>21</v>
      </c>
      <c r="U45" s="772">
        <f t="shared" si="13"/>
        <v>100</v>
      </c>
      <c r="V45" s="771" t="s">
        <v>21</v>
      </c>
      <c r="W45" s="772">
        <f t="shared" si="14"/>
        <v>100</v>
      </c>
      <c r="X45" s="1802"/>
      <c r="Y45" s="3204"/>
      <c r="Z45" s="1803">
        <f t="shared" si="18"/>
        <v>111</v>
      </c>
      <c r="AA45" s="1800">
        <f t="shared" si="15"/>
        <v>1</v>
      </c>
      <c r="AB45" s="1800">
        <f t="shared" si="16"/>
        <v>1</v>
      </c>
      <c r="AC45" s="1800">
        <f t="shared" si="17"/>
        <v>1</v>
      </c>
    </row>
    <row r="46" spans="1:29" ht="15.6"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72"/>
      <c r="Q46" s="1799">
        <f t="shared" si="11"/>
        <v>111</v>
      </c>
      <c r="R46" s="771" t="s">
        <v>20</v>
      </c>
      <c r="S46" s="772">
        <f t="shared" si="12"/>
        <v>100</v>
      </c>
      <c r="T46" s="771" t="s">
        <v>20</v>
      </c>
      <c r="U46" s="772">
        <f t="shared" si="13"/>
        <v>100</v>
      </c>
      <c r="V46" s="771" t="s">
        <v>20</v>
      </c>
      <c r="W46" s="772">
        <f t="shared" si="14"/>
        <v>100</v>
      </c>
      <c r="X46" s="1802"/>
      <c r="Y46" s="3273"/>
      <c r="Z46" s="1803">
        <f t="shared" si="18"/>
        <v>111</v>
      </c>
      <c r="AA46" s="1800">
        <f t="shared" si="15"/>
        <v>1</v>
      </c>
      <c r="AB46" s="1800">
        <f t="shared" si="16"/>
        <v>1</v>
      </c>
      <c r="AC46" s="1800">
        <f t="shared" si="17"/>
        <v>1</v>
      </c>
    </row>
    <row r="47" spans="1:29" ht="14.4">
      <c r="A47" s="477" t="s">
        <v>2575</v>
      </c>
      <c r="B47" s="478"/>
      <c r="C47" s="1404" t="s">
        <v>19</v>
      </c>
      <c r="D47" s="1405"/>
      <c r="E47" s="1406"/>
      <c r="F47" s="1407"/>
      <c r="G47" s="1408"/>
      <c r="H47" s="1409"/>
      <c r="I47" s="1406"/>
      <c r="J47" s="1409"/>
      <c r="K47" s="2612"/>
      <c r="L47" s="1140"/>
      <c r="M47" s="1141"/>
      <c r="N47" s="1128"/>
      <c r="O47" s="1141"/>
      <c r="P47" s="3198" t="str">
        <f>A47</f>
        <v>成交单价（元/平方米）</v>
      </c>
      <c r="Q47" s="3198"/>
      <c r="R47" s="3269">
        <f>E47</f>
        <v>0</v>
      </c>
      <c r="S47" s="3269"/>
      <c r="T47" s="3269">
        <f>G47</f>
        <v>0</v>
      </c>
      <c r="U47" s="3269"/>
      <c r="V47" s="3269">
        <f>I47</f>
        <v>0</v>
      </c>
      <c r="W47" s="3269"/>
      <c r="X47" s="756"/>
      <c r="Y47" s="778"/>
      <c r="Z47" s="756"/>
      <c r="AA47" s="756"/>
      <c r="AB47" s="756"/>
      <c r="AC47" s="756"/>
    </row>
    <row r="48" spans="1:29" ht="15" thickBot="1">
      <c r="A48" s="484" t="s">
        <v>2576</v>
      </c>
      <c r="B48" s="485"/>
      <c r="C48" s="1410" t="e">
        <f>R49</f>
        <v>#DIV/0!</v>
      </c>
      <c r="D48" s="1411"/>
      <c r="E48" s="1412" t="e">
        <f>R48</f>
        <v>#DIV/0!</v>
      </c>
      <c r="F48" s="1412"/>
      <c r="G48" s="1410" t="e">
        <f>T48</f>
        <v>#DIV/0!</v>
      </c>
      <c r="H48" s="1411"/>
      <c r="I48" s="1412" t="e">
        <f>V48</f>
        <v>#DIV/0!</v>
      </c>
      <c r="J48" s="1411"/>
      <c r="K48" s="2613"/>
      <c r="L48" s="1140"/>
      <c r="M48" s="1141"/>
      <c r="N48" s="1141"/>
      <c r="O48" s="1141"/>
      <c r="P48" s="3198" t="str">
        <f>A48</f>
        <v>比较价值（元/平方米）</v>
      </c>
      <c r="Q48" s="319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6"/>
      <c r="Y48" s="756"/>
      <c r="Z48" s="756"/>
      <c r="AA48" s="756"/>
      <c r="AB48" s="756"/>
      <c r="AC48" s="756"/>
    </row>
    <row r="49" spans="1:29" ht="15" thickBot="1">
      <c r="A49" s="490" t="s">
        <v>2577</v>
      </c>
      <c r="B49" s="491"/>
      <c r="C49" s="1413" t="e">
        <f>R49</f>
        <v>#DIV/0!</v>
      </c>
      <c r="D49" s="1414"/>
      <c r="E49" s="1414"/>
      <c r="F49" s="1414"/>
      <c r="G49" s="1414"/>
      <c r="H49" s="1414"/>
      <c r="I49" s="1414"/>
      <c r="J49" s="1414"/>
      <c r="K49" s="2614"/>
      <c r="L49" s="1140"/>
      <c r="M49" s="1141"/>
      <c r="N49" s="1141"/>
      <c r="O49" s="1141"/>
      <c r="P49" s="3195" t="str">
        <f>A49</f>
        <v>估价对象XX用房的比较价值（楼面单价，元/平方米）</v>
      </c>
      <c r="Q49" s="3196"/>
      <c r="R49" s="3268" t="e">
        <f>IF(F1="售价",ROUND(AVERAGE(R48:V48),0),ROUND(AVERAGE(R48:V48),1))</f>
        <v>#DIV/0!</v>
      </c>
      <c r="S49" s="3268"/>
      <c r="T49" s="3268"/>
      <c r="U49" s="3268"/>
      <c r="V49" s="3268"/>
      <c r="W49" s="32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0" t="s">
        <v>2581</v>
      </c>
      <c r="B57" s="756"/>
      <c r="C57" s="761"/>
      <c r="D57" s="761"/>
      <c r="E57" s="761"/>
      <c r="F57" s="762"/>
      <c r="G57" s="762"/>
      <c r="H57" s="761"/>
      <c r="I57" s="761"/>
      <c r="J57" s="761"/>
      <c r="K57" s="1157"/>
      <c r="L57" s="1158"/>
      <c r="M57" s="1156"/>
      <c r="N57" s="1156"/>
      <c r="O57" s="1156"/>
      <c r="P57" s="2617"/>
      <c r="Q57" s="502"/>
    </row>
    <row r="58" spans="1:29" s="506" customFormat="1" ht="14.4">
      <c r="A58" s="503" t="s">
        <v>2582</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c r="A59" s="507"/>
      <c r="B59" s="2618"/>
      <c r="C59" s="1570">
        <v>100</v>
      </c>
      <c r="D59" s="509"/>
      <c r="E59" s="510"/>
      <c r="F59" s="510"/>
      <c r="G59" s="510"/>
      <c r="H59" s="510"/>
      <c r="I59" s="510"/>
      <c r="J59" s="510"/>
      <c r="K59" s="510"/>
      <c r="L59" s="510"/>
      <c r="M59" s="511"/>
      <c r="N59" s="510"/>
      <c r="O59" s="511"/>
      <c r="P59" s="2619"/>
    </row>
    <row r="60" spans="1:29" s="116" customFormat="1" ht="15" thickBot="1">
      <c r="A60" s="513" t="s">
        <v>2583</v>
      </c>
      <c r="B60" s="514"/>
      <c r="C60" s="515"/>
      <c r="D60" s="516"/>
      <c r="E60" s="516"/>
      <c r="F60" s="516"/>
      <c r="G60" s="516"/>
      <c r="H60" s="516"/>
      <c r="I60" s="516"/>
      <c r="J60" s="516"/>
      <c r="K60" s="516"/>
      <c r="L60" s="516"/>
      <c r="M60" s="517"/>
      <c r="N60" s="516"/>
      <c r="O60" s="517"/>
      <c r="P60" s="2619"/>
      <c r="Q60" s="502"/>
    </row>
    <row r="61" spans="1:29" s="116" customFormat="1" ht="14.4">
      <c r="A61" s="519" t="s">
        <v>2584</v>
      </c>
      <c r="B61" s="508"/>
      <c r="C61" s="520" t="s">
        <v>2585</v>
      </c>
      <c r="D61" s="521"/>
      <c r="E61" s="521"/>
      <c r="F61" s="521"/>
      <c r="G61" s="521"/>
      <c r="H61" s="521"/>
      <c r="I61" s="521"/>
      <c r="J61" s="521"/>
      <c r="K61" s="521"/>
      <c r="L61" s="522"/>
      <c r="M61" s="523"/>
      <c r="N61" s="1148"/>
      <c r="O61" s="1148"/>
      <c r="P61" s="2620"/>
      <c r="Q61" s="502"/>
    </row>
    <row r="62" spans="1:29" s="116" customFormat="1" ht="14.4" thickBot="1">
      <c r="A62" s="519"/>
      <c r="B62" s="508"/>
      <c r="C62" s="509">
        <v>100</v>
      </c>
      <c r="D62" s="510"/>
      <c r="E62" s="510"/>
      <c r="F62" s="510"/>
      <c r="G62" s="510"/>
      <c r="H62" s="510"/>
      <c r="I62" s="510"/>
      <c r="J62" s="510"/>
      <c r="K62" s="510"/>
      <c r="L62" s="510"/>
      <c r="M62" s="512"/>
      <c r="N62" s="1148"/>
      <c r="O62" s="1148"/>
      <c r="P62" s="2619"/>
      <c r="Q62" s="502"/>
    </row>
    <row r="63" spans="1:29" ht="14.4">
      <c r="A63" s="525" t="s">
        <v>2586</v>
      </c>
      <c r="B63" s="526" t="s">
        <v>2552</v>
      </c>
      <c r="C63" s="527">
        <f>C9</f>
        <v>0</v>
      </c>
      <c r="D63" s="528"/>
      <c r="E63" s="528"/>
      <c r="F63" s="528"/>
      <c r="G63" s="528"/>
      <c r="H63" s="528"/>
      <c r="I63" s="528"/>
      <c r="J63" s="528"/>
      <c r="K63" s="529"/>
      <c r="L63" s="530"/>
      <c r="M63" s="531"/>
      <c r="N63" s="1149"/>
      <c r="O63" s="1149"/>
      <c r="P63" s="2621"/>
      <c r="Q63" s="502"/>
    </row>
    <row r="64" spans="1:29" ht="14.4" thickBot="1">
      <c r="A64" s="532"/>
      <c r="B64" s="533"/>
      <c r="C64" s="534">
        <v>100</v>
      </c>
      <c r="D64" s="534"/>
      <c r="E64" s="534"/>
      <c r="F64" s="534"/>
      <c r="G64" s="534"/>
      <c r="H64" s="534"/>
      <c r="I64" s="534"/>
      <c r="J64" s="534"/>
      <c r="K64" s="534"/>
      <c r="L64" s="534"/>
      <c r="M64" s="535"/>
      <c r="N64" s="1150"/>
      <c r="O64" s="1150"/>
      <c r="P64" s="2621"/>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c r="A68" s="532"/>
      <c r="B68" s="546"/>
      <c r="C68" s="547"/>
      <c r="D68" s="547"/>
      <c r="E68" s="547"/>
      <c r="F68" s="547"/>
      <c r="G68" s="547"/>
      <c r="H68" s="547"/>
      <c r="I68" s="547"/>
      <c r="J68" s="547"/>
      <c r="K68" s="548"/>
      <c r="L68" s="549"/>
      <c r="M68" s="550"/>
      <c r="N68" s="1149"/>
      <c r="O68" s="1149"/>
      <c r="P68" s="2621"/>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4.4" thickTop="1">
      <c r="A70" s="551"/>
      <c r="B70" s="536">
        <f>B12</f>
        <v>111</v>
      </c>
      <c r="C70" s="552"/>
      <c r="D70" s="552"/>
      <c r="E70" s="552"/>
      <c r="F70" s="552"/>
      <c r="G70" s="552"/>
      <c r="H70" s="553"/>
      <c r="I70" s="553"/>
      <c r="J70" s="553"/>
      <c r="K70" s="553"/>
      <c r="L70" s="554"/>
      <c r="M70" s="555"/>
      <c r="N70" s="1151"/>
      <c r="O70" s="1151"/>
      <c r="P70" s="2622"/>
      <c r="Q70" s="557"/>
    </row>
    <row r="71" spans="1:17" s="469" customFormat="1" ht="14.4" thickBot="1">
      <c r="A71" s="551"/>
      <c r="B71" s="541"/>
      <c r="C71" s="558"/>
      <c r="D71" s="534"/>
      <c r="E71" s="534"/>
      <c r="F71" s="534"/>
      <c r="G71" s="534"/>
      <c r="H71" s="534"/>
      <c r="I71" s="534"/>
      <c r="J71" s="534"/>
      <c r="K71" s="534"/>
      <c r="L71" s="534"/>
      <c r="M71" s="535"/>
      <c r="N71" s="1150"/>
      <c r="O71" s="1150"/>
      <c r="P71" s="2622"/>
      <c r="Q71" s="557"/>
    </row>
    <row r="72" spans="1:17" s="469" customFormat="1" ht="14.4" thickTop="1">
      <c r="A72" s="551"/>
      <c r="B72" s="536">
        <f>B13</f>
        <v>111</v>
      </c>
      <c r="C72" s="552"/>
      <c r="D72" s="552"/>
      <c r="E72" s="552"/>
      <c r="F72" s="552"/>
      <c r="G72" s="552"/>
      <c r="H72" s="553"/>
      <c r="I72" s="553"/>
      <c r="J72" s="553"/>
      <c r="K72" s="553"/>
      <c r="L72" s="554"/>
      <c r="M72" s="555"/>
      <c r="N72" s="1151"/>
      <c r="O72" s="1151"/>
      <c r="P72" s="2623"/>
      <c r="Q72" s="559"/>
    </row>
    <row r="73" spans="1:17" s="469" customFormat="1" ht="14.4" thickBot="1">
      <c r="A73" s="551"/>
      <c r="B73" s="541"/>
      <c r="C73" s="558"/>
      <c r="D73" s="558"/>
      <c r="E73" s="558"/>
      <c r="F73" s="558"/>
      <c r="G73" s="558"/>
      <c r="H73" s="560"/>
      <c r="I73" s="560"/>
      <c r="J73" s="560"/>
      <c r="K73" s="560"/>
      <c r="L73" s="560"/>
      <c r="M73" s="561"/>
      <c r="N73" s="1151"/>
      <c r="O73" s="1151"/>
      <c r="P73" s="2622"/>
      <c r="Q73" s="557"/>
    </row>
    <row r="74" spans="1:17" s="469" customFormat="1" ht="14.4" thickTop="1">
      <c r="A74" s="551"/>
      <c r="B74" s="544">
        <f>B14</f>
        <v>111</v>
      </c>
      <c r="C74" s="552"/>
      <c r="D74" s="552"/>
      <c r="E74" s="552"/>
      <c r="F74" s="552"/>
      <c r="G74" s="521"/>
      <c r="H74" s="562"/>
      <c r="I74" s="562"/>
      <c r="J74" s="562"/>
      <c r="K74" s="562"/>
      <c r="L74" s="563"/>
      <c r="M74" s="564"/>
      <c r="N74" s="1151"/>
      <c r="O74" s="1151"/>
      <c r="P74" s="2624"/>
      <c r="Q74" s="557"/>
    </row>
    <row r="75" spans="1:17" s="469" customFormat="1" ht="14.4" thickBot="1">
      <c r="A75" s="566"/>
      <c r="B75" s="567"/>
      <c r="C75" s="568"/>
      <c r="D75" s="568"/>
      <c r="E75" s="568"/>
      <c r="F75" s="568"/>
      <c r="G75" s="568"/>
      <c r="H75" s="569"/>
      <c r="I75" s="569"/>
      <c r="J75" s="569"/>
      <c r="K75" s="569"/>
      <c r="L75" s="569"/>
      <c r="M75" s="570"/>
      <c r="N75" s="1151"/>
      <c r="O75" s="1151"/>
      <c r="P75" s="2622"/>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 thickTop="1">
      <c r="A82" s="532"/>
      <c r="B82" s="544" t="s">
        <v>2096</v>
      </c>
      <c r="C82" s="537" t="s">
        <v>2602</v>
      </c>
      <c r="D82" s="537" t="s">
        <v>2603</v>
      </c>
      <c r="E82" s="537" t="s">
        <v>2604</v>
      </c>
      <c r="F82" s="537" t="s">
        <v>2605</v>
      </c>
      <c r="G82" s="537" t="s">
        <v>2606</v>
      </c>
      <c r="H82" s="537"/>
      <c r="I82" s="537"/>
      <c r="J82" s="537"/>
      <c r="K82" s="537"/>
      <c r="L82" s="537"/>
      <c r="M82" s="1379"/>
      <c r="N82" s="1150"/>
      <c r="O82" s="1150"/>
      <c r="P82" s="2621"/>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 thickTop="1">
      <c r="A86" s="577"/>
      <c r="B86" s="536" t="s">
        <v>2608</v>
      </c>
      <c r="C86" s="552"/>
      <c r="D86" s="552"/>
      <c r="E86" s="552"/>
      <c r="F86" s="552"/>
      <c r="G86" s="552"/>
      <c r="H86" s="552"/>
      <c r="I86" s="552"/>
      <c r="J86" s="552"/>
      <c r="K86" s="552"/>
      <c r="L86" s="578"/>
      <c r="M86" s="579"/>
      <c r="N86" s="1148"/>
      <c r="O86" s="1148"/>
      <c r="P86" s="2621"/>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 thickTop="1">
      <c r="A88" s="577"/>
      <c r="B88" s="536" t="s">
        <v>2609</v>
      </c>
      <c r="C88" s="552"/>
      <c r="D88" s="552"/>
      <c r="E88" s="552"/>
      <c r="F88" s="2626"/>
      <c r="G88" s="552"/>
      <c r="H88" s="552"/>
      <c r="I88" s="552"/>
      <c r="J88" s="552"/>
      <c r="K88" s="552"/>
      <c r="L88" s="552"/>
      <c r="M88" s="579"/>
      <c r="N88" s="1148"/>
      <c r="O88" s="1148"/>
      <c r="P88" s="2621"/>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4.4" thickTop="1">
      <c r="A90" s="551"/>
      <c r="B90" s="536">
        <f>B27</f>
        <v>111</v>
      </c>
      <c r="C90" s="552"/>
      <c r="D90" s="552"/>
      <c r="E90" s="552"/>
      <c r="F90" s="552"/>
      <c r="G90" s="552"/>
      <c r="H90" s="553"/>
      <c r="I90" s="553"/>
      <c r="J90" s="553"/>
      <c r="K90" s="553"/>
      <c r="L90" s="554"/>
      <c r="M90" s="555"/>
      <c r="N90" s="1151"/>
      <c r="O90" s="1151"/>
      <c r="P90" s="2622"/>
      <c r="Q90" s="557"/>
    </row>
    <row r="91" spans="1:17" s="469" customFormat="1" ht="14.4" thickBot="1">
      <c r="A91" s="551"/>
      <c r="B91" s="541"/>
      <c r="C91" s="558"/>
      <c r="D91" s="558"/>
      <c r="E91" s="558"/>
      <c r="F91" s="558"/>
      <c r="G91" s="558"/>
      <c r="H91" s="560"/>
      <c r="I91" s="560"/>
      <c r="J91" s="560"/>
      <c r="K91" s="560"/>
      <c r="L91" s="560"/>
      <c r="M91" s="561"/>
      <c r="N91" s="1151"/>
      <c r="O91" s="1151"/>
      <c r="P91" s="2622"/>
      <c r="Q91" s="557"/>
    </row>
    <row r="92" spans="1:17" ht="14.4" thickTop="1">
      <c r="A92" s="532"/>
      <c r="B92" s="536">
        <f>B28</f>
        <v>111</v>
      </c>
      <c r="C92" s="552"/>
      <c r="D92" s="552"/>
      <c r="E92" s="552"/>
      <c r="F92" s="552"/>
      <c r="G92" s="581"/>
      <c r="H92" s="581"/>
      <c r="I92" s="581"/>
      <c r="J92" s="581"/>
      <c r="K92" s="582"/>
      <c r="L92" s="583"/>
      <c r="M92" s="584"/>
      <c r="N92" s="1149"/>
      <c r="O92" s="1149"/>
      <c r="P92" s="2621"/>
      <c r="Q92" s="502"/>
    </row>
    <row r="93" spans="1:17" ht="14.4" thickBot="1">
      <c r="A93" s="532"/>
      <c r="B93" s="541"/>
      <c r="C93" s="558"/>
      <c r="D93" s="534"/>
      <c r="E93" s="534"/>
      <c r="F93" s="534"/>
      <c r="G93" s="534"/>
      <c r="H93" s="534"/>
      <c r="I93" s="534"/>
      <c r="J93" s="534"/>
      <c r="K93" s="534"/>
      <c r="L93" s="534"/>
      <c r="M93" s="535"/>
      <c r="N93" s="1150"/>
      <c r="O93" s="1150"/>
      <c r="P93" s="2621"/>
      <c r="Q93" s="502"/>
    </row>
    <row r="94" spans="1:17" ht="14.4" thickTop="1">
      <c r="A94" s="532"/>
      <c r="B94" s="536">
        <f>B29</f>
        <v>111</v>
      </c>
      <c r="C94" s="552"/>
      <c r="D94" s="552"/>
      <c r="E94" s="552"/>
      <c r="F94" s="552"/>
      <c r="G94" s="581"/>
      <c r="H94" s="581"/>
      <c r="I94" s="581"/>
      <c r="J94" s="581"/>
      <c r="K94" s="582"/>
      <c r="L94" s="583"/>
      <c r="M94" s="584"/>
      <c r="N94" s="1149"/>
      <c r="O94" s="1149"/>
      <c r="P94" s="2621"/>
      <c r="Q94" s="502"/>
    </row>
    <row r="95" spans="1:17" ht="14.4" thickBot="1">
      <c r="A95" s="532"/>
      <c r="B95" s="541"/>
      <c r="C95" s="558"/>
      <c r="D95" s="558"/>
      <c r="E95" s="558"/>
      <c r="F95" s="558"/>
      <c r="G95" s="534"/>
      <c r="H95" s="534"/>
      <c r="I95" s="534"/>
      <c r="J95" s="534"/>
      <c r="K95" s="534"/>
      <c r="L95" s="534"/>
      <c r="M95" s="535"/>
      <c r="N95" s="1150"/>
      <c r="O95" s="1150"/>
      <c r="P95" s="2621"/>
      <c r="Q95" s="502"/>
    </row>
    <row r="96" spans="1:17" ht="14.4" thickTop="1">
      <c r="A96" s="532"/>
      <c r="B96" s="536">
        <f>B30</f>
        <v>111</v>
      </c>
      <c r="C96" s="552"/>
      <c r="D96" s="552"/>
      <c r="E96" s="552"/>
      <c r="F96" s="552"/>
      <c r="G96" s="581"/>
      <c r="H96" s="581"/>
      <c r="I96" s="581"/>
      <c r="J96" s="581"/>
      <c r="K96" s="582"/>
      <c r="L96" s="583"/>
      <c r="M96" s="584"/>
      <c r="N96" s="1149"/>
      <c r="O96" s="1149"/>
      <c r="P96" s="2621"/>
      <c r="Q96" s="502"/>
    </row>
    <row r="97" spans="1:17" ht="14.4" thickBot="1">
      <c r="A97" s="532"/>
      <c r="B97" s="541"/>
      <c r="C97" s="568"/>
      <c r="D97" s="568"/>
      <c r="E97" s="568"/>
      <c r="F97" s="568"/>
      <c r="G97" s="534"/>
      <c r="H97" s="534"/>
      <c r="I97" s="534"/>
      <c r="J97" s="534"/>
      <c r="K97" s="534"/>
      <c r="L97" s="534"/>
      <c r="M97" s="535"/>
      <c r="N97" s="1150"/>
      <c r="O97" s="1150"/>
      <c r="P97" s="2621"/>
      <c r="Q97" s="502"/>
    </row>
    <row r="98" spans="1:17" ht="14.4" thickTop="1">
      <c r="A98" s="532"/>
      <c r="B98" s="544">
        <f>B31</f>
        <v>111</v>
      </c>
      <c r="C98" s="585"/>
      <c r="D98" s="585"/>
      <c r="E98" s="585"/>
      <c r="F98" s="585"/>
      <c r="G98" s="585"/>
      <c r="H98" s="585"/>
      <c r="I98" s="585"/>
      <c r="J98" s="585"/>
      <c r="K98" s="586"/>
      <c r="L98" s="587"/>
      <c r="M98" s="588"/>
      <c r="N98" s="1149"/>
      <c r="O98" s="1149"/>
      <c r="P98" s="2621"/>
      <c r="Q98" s="502"/>
    </row>
    <row r="99" spans="1:17" ht="14.4" thickBot="1">
      <c r="A99" s="2627"/>
      <c r="B99" s="567"/>
      <c r="C99" s="589"/>
      <c r="D99" s="589"/>
      <c r="E99" s="589"/>
      <c r="F99" s="589"/>
      <c r="G99" s="589"/>
      <c r="H99" s="589"/>
      <c r="I99" s="589"/>
      <c r="J99" s="589"/>
      <c r="K99" s="589"/>
      <c r="L99" s="589"/>
      <c r="M99" s="590"/>
      <c r="N99" s="1150"/>
      <c r="O99" s="1150"/>
      <c r="P99" s="2621"/>
      <c r="Q99" s="502"/>
    </row>
    <row r="100" spans="1:17" ht="14.4">
      <c r="A100" s="525" t="s">
        <v>2561</v>
      </c>
      <c r="B100" s="526" t="s">
        <v>2610</v>
      </c>
      <c r="C100" s="528"/>
      <c r="D100" s="528"/>
      <c r="E100" s="528"/>
      <c r="F100" s="528"/>
      <c r="G100" s="528"/>
      <c r="H100" s="528"/>
      <c r="I100" s="528"/>
      <c r="J100" s="528"/>
      <c r="K100" s="529"/>
      <c r="L100" s="530"/>
      <c r="M100" s="531"/>
      <c r="N100" s="1149"/>
      <c r="O100" s="1149"/>
      <c r="P100" s="2621"/>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4.4"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2613</v>
      </c>
      <c r="C107" s="581"/>
      <c r="D107" s="581"/>
      <c r="E107" s="581"/>
      <c r="F107" s="581"/>
      <c r="G107" s="581"/>
      <c r="H107" s="581"/>
      <c r="I107" s="581"/>
      <c r="J107" s="581"/>
      <c r="K107" s="582"/>
      <c r="L107" s="583"/>
      <c r="M107" s="584"/>
      <c r="N107" s="1149"/>
      <c r="O107" s="1149"/>
      <c r="P107" s="2621"/>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2614</v>
      </c>
      <c r="C109" s="552"/>
      <c r="D109" s="552"/>
      <c r="E109" s="552"/>
      <c r="F109" s="581"/>
      <c r="G109" s="581"/>
      <c r="H109" s="581"/>
      <c r="I109" s="581"/>
      <c r="J109" s="581"/>
      <c r="K109" s="582"/>
      <c r="L109" s="583"/>
      <c r="M109" s="584"/>
      <c r="N109" s="1149"/>
      <c r="O109" s="1149"/>
      <c r="P109" s="2621"/>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2615</v>
      </c>
      <c r="C114" s="552"/>
      <c r="D114" s="552"/>
      <c r="E114" s="581"/>
      <c r="F114" s="581"/>
      <c r="G114" s="581"/>
      <c r="H114" s="581"/>
      <c r="I114" s="581"/>
      <c r="J114" s="581"/>
      <c r="K114" s="582"/>
      <c r="L114" s="583"/>
      <c r="M114" s="584"/>
      <c r="N114" s="1149"/>
      <c r="O114" s="1149"/>
      <c r="P114" s="2621"/>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2616</v>
      </c>
      <c r="C116" s="552"/>
      <c r="D116" s="552"/>
      <c r="E116" s="552"/>
      <c r="F116" s="552"/>
      <c r="G116" s="552"/>
      <c r="H116" s="581"/>
      <c r="I116" s="581"/>
      <c r="J116" s="581"/>
      <c r="K116" s="582"/>
      <c r="L116" s="583"/>
      <c r="M116" s="584"/>
      <c r="N116" s="1149"/>
      <c r="O116" s="1149"/>
      <c r="P116" s="2621"/>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2617</v>
      </c>
      <c r="C118" s="581"/>
      <c r="D118" s="581"/>
      <c r="E118" s="581"/>
      <c r="F118" s="581"/>
      <c r="G118" s="581"/>
      <c r="H118" s="581"/>
      <c r="I118" s="581"/>
      <c r="J118" s="581"/>
      <c r="K118" s="582"/>
      <c r="L118" s="583"/>
      <c r="M118" s="584"/>
      <c r="N118" s="1149"/>
      <c r="O118" s="1149"/>
      <c r="P118" s="2621"/>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9.4" thickTop="1">
      <c r="A120" s="591"/>
      <c r="B120" s="536" t="s">
        <v>2572</v>
      </c>
      <c r="C120" s="552"/>
      <c r="D120" s="552"/>
      <c r="E120" s="552"/>
      <c r="F120" s="552"/>
      <c r="G120" s="552"/>
      <c r="H120" s="552"/>
      <c r="I120" s="552"/>
      <c r="J120" s="552"/>
      <c r="K120" s="552"/>
      <c r="L120" s="578"/>
      <c r="M120" s="579"/>
      <c r="N120" s="1151"/>
      <c r="O120" s="1151"/>
      <c r="P120" s="2622"/>
      <c r="Q120" s="557"/>
    </row>
    <row r="121" spans="1:17" s="469" customFormat="1" ht="14.4"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2"/>
      <c r="Q127" s="557"/>
    </row>
    <row r="128" spans="1:17" ht="14.4" thickTop="1">
      <c r="A128" s="597"/>
      <c r="B128" s="536">
        <f>B45</f>
        <v>111</v>
      </c>
      <c r="C128" s="552"/>
      <c r="D128" s="552"/>
      <c r="E128" s="552"/>
      <c r="F128" s="552"/>
      <c r="G128" s="581"/>
      <c r="H128" s="581"/>
      <c r="I128" s="581"/>
      <c r="J128" s="581"/>
      <c r="K128" s="582"/>
      <c r="L128" s="583"/>
      <c r="M128" s="584"/>
      <c r="N128" s="1149"/>
      <c r="O128" s="1149"/>
      <c r="P128" s="2621"/>
      <c r="Q128" s="502"/>
    </row>
    <row r="129" spans="1:17" ht="14.4" thickBot="1">
      <c r="A129" s="532"/>
      <c r="B129" s="541"/>
      <c r="C129" s="558"/>
      <c r="D129" s="558"/>
      <c r="E129" s="558"/>
      <c r="F129" s="558"/>
      <c r="G129" s="534"/>
      <c r="H129" s="534"/>
      <c r="I129" s="534"/>
      <c r="J129" s="534"/>
      <c r="K129" s="534"/>
      <c r="L129" s="534"/>
      <c r="M129" s="535"/>
      <c r="N129" s="1150"/>
      <c r="O129" s="1150"/>
      <c r="P129" s="2621"/>
      <c r="Q129" s="502"/>
    </row>
    <row r="130" spans="1:17" ht="14.4" thickTop="1">
      <c r="A130" s="597"/>
      <c r="B130" s="544">
        <f>B46</f>
        <v>111</v>
      </c>
      <c r="C130" s="552"/>
      <c r="D130" s="552"/>
      <c r="E130" s="552"/>
      <c r="F130" s="552"/>
      <c r="G130" s="585"/>
      <c r="H130" s="585"/>
      <c r="I130" s="585"/>
      <c r="J130" s="585"/>
      <c r="K130" s="521"/>
      <c r="L130" s="522"/>
      <c r="M130" s="588"/>
      <c r="N130" s="1149"/>
      <c r="O130" s="1149"/>
      <c r="P130" s="2621"/>
      <c r="Q130" s="502"/>
    </row>
    <row r="131" spans="1:17" ht="14.4"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2620</v>
      </c>
    </row>
    <row r="137" spans="1:17" ht="15">
      <c r="B137" s="2629" t="s">
        <v>2621</v>
      </c>
      <c r="C137" s="2630"/>
      <c r="D137" s="2630"/>
      <c r="E137" s="2630"/>
      <c r="F137" s="2630"/>
      <c r="G137" s="2631"/>
      <c r="H137" s="2632"/>
      <c r="I137" s="2633" t="s">
        <v>2622</v>
      </c>
      <c r="J137" s="2630"/>
      <c r="K137" s="2634"/>
    </row>
    <row r="138" spans="1:17" ht="15">
      <c r="B138" s="2635"/>
      <c r="C138" s="144" t="s">
        <v>2623</v>
      </c>
      <c r="D138" s="144" t="s">
        <v>2624</v>
      </c>
      <c r="E138" s="2636" t="s">
        <v>2625</v>
      </c>
      <c r="F138" s="2637" t="s">
        <v>2626</v>
      </c>
      <c r="G138" s="144" t="s">
        <v>2624</v>
      </c>
      <c r="H138" s="145" t="s">
        <v>2625</v>
      </c>
      <c r="I138" s="2638"/>
      <c r="J138" s="144" t="s">
        <v>2627</v>
      </c>
      <c r="K138" s="145" t="s">
        <v>2628</v>
      </c>
    </row>
    <row r="139" spans="1:17" ht="15">
      <c r="B139" s="1081">
        <v>6</v>
      </c>
      <c r="C139" s="1082">
        <v>96</v>
      </c>
      <c r="D139" s="2639" t="s">
        <v>2629</v>
      </c>
      <c r="E139" s="1083">
        <v>100</v>
      </c>
      <c r="F139" s="1084">
        <v>102.5</v>
      </c>
      <c r="G139" s="2639" t="s">
        <v>2629</v>
      </c>
      <c r="H139" s="1085">
        <v>105</v>
      </c>
      <c r="I139" s="2640" t="s">
        <v>2630</v>
      </c>
      <c r="J139" s="1082">
        <v>20</v>
      </c>
      <c r="K139" s="1086">
        <f>C145/(J139-2)</f>
        <v>4.0555555555555553E-3</v>
      </c>
    </row>
    <row r="140" spans="1:17" ht="15">
      <c r="B140" s="1087">
        <v>5</v>
      </c>
      <c r="C140" s="1088">
        <v>100</v>
      </c>
      <c r="D140" s="1088"/>
      <c r="E140" s="1089"/>
      <c r="F140" s="1090">
        <v>102</v>
      </c>
      <c r="G140" s="1088"/>
      <c r="H140" s="1091"/>
      <c r="I140" s="2641" t="s">
        <v>2631</v>
      </c>
      <c r="J140" s="313">
        <f>ROUNDUP((J139-1)/2,0)</f>
        <v>10</v>
      </c>
      <c r="K140" s="1092">
        <v>100</v>
      </c>
    </row>
    <row r="141" spans="1:17" ht="15">
      <c r="B141" s="1087">
        <v>4</v>
      </c>
      <c r="C141" s="1088">
        <v>102</v>
      </c>
      <c r="D141" s="1088"/>
      <c r="E141" s="1089"/>
      <c r="F141" s="1090">
        <v>101.5</v>
      </c>
      <c r="G141" s="1088"/>
      <c r="H141" s="1091"/>
      <c r="I141" s="2641" t="s">
        <v>2632</v>
      </c>
      <c r="J141" s="313">
        <v>1</v>
      </c>
      <c r="K141" s="1093">
        <f>ROUND(100+(J141-J140)*K139*100,1)</f>
        <v>96.4</v>
      </c>
    </row>
    <row r="142" spans="1:17" ht="15">
      <c r="B142" s="1087">
        <v>3</v>
      </c>
      <c r="C142" s="1088">
        <v>103</v>
      </c>
      <c r="D142" s="1088"/>
      <c r="E142" s="1089"/>
      <c r="F142" s="1090">
        <v>101</v>
      </c>
      <c r="G142" s="1088"/>
      <c r="H142" s="1091"/>
      <c r="I142" s="2641" t="s">
        <v>2633</v>
      </c>
      <c r="J142" s="313">
        <f>J139</f>
        <v>20</v>
      </c>
      <c r="K142" s="1094">
        <v>95</v>
      </c>
    </row>
    <row r="143" spans="1:17" ht="15">
      <c r="B143" s="1087">
        <v>2</v>
      </c>
      <c r="C143" s="1088">
        <v>100</v>
      </c>
      <c r="D143" s="1088"/>
      <c r="E143" s="1089"/>
      <c r="F143" s="1090">
        <v>100.5</v>
      </c>
      <c r="G143" s="1088"/>
      <c r="H143" s="1091"/>
      <c r="I143" s="2641" t="s">
        <v>2634</v>
      </c>
      <c r="J143" s="1088">
        <v>15</v>
      </c>
      <c r="K143" s="1093">
        <f>ROUND(100+(J143-J140)*K139*100,1)</f>
        <v>102</v>
      </c>
    </row>
    <row r="144" spans="1:17" ht="15">
      <c r="B144" s="1087">
        <v>1</v>
      </c>
      <c r="C144" s="1088">
        <v>98</v>
      </c>
      <c r="D144" s="2642" t="s">
        <v>2635</v>
      </c>
      <c r="E144" s="1089">
        <v>102</v>
      </c>
      <c r="F144" s="1095">
        <v>100</v>
      </c>
      <c r="G144" s="2642" t="s">
        <v>2635</v>
      </c>
      <c r="H144" s="1091">
        <v>105</v>
      </c>
      <c r="I144" s="2641" t="s">
        <v>2634</v>
      </c>
      <c r="J144" s="1088">
        <v>18</v>
      </c>
      <c r="K144" s="1093">
        <f>ROUND(100+(J144-J140)*K139*100,1)</f>
        <v>103.2</v>
      </c>
    </row>
    <row r="145" spans="2:11" ht="16.2" thickBot="1">
      <c r="B145" s="2643" t="s">
        <v>2636</v>
      </c>
      <c r="C145" s="1096">
        <f>ROUND(MAX(C139:C144)/MIN(C139:C144)-1,3)</f>
        <v>7.2999999999999995E-2</v>
      </c>
      <c r="D145" s="1097"/>
      <c r="E145" s="1097"/>
      <c r="F145" s="2644" t="s">
        <v>2637</v>
      </c>
      <c r="G145" s="2645"/>
      <c r="H145" s="2646"/>
      <c r="I145" s="2647" t="s">
        <v>2634</v>
      </c>
      <c r="J145" s="1098">
        <v>8</v>
      </c>
      <c r="K145" s="1099">
        <f>ROUND(100+(J145-J140)*K139*100,1)</f>
        <v>99.2</v>
      </c>
    </row>
    <row r="147" spans="2:11" ht="14.4">
      <c r="B147" s="2628" t="s">
        <v>2638</v>
      </c>
    </row>
    <row r="148" spans="2:11" ht="14.4">
      <c r="B148" s="262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3" customWidth="1"/>
    <col min="2" max="16384" width="9" style="1933"/>
  </cols>
  <sheetData>
    <row r="1" spans="1:1" ht="22.8">
      <c r="A1" s="1932" t="s">
        <v>1605</v>
      </c>
    </row>
    <row r="2" spans="1:1">
      <c r="A2" s="1934"/>
    </row>
    <row r="3" spans="1:1" ht="17.399999999999999">
      <c r="A3" s="1935" t="str">
        <f>项目基本情况!B5&amp;"："</f>
        <v>：</v>
      </c>
    </row>
    <row r="4" spans="1:1" ht="17.399999999999999">
      <c r="A4" s="1936" t="str">
        <f>"受贵公司委托，我公司对"&amp;项目基本情况!S1&amp;"进行了预评估。"</f>
        <v>受贵公司委托，我公司对北京市房地产抵押价值进行了预评估。</v>
      </c>
    </row>
    <row r="5" spans="1:1" ht="17.399999999999999">
      <c r="A5" s="1937" t="s">
        <v>1606</v>
      </c>
    </row>
    <row r="6" spans="1:1" ht="17.399999999999999">
      <c r="A6" s="1938" t="s">
        <v>1607</v>
      </c>
    </row>
    <row r="7" spans="1:1" ht="52.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4.6">
      <c r="A8" s="1939" t="s">
        <v>1608</v>
      </c>
    </row>
    <row r="9" spans="1:1" ht="17.399999999999999">
      <c r="A9" s="1938" t="s">
        <v>1609</v>
      </c>
    </row>
    <row r="10" spans="1:1" ht="52.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2">
      <c r="A11" s="1939" t="s">
        <v>1610</v>
      </c>
    </row>
    <row r="12" spans="1:1" ht="17.399999999999999">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1" t="s">
        <v>1612</v>
      </c>
    </row>
    <row r="15" spans="1:1" ht="17.399999999999999">
      <c r="A15" s="1942" t="str">
        <f>TEXT(项目基本情况!D3,"yyyy年m月d日;;")&amp;IF(项目基本情况!D3=项目基本情况!B3,"（评估专业人员实地查勘之日）","")</f>
        <v>2020年6月23日</v>
      </c>
    </row>
    <row r="16" spans="1:1" ht="17.399999999999999">
      <c r="A16" s="1941" t="s">
        <v>1613</v>
      </c>
    </row>
    <row r="17" spans="1:1" ht="69.599999999999994">
      <c r="A17" s="1936" t="s">
        <v>1614</v>
      </c>
    </row>
    <row r="18" spans="1:1" ht="69.59999999999999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1" t="s">
        <v>1603</v>
      </c>
    </row>
    <row r="24" spans="1:1" ht="17.399999999999999">
      <c r="A24" s="1943" t="str">
        <f>"本次评估采用的主估价方法为"&amp;结果表!K4&amp;"和"&amp;结果表!L4&amp;"。"</f>
        <v>本次评估采用的主估价方法为成本法和收益法。</v>
      </c>
    </row>
    <row r="25" spans="1:1" ht="17.399999999999999">
      <c r="A25" s="1943"/>
    </row>
    <row r="26" spans="1:1" ht="17.399999999999999">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573" t="s">
        <v>2640</v>
      </c>
      <c r="C1" s="1631" t="s">
        <v>2528</v>
      </c>
      <c r="D1" s="1618"/>
      <c r="E1" s="2648"/>
      <c r="F1" s="2575"/>
      <c r="G1" s="1628" t="s">
        <v>2641</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2325</v>
      </c>
      <c r="B2" s="1415" t="e">
        <f ca="1">IF(C2="——",ROUND(C49*D3/10000,0),ROUND(C49*D3/10000,0)-D2)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2327</v>
      </c>
      <c r="B3" s="607" t="e">
        <f ca="1">IF(C2="——",C49,ROUND(B2*10000/D3,0))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0" t="s">
        <v>2646</v>
      </c>
      <c r="AC4" s="3205" t="s">
        <v>2647</v>
      </c>
    </row>
    <row r="5" spans="1:29">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0"/>
      <c r="AC5" s="3206"/>
    </row>
    <row r="6" spans="1:29" ht="1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0"/>
      <c r="AC6" s="3207"/>
    </row>
    <row r="7" spans="1:29" s="116" customFormat="1" ht="1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20"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770" t="e">
        <f>D7/J7</f>
        <v>#DIV/0!</v>
      </c>
    </row>
    <row r="8" spans="1:29" s="116"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46" si="3">D8/F8</f>
        <v>#DIV/0!</v>
      </c>
      <c r="AB8" s="770" t="e">
        <f t="shared" ref="AB8:AB46" si="4">D8/H8</f>
        <v>#DIV/0!</v>
      </c>
      <c r="AC8" s="770" t="e">
        <f t="shared" ref="AC8:AC46" si="5">D8/J8</f>
        <v>#DIV/0!</v>
      </c>
    </row>
    <row r="9" spans="1:29" s="116" customFormat="1" ht="14.4">
      <c r="A9" s="413" t="s">
        <v>2551</v>
      </c>
      <c r="B9" s="71" t="s">
        <v>2552</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23"/>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23"/>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23"/>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6"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23"/>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69">
      <c r="A15" s="438" t="s">
        <v>2557</v>
      </c>
      <c r="B15" s="69" t="s">
        <v>2651</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74" t="s">
        <v>2558</v>
      </c>
      <c r="Q15" s="1799" t="str">
        <f t="shared" si="6"/>
        <v>商业繁华度</v>
      </c>
      <c r="R15" s="771" t="s">
        <v>17</v>
      </c>
      <c r="S15" s="772">
        <f t="shared" si="0"/>
        <v>100</v>
      </c>
      <c r="T15" s="771" t="s">
        <v>17</v>
      </c>
      <c r="U15" s="772">
        <f t="shared" si="1"/>
        <v>100</v>
      </c>
      <c r="V15" s="771" t="s">
        <v>17</v>
      </c>
      <c r="W15" s="772">
        <f t="shared" si="2"/>
        <v>100</v>
      </c>
      <c r="X15" s="1802"/>
      <c r="Y15" s="3201" t="s">
        <v>2558</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75"/>
      <c r="Q16" s="1799"/>
      <c r="R16" s="771"/>
      <c r="S16" s="772"/>
      <c r="T16" s="771"/>
      <c r="U16" s="772"/>
      <c r="V16" s="771"/>
      <c r="W16" s="772"/>
      <c r="X16" s="1802"/>
      <c r="Y16" s="3202"/>
      <c r="Z16" s="1803"/>
      <c r="AA16" s="1800">
        <v>1</v>
      </c>
      <c r="AB16" s="1800">
        <v>1</v>
      </c>
      <c r="AC16" s="1800">
        <v>1</v>
      </c>
    </row>
    <row r="17" spans="1:29" ht="82.8">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75"/>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75"/>
      <c r="Q18" s="1799"/>
      <c r="R18" s="771"/>
      <c r="S18" s="772"/>
      <c r="T18" s="771"/>
      <c r="U18" s="772"/>
      <c r="V18" s="771"/>
      <c r="W18" s="772"/>
      <c r="X18" s="1802"/>
      <c r="Y18" s="3202"/>
      <c r="Z18" s="1803"/>
      <c r="AA18" s="1800">
        <v>1</v>
      </c>
      <c r="AB18" s="1800">
        <v>1</v>
      </c>
      <c r="AC18" s="1800">
        <v>1</v>
      </c>
    </row>
    <row r="19" spans="1:29" ht="41.4">
      <c r="A19" s="426"/>
      <c r="B19" s="449" t="s">
        <v>2652</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75"/>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75"/>
      <c r="Q20" s="1799"/>
      <c r="R20" s="771"/>
      <c r="S20" s="772"/>
      <c r="T20" s="771"/>
      <c r="U20" s="772"/>
      <c r="V20" s="771"/>
      <c r="W20" s="772"/>
      <c r="X20" s="1802"/>
      <c r="Y20" s="3202"/>
      <c r="Z20" s="1803"/>
      <c r="AA20" s="1800">
        <v>1</v>
      </c>
      <c r="AB20" s="1800">
        <v>1</v>
      </c>
      <c r="AC20" s="1800">
        <v>1</v>
      </c>
    </row>
    <row r="21" spans="1:29" ht="27.6">
      <c r="A21" s="426"/>
      <c r="B21" s="1381" t="s">
        <v>2653</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75"/>
      <c r="Q22" s="1799"/>
      <c r="R22" s="771"/>
      <c r="S22" s="772"/>
      <c r="T22" s="771"/>
      <c r="U22" s="772"/>
      <c r="V22" s="771"/>
      <c r="W22" s="772"/>
      <c r="X22" s="1802"/>
      <c r="Y22" s="3202"/>
      <c r="Z22" s="1803"/>
      <c r="AA22" s="1800">
        <v>1</v>
      </c>
      <c r="AB22" s="1800">
        <v>1</v>
      </c>
      <c r="AC22" s="1800">
        <v>1</v>
      </c>
    </row>
    <row r="23" spans="1:29" ht="55.2">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75"/>
      <c r="Q23" s="1799" t="str">
        <f>B23</f>
        <v>自然及人文环境</v>
      </c>
      <c r="R23" s="771" t="s">
        <v>17</v>
      </c>
      <c r="S23" s="772">
        <f>F23</f>
        <v>100</v>
      </c>
      <c r="T23" s="771" t="s">
        <v>17</v>
      </c>
      <c r="U23" s="772">
        <f>H23</f>
        <v>100</v>
      </c>
      <c r="V23" s="771" t="s">
        <v>17</v>
      </c>
      <c r="W23" s="772">
        <f>J23</f>
        <v>100</v>
      </c>
      <c r="X23" s="1802"/>
      <c r="Y23" s="3202"/>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75"/>
      <c r="Q24" s="1799"/>
      <c r="R24" s="771"/>
      <c r="S24" s="772"/>
      <c r="T24" s="771"/>
      <c r="U24" s="772"/>
      <c r="V24" s="771"/>
      <c r="W24" s="772"/>
      <c r="X24" s="1802"/>
      <c r="Y24" s="3202"/>
      <c r="Z24" s="1803"/>
      <c r="AA24" s="1800">
        <v>1</v>
      </c>
      <c r="AB24" s="1800">
        <v>1</v>
      </c>
      <c r="AC24" s="180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75"/>
      <c r="Q25" s="1799" t="str">
        <f t="shared" ref="Q25:Q46" si="11">B25</f>
        <v>临街状况</v>
      </c>
      <c r="R25" s="771" t="s">
        <v>17</v>
      </c>
      <c r="S25" s="772">
        <f>F25</f>
        <v>100</v>
      </c>
      <c r="T25" s="771" t="s">
        <v>17</v>
      </c>
      <c r="U25" s="772">
        <f>H25</f>
        <v>100</v>
      </c>
      <c r="V25" s="771" t="s">
        <v>17</v>
      </c>
      <c r="W25" s="772">
        <f>J25</f>
        <v>100</v>
      </c>
      <c r="X25" s="1802"/>
      <c r="Y25" s="3202"/>
      <c r="Z25" s="1803" t="str">
        <f>Q25</f>
        <v>临街状况</v>
      </c>
      <c r="AA25" s="1800">
        <f t="shared" si="3"/>
        <v>1</v>
      </c>
      <c r="AB25" s="1800">
        <f t="shared" si="4"/>
        <v>1</v>
      </c>
      <c r="AC25" s="1800">
        <f t="shared" si="5"/>
        <v>1</v>
      </c>
    </row>
    <row r="26" spans="1:29" ht="15">
      <c r="A26" s="426"/>
      <c r="B26" s="1383" t="s">
        <v>2655</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75"/>
      <c r="Q26" s="1799" t="str">
        <f t="shared" si="11"/>
        <v>平面位置/可视性</v>
      </c>
      <c r="R26" s="771" t="s">
        <v>17</v>
      </c>
      <c r="S26" s="772">
        <f>F26</f>
        <v>100</v>
      </c>
      <c r="T26" s="771" t="s">
        <v>17</v>
      </c>
      <c r="U26" s="772">
        <f>H26</f>
        <v>100</v>
      </c>
      <c r="V26" s="771" t="s">
        <v>17</v>
      </c>
      <c r="W26" s="772">
        <f>J26</f>
        <v>100</v>
      </c>
      <c r="X26" s="1802"/>
      <c r="Y26" s="3202"/>
      <c r="Z26" s="1803" t="str">
        <f>Q26</f>
        <v>平面位置/可视性</v>
      </c>
      <c r="AA26" s="1800">
        <f t="shared" si="3"/>
        <v>1</v>
      </c>
      <c r="AB26" s="1800">
        <f t="shared" si="4"/>
        <v>1</v>
      </c>
      <c r="AC26" s="1800">
        <f t="shared" si="5"/>
        <v>1</v>
      </c>
    </row>
    <row r="27" spans="1:29" s="116" customFormat="1" ht="15">
      <c r="A27" s="429"/>
      <c r="B27" s="449" t="s">
        <v>2656</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75"/>
      <c r="Q27" s="1784" t="str">
        <f t="shared" si="11"/>
        <v>人流量</v>
      </c>
      <c r="R27" s="767" t="s">
        <v>17</v>
      </c>
      <c r="S27" s="768">
        <f>F27</f>
        <v>100</v>
      </c>
      <c r="T27" s="767" t="s">
        <v>17</v>
      </c>
      <c r="U27" s="768">
        <f>H27</f>
        <v>100</v>
      </c>
      <c r="V27" s="767" t="s">
        <v>17</v>
      </c>
      <c r="W27" s="768">
        <f>J27</f>
        <v>100</v>
      </c>
      <c r="X27" s="769"/>
      <c r="Y27" s="3202"/>
      <c r="Z27" s="55" t="str">
        <f>Q27</f>
        <v>人流量</v>
      </c>
      <c r="AA27" s="1800">
        <f>D27/F27</f>
        <v>1</v>
      </c>
      <c r="AB27" s="1800">
        <f>D27/H27</f>
        <v>1</v>
      </c>
      <c r="AC27" s="180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75"/>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02"/>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75"/>
      <c r="Q29" s="1799">
        <f t="shared" si="11"/>
        <v>111</v>
      </c>
      <c r="R29" s="771" t="s">
        <v>17</v>
      </c>
      <c r="S29" s="772">
        <f t="shared" si="12"/>
        <v>100</v>
      </c>
      <c r="T29" s="771" t="s">
        <v>17</v>
      </c>
      <c r="U29" s="772">
        <f t="shared" si="13"/>
        <v>100</v>
      </c>
      <c r="V29" s="771" t="s">
        <v>17</v>
      </c>
      <c r="W29" s="772">
        <f t="shared" si="14"/>
        <v>100</v>
      </c>
      <c r="X29" s="1802"/>
      <c r="Y29" s="3202"/>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75"/>
      <c r="Q30" s="1799">
        <f t="shared" si="11"/>
        <v>111</v>
      </c>
      <c r="R30" s="771" t="s">
        <v>17</v>
      </c>
      <c r="S30" s="772">
        <f t="shared" si="12"/>
        <v>100</v>
      </c>
      <c r="T30" s="771" t="s">
        <v>17</v>
      </c>
      <c r="U30" s="772">
        <f t="shared" si="13"/>
        <v>100</v>
      </c>
      <c r="V30" s="771" t="s">
        <v>17</v>
      </c>
      <c r="W30" s="772">
        <f t="shared" si="14"/>
        <v>100</v>
      </c>
      <c r="X30" s="1802"/>
      <c r="Y30" s="3202"/>
      <c r="Z30" s="1803">
        <f t="shared" si="15"/>
        <v>111</v>
      </c>
      <c r="AA30" s="1800">
        <f t="shared" si="3"/>
        <v>1</v>
      </c>
      <c r="AB30" s="1800">
        <f t="shared" si="4"/>
        <v>1</v>
      </c>
      <c r="AC30" s="1800">
        <f t="shared" si="5"/>
        <v>1</v>
      </c>
    </row>
    <row r="31" spans="1:29" ht="15.6"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75"/>
      <c r="Q31" s="1799">
        <f t="shared" si="11"/>
        <v>111</v>
      </c>
      <c r="R31" s="771" t="s">
        <v>17</v>
      </c>
      <c r="S31" s="772">
        <f t="shared" si="12"/>
        <v>100</v>
      </c>
      <c r="T31" s="771" t="s">
        <v>17</v>
      </c>
      <c r="U31" s="772">
        <f t="shared" si="13"/>
        <v>100</v>
      </c>
      <c r="V31" s="771" t="s">
        <v>17</v>
      </c>
      <c r="W31" s="772">
        <f t="shared" si="14"/>
        <v>100</v>
      </c>
      <c r="X31" s="1802"/>
      <c r="Y31" s="3202"/>
      <c r="Z31" s="1803">
        <f t="shared" si="15"/>
        <v>111</v>
      </c>
      <c r="AA31" s="1800">
        <f t="shared" si="3"/>
        <v>1</v>
      </c>
      <c r="AB31" s="1800">
        <f t="shared" si="4"/>
        <v>1</v>
      </c>
      <c r="AC31" s="1800">
        <f t="shared" si="5"/>
        <v>1</v>
      </c>
    </row>
    <row r="32" spans="1:29" ht="15">
      <c r="A32" s="438" t="s">
        <v>2561</v>
      </c>
      <c r="B32" s="71" t="s">
        <v>2658</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70" t="s">
        <v>2563</v>
      </c>
      <c r="Q32" s="1799" t="str">
        <f t="shared" si="11"/>
        <v>商业类型</v>
      </c>
      <c r="R32" s="771" t="s">
        <v>17</v>
      </c>
      <c r="S32" s="772">
        <f t="shared" si="12"/>
        <v>100</v>
      </c>
      <c r="T32" s="771" t="s">
        <v>17</v>
      </c>
      <c r="U32" s="772">
        <f t="shared" si="13"/>
        <v>100</v>
      </c>
      <c r="V32" s="771" t="s">
        <v>17</v>
      </c>
      <c r="W32" s="772">
        <f t="shared" si="14"/>
        <v>100</v>
      </c>
      <c r="X32" s="1802"/>
      <c r="Y32" s="3204" t="s">
        <v>2563</v>
      </c>
      <c r="Z32" s="1803" t="str">
        <f t="shared" si="15"/>
        <v>商业类型</v>
      </c>
      <c r="AA32" s="1800">
        <f t="shared" si="3"/>
        <v>1</v>
      </c>
      <c r="AB32" s="1800">
        <f t="shared" si="4"/>
        <v>1</v>
      </c>
      <c r="AC32" s="180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71"/>
      <c r="Q33" s="773" t="str">
        <f t="shared" si="11"/>
        <v>项目建筑规模</v>
      </c>
      <c r="R33" s="774" t="s">
        <v>17</v>
      </c>
      <c r="S33" s="775" t="e">
        <f t="shared" si="12"/>
        <v>#N/A</v>
      </c>
      <c r="T33" s="774" t="s">
        <v>17</v>
      </c>
      <c r="U33" s="775" t="e">
        <f t="shared" si="13"/>
        <v>#N/A</v>
      </c>
      <c r="V33" s="774" t="s">
        <v>17</v>
      </c>
      <c r="W33" s="775" t="e">
        <f t="shared" si="14"/>
        <v>#N/A</v>
      </c>
      <c r="X33" s="776"/>
      <c r="Y33" s="3204"/>
      <c r="Z33" s="777" t="str">
        <f t="shared" si="15"/>
        <v>项目建筑规模</v>
      </c>
      <c r="AA33" s="1800" t="e">
        <f t="shared" si="3"/>
        <v>#N/A</v>
      </c>
      <c r="AB33" s="1800" t="e">
        <f t="shared" si="4"/>
        <v>#N/A</v>
      </c>
      <c r="AC33" s="1800" t="e">
        <f t="shared" si="5"/>
        <v>#N/A</v>
      </c>
    </row>
    <row r="34" spans="1:29" ht="15">
      <c r="A34" s="470"/>
      <c r="B34" s="420" t="s">
        <v>2565</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71"/>
      <c r="Q34" s="1799" t="str">
        <f t="shared" si="11"/>
        <v>建筑结构</v>
      </c>
      <c r="R34" s="771" t="s">
        <v>17</v>
      </c>
      <c r="S34" s="772">
        <f t="shared" si="12"/>
        <v>100</v>
      </c>
      <c r="T34" s="771" t="s">
        <v>17</v>
      </c>
      <c r="U34" s="772">
        <f t="shared" si="13"/>
        <v>100</v>
      </c>
      <c r="V34" s="771" t="s">
        <v>17</v>
      </c>
      <c r="W34" s="772">
        <f t="shared" si="14"/>
        <v>100</v>
      </c>
      <c r="X34" s="1802"/>
      <c r="Y34" s="3204"/>
      <c r="Z34" s="1803" t="str">
        <f t="shared" si="15"/>
        <v>建筑结构</v>
      </c>
      <c r="AA34" s="1800">
        <f t="shared" si="3"/>
        <v>1</v>
      </c>
      <c r="AB34" s="1800">
        <f t="shared" si="4"/>
        <v>1</v>
      </c>
      <c r="AC34" s="1800">
        <f t="shared" si="5"/>
        <v>1</v>
      </c>
    </row>
    <row r="35" spans="1:29" ht="15">
      <c r="A35" s="470"/>
      <c r="B35" s="420" t="s">
        <v>2659</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71"/>
      <c r="Q35" s="1799" t="str">
        <f t="shared" si="11"/>
        <v>公共部分装修</v>
      </c>
      <c r="R35" s="771" t="s">
        <v>17</v>
      </c>
      <c r="S35" s="772">
        <f t="shared" si="12"/>
        <v>100</v>
      </c>
      <c r="T35" s="771" t="s">
        <v>17</v>
      </c>
      <c r="U35" s="772">
        <f t="shared" si="13"/>
        <v>100</v>
      </c>
      <c r="V35" s="771" t="s">
        <v>17</v>
      </c>
      <c r="W35" s="772">
        <f t="shared" si="14"/>
        <v>100</v>
      </c>
      <c r="X35" s="1802"/>
      <c r="Y35" s="3204"/>
      <c r="Z35" s="1803" t="str">
        <f t="shared" si="15"/>
        <v>公共部分装修</v>
      </c>
      <c r="AA35" s="1800">
        <f t="shared" si="3"/>
        <v>1</v>
      </c>
      <c r="AB35" s="1800">
        <f t="shared" si="4"/>
        <v>1</v>
      </c>
      <c r="AC35" s="180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71"/>
      <c r="Q36" s="1799" t="str">
        <f t="shared" si="11"/>
        <v>成新度</v>
      </c>
      <c r="R36" s="771" t="s">
        <v>17</v>
      </c>
      <c r="S36" s="772" t="e">
        <f t="shared" si="12"/>
        <v>#N/A</v>
      </c>
      <c r="T36" s="771" t="s">
        <v>17</v>
      </c>
      <c r="U36" s="772" t="e">
        <f t="shared" si="13"/>
        <v>#N/A</v>
      </c>
      <c r="V36" s="771" t="s">
        <v>17</v>
      </c>
      <c r="W36" s="772" t="e">
        <f t="shared" si="14"/>
        <v>#N/A</v>
      </c>
      <c r="X36" s="1802"/>
      <c r="Y36" s="3204"/>
      <c r="Z36" s="1803" t="str">
        <f t="shared" si="15"/>
        <v>成新度</v>
      </c>
      <c r="AA36" s="1800" t="e">
        <f t="shared" si="3"/>
        <v>#N/A</v>
      </c>
      <c r="AB36" s="1800" t="e">
        <f t="shared" si="4"/>
        <v>#N/A</v>
      </c>
      <c r="AC36" s="1800" t="e">
        <f t="shared" si="5"/>
        <v>#N/A</v>
      </c>
    </row>
    <row r="37" spans="1:29" s="116" customFormat="1" ht="15">
      <c r="A37" s="471"/>
      <c r="B37" s="420" t="s">
        <v>2661</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71"/>
      <c r="Q37" s="1784" t="str">
        <f t="shared" si="11"/>
        <v>市政基础设施</v>
      </c>
      <c r="R37" s="767" t="s">
        <v>17</v>
      </c>
      <c r="S37" s="768">
        <f t="shared" si="12"/>
        <v>100</v>
      </c>
      <c r="T37" s="767" t="s">
        <v>17</v>
      </c>
      <c r="U37" s="768">
        <f t="shared" si="13"/>
        <v>100</v>
      </c>
      <c r="V37" s="767" t="s">
        <v>17</v>
      </c>
      <c r="W37" s="768">
        <f t="shared" si="14"/>
        <v>100</v>
      </c>
      <c r="X37" s="769"/>
      <c r="Y37" s="3204"/>
      <c r="Z37" s="55" t="str">
        <f t="shared" si="15"/>
        <v>市政基础设施</v>
      </c>
      <c r="AA37" s="770">
        <f t="shared" si="3"/>
        <v>1</v>
      </c>
      <c r="AB37" s="770">
        <f t="shared" si="4"/>
        <v>1</v>
      </c>
      <c r="AC37" s="770">
        <f t="shared" si="5"/>
        <v>1</v>
      </c>
    </row>
    <row r="38" spans="1:29" ht="15">
      <c r="A38" s="470"/>
      <c r="B38" s="420" t="s">
        <v>2662</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71" t="s">
        <v>2563</v>
      </c>
      <c r="Q38" s="1799" t="str">
        <f t="shared" si="11"/>
        <v>业态</v>
      </c>
      <c r="R38" s="771" t="s">
        <v>17</v>
      </c>
      <c r="S38" s="772">
        <f t="shared" si="12"/>
        <v>100</v>
      </c>
      <c r="T38" s="771" t="s">
        <v>17</v>
      </c>
      <c r="U38" s="772">
        <f t="shared" si="13"/>
        <v>100</v>
      </c>
      <c r="V38" s="771" t="s">
        <v>17</v>
      </c>
      <c r="W38" s="772">
        <f t="shared" si="14"/>
        <v>100</v>
      </c>
      <c r="X38" s="1802"/>
      <c r="Y38" s="3204" t="s">
        <v>2563</v>
      </c>
      <c r="Z38" s="1803" t="str">
        <f t="shared" si="15"/>
        <v>业态</v>
      </c>
      <c r="AA38" s="1800">
        <f t="shared" si="3"/>
        <v>1</v>
      </c>
      <c r="AB38" s="1800">
        <f t="shared" si="4"/>
        <v>1</v>
      </c>
      <c r="AC38" s="1800">
        <f t="shared" si="5"/>
        <v>1</v>
      </c>
    </row>
    <row r="39" spans="1:29" ht="15">
      <c r="A39" s="470"/>
      <c r="B39" s="420" t="s">
        <v>2663</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71"/>
      <c r="Q39" s="1799" t="str">
        <f t="shared" si="11"/>
        <v>层高</v>
      </c>
      <c r="R39" s="771" t="s">
        <v>17</v>
      </c>
      <c r="S39" s="772">
        <f t="shared" si="12"/>
        <v>100</v>
      </c>
      <c r="T39" s="771" t="s">
        <v>17</v>
      </c>
      <c r="U39" s="772">
        <f t="shared" si="13"/>
        <v>100</v>
      </c>
      <c r="V39" s="771" t="s">
        <v>17</v>
      </c>
      <c r="W39" s="772">
        <f t="shared" si="14"/>
        <v>100</v>
      </c>
      <c r="X39" s="1802"/>
      <c r="Y39" s="3204"/>
      <c r="Z39" s="1803" t="str">
        <f t="shared" si="15"/>
        <v>层高</v>
      </c>
      <c r="AA39" s="1800">
        <f t="shared" si="3"/>
        <v>1</v>
      </c>
      <c r="AB39" s="1800">
        <f t="shared" si="4"/>
        <v>1</v>
      </c>
      <c r="AC39" s="180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71"/>
      <c r="Q40" s="1799" t="str">
        <f t="shared" si="11"/>
        <v>单套建筑面积</v>
      </c>
      <c r="R40" s="771" t="s">
        <v>17</v>
      </c>
      <c r="S40" s="772">
        <f t="shared" si="12"/>
        <v>100</v>
      </c>
      <c r="T40" s="771" t="s">
        <v>17</v>
      </c>
      <c r="U40" s="772">
        <f t="shared" si="13"/>
        <v>100</v>
      </c>
      <c r="V40" s="771" t="s">
        <v>17</v>
      </c>
      <c r="W40" s="772">
        <f t="shared" si="14"/>
        <v>100</v>
      </c>
      <c r="X40" s="1802"/>
      <c r="Y40" s="3204"/>
      <c r="Z40" s="1803" t="str">
        <f t="shared" si="15"/>
        <v>单套建筑面积</v>
      </c>
      <c r="AA40" s="1800">
        <f t="shared" si="3"/>
        <v>1</v>
      </c>
      <c r="AB40" s="1800">
        <f t="shared" si="4"/>
        <v>1</v>
      </c>
      <c r="AC40" s="1800">
        <f t="shared" si="5"/>
        <v>1</v>
      </c>
    </row>
    <row r="41" spans="1:29" s="469" customFormat="1" ht="15">
      <c r="A41" s="466"/>
      <c r="B41" s="180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71"/>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1800">
        <f t="shared" si="3"/>
        <v>1</v>
      </c>
      <c r="AB41" s="1800">
        <f t="shared" si="4"/>
        <v>1</v>
      </c>
      <c r="AC41" s="1800">
        <f t="shared" si="5"/>
        <v>1</v>
      </c>
    </row>
    <row r="42" spans="1:29" ht="15">
      <c r="A42" s="470"/>
      <c r="B42" s="420" t="s">
        <v>2666</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71"/>
      <c r="Q42" s="1799" t="str">
        <f t="shared" si="11"/>
        <v>内部装修</v>
      </c>
      <c r="R42" s="771" t="s">
        <v>17</v>
      </c>
      <c r="S42" s="772">
        <f t="shared" si="12"/>
        <v>100</v>
      </c>
      <c r="T42" s="771" t="s">
        <v>17</v>
      </c>
      <c r="U42" s="772">
        <f t="shared" si="13"/>
        <v>100</v>
      </c>
      <c r="V42" s="771" t="s">
        <v>17</v>
      </c>
      <c r="W42" s="772">
        <f t="shared" si="14"/>
        <v>100</v>
      </c>
      <c r="X42" s="1802"/>
      <c r="Y42" s="3204"/>
      <c r="Z42" s="1803" t="str">
        <f t="shared" si="15"/>
        <v>内部装修</v>
      </c>
      <c r="AA42" s="1800">
        <f t="shared" si="3"/>
        <v>1</v>
      </c>
      <c r="AB42" s="1800">
        <f t="shared" si="4"/>
        <v>1</v>
      </c>
      <c r="AC42" s="1800">
        <f t="shared" si="5"/>
        <v>1</v>
      </c>
    </row>
    <row r="43" spans="1:29" ht="28.8">
      <c r="A43" s="470"/>
      <c r="B43" s="420" t="s">
        <v>2574</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71"/>
      <c r="Q43" s="1799" t="str">
        <f t="shared" si="11"/>
        <v>内部装修维护情况</v>
      </c>
      <c r="R43" s="771" t="s">
        <v>17</v>
      </c>
      <c r="S43" s="772">
        <f t="shared" si="12"/>
        <v>100</v>
      </c>
      <c r="T43" s="771" t="s">
        <v>17</v>
      </c>
      <c r="U43" s="772">
        <f t="shared" si="13"/>
        <v>100</v>
      </c>
      <c r="V43" s="771" t="s">
        <v>17</v>
      </c>
      <c r="W43" s="772">
        <f t="shared" si="14"/>
        <v>100</v>
      </c>
      <c r="X43" s="1802"/>
      <c r="Y43" s="3204"/>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71"/>
      <c r="Q44" s="1784">
        <f t="shared" si="11"/>
        <v>111</v>
      </c>
      <c r="R44" s="767" t="s">
        <v>17</v>
      </c>
      <c r="S44" s="768">
        <f t="shared" si="12"/>
        <v>100</v>
      </c>
      <c r="T44" s="767" t="s">
        <v>17</v>
      </c>
      <c r="U44" s="768">
        <f t="shared" si="13"/>
        <v>100</v>
      </c>
      <c r="V44" s="767" t="s">
        <v>17</v>
      </c>
      <c r="W44" s="768">
        <f t="shared" si="14"/>
        <v>100</v>
      </c>
      <c r="X44" s="769"/>
      <c r="Y44" s="3204"/>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71"/>
      <c r="Q45" s="1799">
        <f t="shared" si="11"/>
        <v>111</v>
      </c>
      <c r="R45" s="771" t="s">
        <v>17</v>
      </c>
      <c r="S45" s="772">
        <f t="shared" si="12"/>
        <v>100</v>
      </c>
      <c r="T45" s="771" t="s">
        <v>17</v>
      </c>
      <c r="U45" s="772">
        <f t="shared" si="13"/>
        <v>100</v>
      </c>
      <c r="V45" s="771" t="s">
        <v>17</v>
      </c>
      <c r="W45" s="772">
        <f t="shared" si="14"/>
        <v>100</v>
      </c>
      <c r="X45" s="1802"/>
      <c r="Y45" s="3204"/>
      <c r="Z45" s="1803">
        <f t="shared" si="15"/>
        <v>111</v>
      </c>
      <c r="AA45" s="1800">
        <f t="shared" si="3"/>
        <v>1</v>
      </c>
      <c r="AB45" s="1800">
        <f t="shared" si="4"/>
        <v>1</v>
      </c>
      <c r="AC45" s="1800">
        <f t="shared" si="5"/>
        <v>1</v>
      </c>
    </row>
    <row r="46" spans="1:29" ht="15.6"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72"/>
      <c r="Q46" s="1799">
        <f t="shared" si="11"/>
        <v>111</v>
      </c>
      <c r="R46" s="771" t="s">
        <v>17</v>
      </c>
      <c r="S46" s="772">
        <f t="shared" si="12"/>
        <v>100</v>
      </c>
      <c r="T46" s="771" t="s">
        <v>17</v>
      </c>
      <c r="U46" s="772">
        <f t="shared" si="13"/>
        <v>100</v>
      </c>
      <c r="V46" s="771" t="s">
        <v>17</v>
      </c>
      <c r="W46" s="772">
        <f t="shared" si="14"/>
        <v>100</v>
      </c>
      <c r="X46" s="1802"/>
      <c r="Y46" s="3273"/>
      <c r="Z46" s="1803">
        <f t="shared" si="15"/>
        <v>111</v>
      </c>
      <c r="AA46" s="1800">
        <f t="shared" si="3"/>
        <v>1</v>
      </c>
      <c r="AB46" s="1800">
        <f t="shared" si="4"/>
        <v>1</v>
      </c>
      <c r="AC46" s="1800">
        <f t="shared" si="5"/>
        <v>1</v>
      </c>
    </row>
    <row r="47" spans="1:29" ht="14.4">
      <c r="A47" s="477" t="s">
        <v>2575</v>
      </c>
      <c r="B47" s="478"/>
      <c r="C47" s="1404" t="s">
        <v>1</v>
      </c>
      <c r="D47" s="1405"/>
      <c r="E47" s="1406"/>
      <c r="F47" s="1407"/>
      <c r="G47" s="1408"/>
      <c r="H47" s="1409"/>
      <c r="I47" s="1406"/>
      <c r="J47" s="1409"/>
      <c r="K47" s="780"/>
      <c r="L47" s="1140"/>
      <c r="M47" s="1141"/>
      <c r="N47" s="1128"/>
      <c r="O47" s="1141"/>
      <c r="P47" s="3198" t="str">
        <f>A47</f>
        <v>成交单价（元/平方米）</v>
      </c>
      <c r="Q47" s="3198"/>
      <c r="R47" s="3200">
        <f>E47</f>
        <v>0</v>
      </c>
      <c r="S47" s="3200"/>
      <c r="T47" s="3200">
        <f>G47</f>
        <v>0</v>
      </c>
      <c r="U47" s="3200"/>
      <c r="V47" s="3200">
        <f>I47</f>
        <v>0</v>
      </c>
      <c r="W47" s="3200"/>
      <c r="X47" s="756"/>
      <c r="Y47" s="778"/>
      <c r="Z47" s="756"/>
      <c r="AA47" s="756"/>
      <c r="AB47" s="756"/>
      <c r="AC47" s="756"/>
    </row>
    <row r="48" spans="1:29" ht="15" thickBot="1">
      <c r="A48" s="484" t="s">
        <v>2667</v>
      </c>
      <c r="B48" s="485"/>
      <c r="C48" s="1410" t="e">
        <f>R49</f>
        <v>#DIV/0!</v>
      </c>
      <c r="D48" s="1411"/>
      <c r="E48" s="1412" t="e">
        <f>R48</f>
        <v>#DIV/0!</v>
      </c>
      <c r="F48" s="1412"/>
      <c r="G48" s="1410" t="e">
        <f>T48</f>
        <v>#DIV/0!</v>
      </c>
      <c r="H48" s="1411"/>
      <c r="I48" s="1412" t="e">
        <f>V48</f>
        <v>#DIV/0!</v>
      </c>
      <c r="J48" s="1411"/>
      <c r="K48" s="781"/>
      <c r="L48" s="1140"/>
      <c r="M48" s="1141"/>
      <c r="N48" s="1128"/>
      <c r="O48" s="1141"/>
      <c r="P48" s="3198" t="str">
        <f>A48</f>
        <v>比较价值（元/平方米）</v>
      </c>
      <c r="Q48" s="319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6"/>
      <c r="Y48" s="756"/>
      <c r="Z48" s="756"/>
      <c r="AA48" s="756"/>
      <c r="AB48" s="756"/>
      <c r="AC48" s="756"/>
    </row>
    <row r="49" spans="1:29" ht="15" thickBot="1">
      <c r="A49" s="490" t="s">
        <v>2668</v>
      </c>
      <c r="B49" s="491"/>
      <c r="C49" s="1414" t="e">
        <f>R49</f>
        <v>#DIV/0!</v>
      </c>
      <c r="D49" s="1414"/>
      <c r="E49" s="1414"/>
      <c r="F49" s="1414"/>
      <c r="G49" s="1414"/>
      <c r="H49" s="1414"/>
      <c r="I49" s="1414"/>
      <c r="J49" s="1414"/>
      <c r="K49" s="782"/>
      <c r="L49" s="1140"/>
      <c r="M49" s="1141"/>
      <c r="N49" s="1128"/>
      <c r="O49" s="1141"/>
      <c r="P49" s="3195" t="str">
        <f>A49</f>
        <v>估价对象XX用房的比较价值（楼面单价，元/平方米）</v>
      </c>
      <c r="Q49" s="3196"/>
      <c r="R49" s="3268" t="e">
        <f>IF(F1="售价",ROUND(AVERAGE(R48:V48),0),ROUND(AVERAGE(R48:V48),1))</f>
        <v>#DIV/0!</v>
      </c>
      <c r="S49" s="3268"/>
      <c r="T49" s="3268"/>
      <c r="U49" s="3268"/>
      <c r="V49" s="3268"/>
      <c r="W49" s="32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4.4">
      <c r="A58" s="503" t="s">
        <v>2546</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c r="A59" s="507"/>
      <c r="B59" s="508"/>
      <c r="C59" s="1570">
        <v>100</v>
      </c>
      <c r="D59" s="510"/>
      <c r="E59" s="510"/>
      <c r="F59" s="510"/>
      <c r="G59" s="510"/>
      <c r="H59" s="510"/>
      <c r="I59" s="510"/>
      <c r="J59" s="510"/>
      <c r="K59" s="510"/>
      <c r="L59" s="510"/>
      <c r="M59" s="511"/>
      <c r="N59" s="510"/>
      <c r="O59" s="511"/>
      <c r="P59" s="2619"/>
    </row>
    <row r="60" spans="1:29" s="116" customFormat="1" ht="15" thickBot="1">
      <c r="A60" s="513" t="s">
        <v>2583</v>
      </c>
      <c r="B60" s="514"/>
      <c r="C60" s="515"/>
      <c r="D60" s="516"/>
      <c r="E60" s="516"/>
      <c r="F60" s="516"/>
      <c r="G60" s="516"/>
      <c r="H60" s="516"/>
      <c r="I60" s="516"/>
      <c r="J60" s="516"/>
      <c r="K60" s="516"/>
      <c r="L60" s="516"/>
      <c r="M60" s="517"/>
      <c r="N60" s="516"/>
      <c r="O60" s="517"/>
      <c r="P60" s="2619"/>
      <c r="Q60" s="502"/>
    </row>
    <row r="61" spans="1:29" s="116" customFormat="1" ht="14.4">
      <c r="A61" s="519" t="s">
        <v>2548</v>
      </c>
      <c r="B61" s="508"/>
      <c r="C61" s="520" t="s">
        <v>2650</v>
      </c>
      <c r="D61" s="521"/>
      <c r="E61" s="521"/>
      <c r="F61" s="521"/>
      <c r="G61" s="521"/>
      <c r="H61" s="521"/>
      <c r="I61" s="521"/>
      <c r="J61" s="521"/>
      <c r="K61" s="521"/>
      <c r="L61" s="522"/>
      <c r="M61" s="523"/>
      <c r="N61" s="1148"/>
      <c r="O61" s="1148"/>
      <c r="P61" s="2620"/>
      <c r="Q61" s="502"/>
    </row>
    <row r="62" spans="1:29" s="116" customFormat="1" ht="14.4" thickBot="1">
      <c r="A62" s="519"/>
      <c r="B62" s="508"/>
      <c r="C62" s="509">
        <v>100</v>
      </c>
      <c r="D62" s="510"/>
      <c r="E62" s="510"/>
      <c r="F62" s="510"/>
      <c r="G62" s="510"/>
      <c r="H62" s="510"/>
      <c r="I62" s="510"/>
      <c r="J62" s="510"/>
      <c r="K62" s="510"/>
      <c r="L62" s="510"/>
      <c r="M62" s="512"/>
      <c r="N62" s="1148"/>
      <c r="O62" s="1148"/>
      <c r="P62" s="2619"/>
      <c r="Q62" s="502"/>
    </row>
    <row r="63" spans="1:29" ht="14.4">
      <c r="A63" s="525" t="s">
        <v>2586</v>
      </c>
      <c r="B63" s="526" t="s">
        <v>2552</v>
      </c>
      <c r="C63" s="527">
        <f>C9</f>
        <v>0</v>
      </c>
      <c r="D63" s="528"/>
      <c r="E63" s="528"/>
      <c r="F63" s="528"/>
      <c r="G63" s="528"/>
      <c r="H63" s="528"/>
      <c r="I63" s="528"/>
      <c r="J63" s="528"/>
      <c r="K63" s="529"/>
      <c r="L63" s="530"/>
      <c r="M63" s="531"/>
      <c r="N63" s="1149"/>
      <c r="O63" s="1149"/>
      <c r="P63" s="2621"/>
      <c r="Q63" s="502"/>
    </row>
    <row r="64" spans="1:29" ht="14.4" thickBot="1">
      <c r="A64" s="532"/>
      <c r="B64" s="533"/>
      <c r="C64" s="534">
        <v>100</v>
      </c>
      <c r="D64" s="534"/>
      <c r="E64" s="534"/>
      <c r="F64" s="534"/>
      <c r="G64" s="534"/>
      <c r="H64" s="534"/>
      <c r="I64" s="534"/>
      <c r="J64" s="534"/>
      <c r="K64" s="534"/>
      <c r="L64" s="534"/>
      <c r="M64" s="535"/>
      <c r="N64" s="1150"/>
      <c r="O64" s="1150"/>
      <c r="P64" s="2621"/>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c r="A68" s="532"/>
      <c r="B68" s="546"/>
      <c r="C68" s="547"/>
      <c r="D68" s="547"/>
      <c r="E68" s="547"/>
      <c r="F68" s="547"/>
      <c r="G68" s="547"/>
      <c r="H68" s="547"/>
      <c r="I68" s="547"/>
      <c r="J68" s="547"/>
      <c r="K68" s="548"/>
      <c r="L68" s="549"/>
      <c r="M68" s="550"/>
      <c r="N68" s="1149"/>
      <c r="O68" s="1149"/>
      <c r="P68" s="2621"/>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4.4" thickTop="1">
      <c r="A70" s="551"/>
      <c r="B70" s="536">
        <f>B12</f>
        <v>111</v>
      </c>
      <c r="C70" s="552"/>
      <c r="D70" s="552"/>
      <c r="E70" s="552"/>
      <c r="F70" s="552"/>
      <c r="G70" s="552"/>
      <c r="H70" s="553"/>
      <c r="I70" s="553"/>
      <c r="J70" s="553"/>
      <c r="K70" s="553"/>
      <c r="L70" s="554"/>
      <c r="M70" s="555"/>
      <c r="N70" s="1151"/>
      <c r="O70" s="1151"/>
      <c r="P70" s="2622"/>
      <c r="Q70" s="557"/>
    </row>
    <row r="71" spans="1:17" s="469" customFormat="1" ht="14.4" thickBot="1">
      <c r="A71" s="551"/>
      <c r="B71" s="541"/>
      <c r="C71" s="558"/>
      <c r="D71" s="534"/>
      <c r="E71" s="534"/>
      <c r="F71" s="534"/>
      <c r="G71" s="534"/>
      <c r="H71" s="534"/>
      <c r="I71" s="534"/>
      <c r="J71" s="534"/>
      <c r="K71" s="534"/>
      <c r="L71" s="534"/>
      <c r="M71" s="535"/>
      <c r="N71" s="1150"/>
      <c r="O71" s="1150"/>
      <c r="P71" s="2622"/>
      <c r="Q71" s="557"/>
    </row>
    <row r="72" spans="1:17" s="469" customFormat="1" ht="14.4" thickTop="1">
      <c r="A72" s="551"/>
      <c r="B72" s="536">
        <f>B13</f>
        <v>111</v>
      </c>
      <c r="C72" s="552"/>
      <c r="D72" s="552"/>
      <c r="E72" s="552"/>
      <c r="F72" s="552"/>
      <c r="G72" s="552"/>
      <c r="H72" s="553"/>
      <c r="I72" s="553"/>
      <c r="J72" s="553"/>
      <c r="K72" s="553"/>
      <c r="L72" s="554"/>
      <c r="M72" s="555"/>
      <c r="N72" s="1151"/>
      <c r="O72" s="1151"/>
      <c r="P72" s="2623"/>
      <c r="Q72" s="559"/>
    </row>
    <row r="73" spans="1:17" s="469" customFormat="1" ht="14.4" thickBot="1">
      <c r="A73" s="551"/>
      <c r="B73" s="541"/>
      <c r="C73" s="558"/>
      <c r="D73" s="534"/>
      <c r="E73" s="534"/>
      <c r="F73" s="534"/>
      <c r="G73" s="558"/>
      <c r="H73" s="560"/>
      <c r="I73" s="560"/>
      <c r="J73" s="560"/>
      <c r="K73" s="560"/>
      <c r="L73" s="560"/>
      <c r="M73" s="561"/>
      <c r="N73" s="1151"/>
      <c r="O73" s="1151"/>
      <c r="P73" s="2622"/>
      <c r="Q73" s="557"/>
    </row>
    <row r="74" spans="1:17" s="469" customFormat="1" ht="14.4" thickTop="1">
      <c r="A74" s="551"/>
      <c r="B74" s="544">
        <f>B14</f>
        <v>111</v>
      </c>
      <c r="C74" s="552"/>
      <c r="D74" s="552"/>
      <c r="E74" s="552"/>
      <c r="F74" s="552"/>
      <c r="G74" s="521"/>
      <c r="H74" s="562"/>
      <c r="I74" s="562"/>
      <c r="J74" s="562"/>
      <c r="K74" s="562"/>
      <c r="L74" s="563"/>
      <c r="M74" s="564"/>
      <c r="N74" s="1151"/>
      <c r="O74" s="1151"/>
      <c r="P74" s="2624"/>
      <c r="Q74" s="557"/>
    </row>
    <row r="75" spans="1:17" s="469" customFormat="1" ht="14.4" thickBot="1">
      <c r="A75" s="566"/>
      <c r="B75" s="567"/>
      <c r="C75" s="568"/>
      <c r="D75" s="568"/>
      <c r="E75" s="568"/>
      <c r="F75" s="568"/>
      <c r="G75" s="568"/>
      <c r="H75" s="569"/>
      <c r="I75" s="569"/>
      <c r="J75" s="569"/>
      <c r="K75" s="569"/>
      <c r="L75" s="569"/>
      <c r="M75" s="570"/>
      <c r="N75" s="1151"/>
      <c r="O75" s="1151"/>
      <c r="P75" s="2622"/>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 thickTop="1">
      <c r="A82" s="532"/>
      <c r="B82" s="544" t="s">
        <v>2653</v>
      </c>
      <c r="C82" s="658" t="s">
        <v>2673</v>
      </c>
      <c r="D82" s="658" t="s">
        <v>2674</v>
      </c>
      <c r="E82" s="658" t="s">
        <v>2675</v>
      </c>
      <c r="F82" s="658" t="s">
        <v>2676</v>
      </c>
      <c r="G82" s="658" t="s">
        <v>2677</v>
      </c>
      <c r="H82" s="537"/>
      <c r="I82" s="537"/>
      <c r="J82" s="537"/>
      <c r="K82" s="537"/>
      <c r="L82" s="537"/>
      <c r="M82" s="1379"/>
      <c r="N82" s="1150"/>
      <c r="O82" s="1150"/>
      <c r="P82" s="2621"/>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 thickTop="1">
      <c r="A86" s="577"/>
      <c r="B86" s="536" t="s">
        <v>2678</v>
      </c>
      <c r="C86" s="552"/>
      <c r="D86" s="552"/>
      <c r="E86" s="552"/>
      <c r="F86" s="552"/>
      <c r="G86" s="552"/>
      <c r="H86" s="552"/>
      <c r="I86" s="552"/>
      <c r="J86" s="552"/>
      <c r="K86" s="552"/>
      <c r="L86" s="578"/>
      <c r="M86" s="579"/>
      <c r="N86" s="1148"/>
      <c r="O86" s="1148"/>
      <c r="P86" s="2621"/>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4.4"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4.4" thickBot="1">
      <c r="A89" s="577"/>
      <c r="B89" s="541"/>
      <c r="C89" s="558"/>
      <c r="D89" s="534"/>
      <c r="E89" s="534"/>
      <c r="F89" s="534"/>
      <c r="G89" s="534"/>
      <c r="H89" s="534"/>
      <c r="I89" s="534"/>
      <c r="J89" s="534"/>
      <c r="K89" s="534"/>
      <c r="L89" s="534"/>
      <c r="M89" s="534"/>
      <c r="N89" s="1150"/>
      <c r="O89" s="1150"/>
      <c r="P89" s="2621"/>
      <c r="Q89" s="502"/>
    </row>
    <row r="90" spans="1:17" s="469" customFormat="1" ht="14.4"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4.4" thickTop="1">
      <c r="A92" s="532"/>
      <c r="B92" s="536" t="str">
        <f>B28</f>
        <v>楼层</v>
      </c>
      <c r="C92" s="552"/>
      <c r="D92" s="552"/>
      <c r="E92" s="552"/>
      <c r="F92" s="552"/>
      <c r="G92" s="552"/>
      <c r="H92" s="552"/>
      <c r="I92" s="552"/>
      <c r="J92" s="552"/>
      <c r="K92" s="552"/>
      <c r="L92" s="578"/>
      <c r="M92" s="579"/>
      <c r="N92" s="1149"/>
      <c r="O92" s="1149"/>
      <c r="P92" s="2621"/>
      <c r="Q92" s="502"/>
    </row>
    <row r="93" spans="1:17" ht="14.4" thickBot="1">
      <c r="A93" s="532"/>
      <c r="B93" s="541"/>
      <c r="C93" s="534"/>
      <c r="D93" s="534"/>
      <c r="E93" s="534"/>
      <c r="F93" s="534"/>
      <c r="G93" s="534"/>
      <c r="H93" s="534"/>
      <c r="I93" s="534"/>
      <c r="J93" s="534"/>
      <c r="K93" s="534"/>
      <c r="L93" s="534"/>
      <c r="M93" s="535"/>
      <c r="N93" s="1150"/>
      <c r="O93" s="1150"/>
      <c r="P93" s="2621"/>
      <c r="Q93" s="502"/>
    </row>
    <row r="94" spans="1:17" ht="14.4" thickTop="1">
      <c r="A94" s="532"/>
      <c r="B94" s="536">
        <f>B29</f>
        <v>111</v>
      </c>
      <c r="C94" s="552"/>
      <c r="D94" s="552"/>
      <c r="E94" s="552"/>
      <c r="F94" s="552"/>
      <c r="G94" s="581"/>
      <c r="H94" s="581"/>
      <c r="I94" s="581"/>
      <c r="J94" s="581"/>
      <c r="K94" s="582"/>
      <c r="L94" s="583"/>
      <c r="M94" s="584"/>
      <c r="N94" s="1149"/>
      <c r="O94" s="1149"/>
      <c r="P94" s="2621"/>
      <c r="Q94" s="502"/>
    </row>
    <row r="95" spans="1:17" ht="14.4" thickBot="1">
      <c r="A95" s="532"/>
      <c r="B95" s="541"/>
      <c r="C95" s="558"/>
      <c r="D95" s="534"/>
      <c r="E95" s="534"/>
      <c r="F95" s="534"/>
      <c r="G95" s="534"/>
      <c r="H95" s="534"/>
      <c r="I95" s="534"/>
      <c r="J95" s="534"/>
      <c r="K95" s="534"/>
      <c r="L95" s="534"/>
      <c r="M95" s="535"/>
      <c r="N95" s="1150"/>
      <c r="O95" s="1150"/>
      <c r="P95" s="2621"/>
      <c r="Q95" s="502"/>
    </row>
    <row r="96" spans="1:17" ht="14.4" thickTop="1">
      <c r="A96" s="532"/>
      <c r="B96" s="536">
        <f>B30</f>
        <v>111</v>
      </c>
      <c r="C96" s="552"/>
      <c r="D96" s="552"/>
      <c r="E96" s="552"/>
      <c r="F96" s="552"/>
      <c r="G96" s="581"/>
      <c r="H96" s="581"/>
      <c r="I96" s="581"/>
      <c r="J96" s="581"/>
      <c r="K96" s="582"/>
      <c r="L96" s="583"/>
      <c r="M96" s="584"/>
      <c r="N96" s="1149"/>
      <c r="O96" s="1149"/>
      <c r="P96" s="2621"/>
      <c r="Q96" s="502"/>
    </row>
    <row r="97" spans="1:17" ht="14.4" thickBot="1">
      <c r="A97" s="532"/>
      <c r="B97" s="541"/>
      <c r="C97" s="558"/>
      <c r="D97" s="534"/>
      <c r="E97" s="534"/>
      <c r="F97" s="534"/>
      <c r="G97" s="534"/>
      <c r="H97" s="534"/>
      <c r="I97" s="534"/>
      <c r="J97" s="534"/>
      <c r="K97" s="534"/>
      <c r="L97" s="534"/>
      <c r="M97" s="535"/>
      <c r="N97" s="1150"/>
      <c r="O97" s="1150"/>
      <c r="P97" s="2621"/>
      <c r="Q97" s="502"/>
    </row>
    <row r="98" spans="1:17" ht="14.4" thickTop="1">
      <c r="A98" s="532"/>
      <c r="B98" s="544">
        <f>B31</f>
        <v>111</v>
      </c>
      <c r="C98" s="552"/>
      <c r="D98" s="552"/>
      <c r="E98" s="552"/>
      <c r="F98" s="552"/>
      <c r="G98" s="585"/>
      <c r="H98" s="585"/>
      <c r="I98" s="585"/>
      <c r="J98" s="585"/>
      <c r="K98" s="586"/>
      <c r="L98" s="587"/>
      <c r="M98" s="588"/>
      <c r="N98" s="1149"/>
      <c r="O98" s="1149"/>
      <c r="P98" s="2621"/>
      <c r="Q98" s="502"/>
    </row>
    <row r="99" spans="1:17" ht="14.4" thickBot="1">
      <c r="A99" s="2627"/>
      <c r="B99" s="567"/>
      <c r="C99" s="568"/>
      <c r="D99" s="568"/>
      <c r="E99" s="568"/>
      <c r="F99" s="568"/>
      <c r="G99" s="589"/>
      <c r="H99" s="589"/>
      <c r="I99" s="589"/>
      <c r="J99" s="589"/>
      <c r="K99" s="589"/>
      <c r="L99" s="589"/>
      <c r="M99" s="590"/>
      <c r="N99" s="1150"/>
      <c r="O99" s="1150"/>
      <c r="P99" s="2621"/>
      <c r="Q99" s="502"/>
    </row>
    <row r="100" spans="1:17" ht="14.4">
      <c r="A100" s="525" t="s">
        <v>2561</v>
      </c>
      <c r="B100" s="526" t="s">
        <v>2679</v>
      </c>
      <c r="C100" s="528"/>
      <c r="D100" s="528"/>
      <c r="E100" s="528"/>
      <c r="F100" s="528"/>
      <c r="G100" s="528"/>
      <c r="H100" s="528"/>
      <c r="I100" s="528"/>
      <c r="J100" s="528"/>
      <c r="K100" s="529"/>
      <c r="L100" s="530"/>
      <c r="M100" s="531"/>
      <c r="N100" s="1149"/>
      <c r="O100" s="1149"/>
      <c r="P100" s="2621"/>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4.4"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2614</v>
      </c>
      <c r="C107" s="552"/>
      <c r="D107" s="552"/>
      <c r="E107" s="552"/>
      <c r="F107" s="581"/>
      <c r="G107" s="581"/>
      <c r="H107" s="581"/>
      <c r="I107" s="581"/>
      <c r="J107" s="581"/>
      <c r="K107" s="582"/>
      <c r="L107" s="583"/>
      <c r="M107" s="584"/>
      <c r="N107" s="1149"/>
      <c r="O107" s="1149"/>
      <c r="P107" s="2621"/>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2616</v>
      </c>
      <c r="C112" s="552"/>
      <c r="D112" s="552"/>
      <c r="E112" s="552"/>
      <c r="F112" s="552"/>
      <c r="G112" s="552"/>
      <c r="H112" s="581"/>
      <c r="I112" s="581"/>
      <c r="J112" s="581"/>
      <c r="K112" s="582"/>
      <c r="L112" s="583"/>
      <c r="M112" s="584"/>
      <c r="N112" s="1151"/>
      <c r="O112" s="1151"/>
      <c r="P112" s="2622"/>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2680</v>
      </c>
      <c r="C114" s="552"/>
      <c r="D114" s="552"/>
      <c r="E114" s="581"/>
      <c r="F114" s="581"/>
      <c r="G114" s="581"/>
      <c r="H114" s="581"/>
      <c r="I114" s="581"/>
      <c r="J114" s="581"/>
      <c r="K114" s="582"/>
      <c r="L114" s="583"/>
      <c r="M114" s="584"/>
      <c r="N114" s="1149"/>
      <c r="O114" s="1149"/>
      <c r="P114" s="2621"/>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2681</v>
      </c>
      <c r="C116" s="552"/>
      <c r="D116" s="552"/>
      <c r="E116" s="552"/>
      <c r="F116" s="552"/>
      <c r="G116" s="552"/>
      <c r="H116" s="581"/>
      <c r="I116" s="581"/>
      <c r="J116" s="581"/>
      <c r="K116" s="582"/>
      <c r="L116" s="583"/>
      <c r="M116" s="584"/>
      <c r="N116" s="1149"/>
      <c r="O116" s="1149"/>
      <c r="P116" s="2621"/>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2682</v>
      </c>
      <c r="C118" s="625"/>
      <c r="D118" s="625"/>
      <c r="E118" s="625"/>
      <c r="F118" s="625"/>
      <c r="G118" s="625"/>
      <c r="H118" s="553"/>
      <c r="I118" s="553"/>
      <c r="J118" s="553"/>
      <c r="K118" s="553"/>
      <c r="L118" s="554"/>
      <c r="M118" s="555"/>
      <c r="N118" s="1149"/>
      <c r="O118" s="1149"/>
      <c r="P118" s="2621"/>
      <c r="Q118" s="502"/>
    </row>
    <row r="119" spans="1:17" ht="14.4"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2683</v>
      </c>
      <c r="C120" s="581"/>
      <c r="D120" s="581"/>
      <c r="E120" s="581"/>
      <c r="F120" s="581"/>
      <c r="G120" s="553"/>
      <c r="H120" s="553"/>
      <c r="I120" s="553"/>
      <c r="J120" s="553"/>
      <c r="K120" s="553"/>
      <c r="L120" s="554"/>
      <c r="M120" s="555"/>
      <c r="N120" s="1151"/>
      <c r="O120" s="1151"/>
      <c r="P120" s="2622"/>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2"/>
      <c r="Q127" s="557"/>
    </row>
    <row r="128" spans="1:17" ht="14.4" thickTop="1">
      <c r="A128" s="597"/>
      <c r="B128" s="536">
        <f>B45</f>
        <v>111</v>
      </c>
      <c r="C128" s="552"/>
      <c r="D128" s="552"/>
      <c r="E128" s="552"/>
      <c r="F128" s="552"/>
      <c r="G128" s="581"/>
      <c r="H128" s="581"/>
      <c r="I128" s="581"/>
      <c r="J128" s="581"/>
      <c r="K128" s="582"/>
      <c r="L128" s="583"/>
      <c r="M128" s="584"/>
      <c r="N128" s="1149"/>
      <c r="O128" s="1149"/>
      <c r="P128" s="2621"/>
      <c r="Q128" s="502"/>
    </row>
    <row r="129" spans="1:17" ht="14.4" thickBot="1">
      <c r="A129" s="532"/>
      <c r="B129" s="541"/>
      <c r="C129" s="558"/>
      <c r="D129" s="534"/>
      <c r="E129" s="534"/>
      <c r="F129" s="534"/>
      <c r="G129" s="534"/>
      <c r="H129" s="534"/>
      <c r="I129" s="534"/>
      <c r="J129" s="534"/>
      <c r="K129" s="534"/>
      <c r="L129" s="534"/>
      <c r="M129" s="535"/>
      <c r="N129" s="1150"/>
      <c r="O129" s="1150"/>
      <c r="P129" s="2621"/>
      <c r="Q129" s="502"/>
    </row>
    <row r="130" spans="1:17" ht="14.4" thickTop="1">
      <c r="A130" s="597"/>
      <c r="B130" s="544">
        <f>B46</f>
        <v>111</v>
      </c>
      <c r="C130" s="552"/>
      <c r="D130" s="552"/>
      <c r="E130" s="552"/>
      <c r="F130" s="552"/>
      <c r="G130" s="585"/>
      <c r="H130" s="585"/>
      <c r="I130" s="585"/>
      <c r="J130" s="585"/>
      <c r="K130" s="521"/>
      <c r="L130" s="522"/>
      <c r="M130" s="588"/>
      <c r="N130" s="1149"/>
      <c r="O130" s="1149"/>
      <c r="P130" s="2621"/>
      <c r="Q130" s="502"/>
    </row>
    <row r="131" spans="1:17" ht="14.4"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660" t="s">
        <v>2684</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IF(C2="——",ROUND(C50*D3/10000,0),ROUND(C50*D3/10000,0)-D2)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IF(C2="——",C50,ROUND(B2*10000/D3,0))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82" t="s">
        <v>2649</v>
      </c>
      <c r="Q4" s="3283"/>
      <c r="R4" s="3277" t="s">
        <v>2645</v>
      </c>
      <c r="S4" s="3278"/>
      <c r="T4" s="3277" t="s">
        <v>2646</v>
      </c>
      <c r="U4" s="3278"/>
      <c r="V4" s="3286" t="s">
        <v>2647</v>
      </c>
      <c r="W4" s="3286"/>
      <c r="X4" s="2661"/>
      <c r="Y4" s="3277" t="s">
        <v>2649</v>
      </c>
      <c r="Z4" s="3278"/>
      <c r="AA4" s="3276" t="s">
        <v>2645</v>
      </c>
      <c r="AB4" s="3276" t="s">
        <v>2646</v>
      </c>
      <c r="AC4" s="3279" t="s">
        <v>2647</v>
      </c>
    </row>
    <row r="5" spans="1:29">
      <c r="A5" s="402"/>
      <c r="B5" s="403"/>
      <c r="C5" s="3229" t="s">
        <v>2540</v>
      </c>
      <c r="D5" s="3230"/>
      <c r="E5" s="3218" t="s">
        <v>2541</v>
      </c>
      <c r="F5" s="3219"/>
      <c r="G5" s="3229" t="s">
        <v>2542</v>
      </c>
      <c r="H5" s="3230"/>
      <c r="I5" s="3229" t="s">
        <v>2543</v>
      </c>
      <c r="J5" s="3230"/>
      <c r="K5" s="608"/>
      <c r="L5" s="1127"/>
      <c r="M5" s="1128"/>
      <c r="N5" s="1128"/>
      <c r="O5" s="1128"/>
      <c r="P5" s="3284"/>
      <c r="Q5" s="3215"/>
      <c r="R5" s="3227"/>
      <c r="S5" s="3228"/>
      <c r="T5" s="3227"/>
      <c r="U5" s="3228"/>
      <c r="V5" s="3200"/>
      <c r="W5" s="3200"/>
      <c r="X5" s="1802"/>
      <c r="Y5" s="3227"/>
      <c r="Z5" s="3228"/>
      <c r="AA5" s="3206"/>
      <c r="AB5" s="3206"/>
      <c r="AC5" s="3280"/>
    </row>
    <row r="6" spans="1:29" ht="15" thickBot="1">
      <c r="A6" s="404"/>
      <c r="B6" s="405"/>
      <c r="C6" s="3264" t="s">
        <v>2544</v>
      </c>
      <c r="D6" s="3265"/>
      <c r="E6" s="3266" t="s">
        <v>2544</v>
      </c>
      <c r="F6" s="3267"/>
      <c r="G6" s="3264" t="s">
        <v>2544</v>
      </c>
      <c r="H6" s="3265"/>
      <c r="I6" s="3264" t="s">
        <v>2544</v>
      </c>
      <c r="J6" s="3265"/>
      <c r="K6" s="608" t="s">
        <v>2545</v>
      </c>
      <c r="L6" s="1127"/>
      <c r="M6" s="1128"/>
      <c r="N6" s="1128"/>
      <c r="O6" s="1128"/>
      <c r="P6" s="3285"/>
      <c r="Q6" s="3217"/>
      <c r="R6" s="3227"/>
      <c r="S6" s="3228"/>
      <c r="T6" s="3236"/>
      <c r="U6" s="3237"/>
      <c r="V6" s="3200"/>
      <c r="W6" s="3200"/>
      <c r="X6" s="1802"/>
      <c r="Y6" s="3236"/>
      <c r="Z6" s="3237"/>
      <c r="AA6" s="3207"/>
      <c r="AB6" s="3207"/>
      <c r="AC6" s="3281"/>
    </row>
    <row r="7" spans="1:29" s="116" customFormat="1" ht="15" thickBot="1">
      <c r="A7" s="406" t="s">
        <v>2546</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7"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2662" t="e">
        <f>D7/J7</f>
        <v>#DIV/0!</v>
      </c>
    </row>
    <row r="8" spans="1:29" s="116"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7" t="s">
        <v>2550</v>
      </c>
      <c r="Q8" s="3221"/>
      <c r="R8" s="767" t="s">
        <v>17</v>
      </c>
      <c r="S8" s="768">
        <f t="shared" si="0"/>
        <v>0</v>
      </c>
      <c r="T8" s="767" t="s">
        <v>17</v>
      </c>
      <c r="U8" s="768">
        <f t="shared" si="1"/>
        <v>0</v>
      </c>
      <c r="V8" s="767" t="s">
        <v>17</v>
      </c>
      <c r="W8" s="768">
        <f t="shared" si="2"/>
        <v>0</v>
      </c>
      <c r="X8" s="769"/>
      <c r="Y8" s="3220" t="s">
        <v>2550</v>
      </c>
      <c r="Z8" s="3221"/>
      <c r="AA8" s="770" t="e">
        <f t="shared" ref="AA8:AA47" si="3">D8/F8</f>
        <v>#DIV/0!</v>
      </c>
      <c r="AB8" s="770" t="e">
        <f t="shared" ref="AB8:AB47" si="4">D8/H8</f>
        <v>#DIV/0!</v>
      </c>
      <c r="AC8" s="2662" t="e">
        <f t="shared" ref="AC8:AC47" si="5">D8/J8</f>
        <v>#DIV/0!</v>
      </c>
    </row>
    <row r="9" spans="1:29" s="116" customFormat="1" ht="14.4">
      <c r="A9" s="413" t="s">
        <v>2551</v>
      </c>
      <c r="B9" s="71" t="s">
        <v>2552</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2662">
        <f t="shared" si="5"/>
        <v>1</v>
      </c>
    </row>
    <row r="10" spans="1:29" s="425" customFormat="1" ht="28.8">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2662">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23"/>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223"/>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223"/>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2662">
        <f t="shared" si="5"/>
        <v>1</v>
      </c>
    </row>
    <row r="14" spans="1:29" ht="15.6"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223"/>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2662">
        <f t="shared" si="5"/>
        <v>1</v>
      </c>
    </row>
    <row r="15" spans="1:29" ht="69">
      <c r="A15" s="438" t="s">
        <v>2557</v>
      </c>
      <c r="B15" s="627" t="s">
        <v>2685</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74" t="s">
        <v>2558</v>
      </c>
      <c r="Q15" s="1799" t="str">
        <f t="shared" si="6"/>
        <v>办公集聚程度</v>
      </c>
      <c r="R15" s="771" t="s">
        <v>17</v>
      </c>
      <c r="S15" s="772">
        <f t="shared" si="0"/>
        <v>100</v>
      </c>
      <c r="T15" s="771" t="s">
        <v>17</v>
      </c>
      <c r="U15" s="772">
        <f t="shared" si="1"/>
        <v>100</v>
      </c>
      <c r="V15" s="771" t="s">
        <v>17</v>
      </c>
      <c r="W15" s="772">
        <f t="shared" si="2"/>
        <v>100</v>
      </c>
      <c r="X15" s="1802"/>
      <c r="Y15" s="3201" t="s">
        <v>2558</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75"/>
      <c r="Q16" s="1799"/>
      <c r="R16" s="771"/>
      <c r="S16" s="772"/>
      <c r="T16" s="771"/>
      <c r="U16" s="772"/>
      <c r="V16" s="771"/>
      <c r="W16" s="772"/>
      <c r="X16" s="1802"/>
      <c r="Y16" s="3202"/>
      <c r="Z16" s="1803"/>
      <c r="AA16" s="1800">
        <v>1</v>
      </c>
      <c r="AB16" s="1800">
        <v>1</v>
      </c>
      <c r="AC16" s="2665">
        <v>1</v>
      </c>
    </row>
    <row r="17" spans="1:29" ht="82.8">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75"/>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75"/>
      <c r="Q18" s="1799"/>
      <c r="R18" s="771"/>
      <c r="S18" s="772"/>
      <c r="T18" s="771"/>
      <c r="U18" s="772"/>
      <c r="V18" s="771"/>
      <c r="W18" s="772"/>
      <c r="X18" s="1802"/>
      <c r="Y18" s="3202"/>
      <c r="Z18" s="1803"/>
      <c r="AA18" s="1800">
        <v>1</v>
      </c>
      <c r="AB18" s="1800">
        <v>1</v>
      </c>
      <c r="AC18" s="2665">
        <v>1</v>
      </c>
    </row>
    <row r="19" spans="1:29" ht="41.4">
      <c r="A19" s="426"/>
      <c r="B19" s="629" t="s">
        <v>2686</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75"/>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75"/>
      <c r="Q20" s="1799"/>
      <c r="R20" s="771"/>
      <c r="S20" s="772"/>
      <c r="T20" s="771"/>
      <c r="U20" s="772"/>
      <c r="V20" s="771"/>
      <c r="W20" s="772"/>
      <c r="X20" s="1802"/>
      <c r="Y20" s="3202"/>
      <c r="Z20" s="1803"/>
      <c r="AA20" s="1800">
        <v>1</v>
      </c>
      <c r="AB20" s="1800">
        <v>1</v>
      </c>
      <c r="AC20" s="2665">
        <v>1</v>
      </c>
    </row>
    <row r="21" spans="1:29" ht="27.6">
      <c r="A21" s="426"/>
      <c r="B21" s="631" t="s">
        <v>2687</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75"/>
      <c r="Q22" s="1799"/>
      <c r="R22" s="771"/>
      <c r="S22" s="772"/>
      <c r="T22" s="771"/>
      <c r="U22" s="772"/>
      <c r="V22" s="771"/>
      <c r="W22" s="772"/>
      <c r="X22" s="1802"/>
      <c r="Y22" s="3202"/>
      <c r="Z22" s="1803"/>
      <c r="AA22" s="1800">
        <v>1</v>
      </c>
      <c r="AB22" s="1800">
        <v>1</v>
      </c>
      <c r="AC22" s="2665">
        <v>1</v>
      </c>
    </row>
    <row r="23" spans="1:29" ht="55.2">
      <c r="A23" s="426"/>
      <c r="B23" s="629" t="s">
        <v>2688</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75"/>
      <c r="Q23" s="1799" t="str">
        <f>B23</f>
        <v>环境质量</v>
      </c>
      <c r="R23" s="771" t="s">
        <v>17</v>
      </c>
      <c r="S23" s="772">
        <f>F23</f>
        <v>100</v>
      </c>
      <c r="T23" s="771" t="s">
        <v>17</v>
      </c>
      <c r="U23" s="772">
        <f>H23</f>
        <v>100</v>
      </c>
      <c r="V23" s="771" t="s">
        <v>17</v>
      </c>
      <c r="W23" s="772">
        <f>J23</f>
        <v>100</v>
      </c>
      <c r="X23" s="1802"/>
      <c r="Y23" s="3202"/>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75"/>
      <c r="Q24" s="1799"/>
      <c r="R24" s="771"/>
      <c r="S24" s="772"/>
      <c r="T24" s="771"/>
      <c r="U24" s="772"/>
      <c r="V24" s="771"/>
      <c r="W24" s="772"/>
      <c r="X24" s="1802"/>
      <c r="Y24" s="3202"/>
      <c r="Z24" s="1803"/>
      <c r="AA24" s="1800">
        <v>1</v>
      </c>
      <c r="AB24" s="1800">
        <v>1</v>
      </c>
      <c r="AC24" s="2665">
        <v>1</v>
      </c>
    </row>
    <row r="25" spans="1:29" ht="28.8">
      <c r="A25" s="402"/>
      <c r="B25" s="629" t="s">
        <v>2689</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75"/>
      <c r="Q25" s="1799" t="str">
        <f>B25</f>
        <v>毗邻道路的类型与等级</v>
      </c>
      <c r="R25" s="771" t="s">
        <v>17</v>
      </c>
      <c r="S25" s="772">
        <f>F25</f>
        <v>100</v>
      </c>
      <c r="T25" s="771" t="s">
        <v>17</v>
      </c>
      <c r="U25" s="772">
        <f>H25</f>
        <v>100</v>
      </c>
      <c r="V25" s="771" t="s">
        <v>17</v>
      </c>
      <c r="W25" s="772">
        <f>J25</f>
        <v>100</v>
      </c>
      <c r="X25" s="1802"/>
      <c r="Y25" s="3202"/>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75"/>
      <c r="Q26" s="1799"/>
      <c r="R26" s="771"/>
      <c r="S26" s="772"/>
      <c r="T26" s="771"/>
      <c r="U26" s="772"/>
      <c r="V26" s="771"/>
      <c r="W26" s="772"/>
      <c r="X26" s="1802"/>
      <c r="Y26" s="3202"/>
      <c r="Z26" s="1803"/>
      <c r="AA26" s="1800">
        <v>1</v>
      </c>
      <c r="AB26" s="1800">
        <v>1</v>
      </c>
      <c r="AC26" s="2665">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75"/>
      <c r="Q27" s="1799" t="str">
        <f t="shared" ref="Q27:Q47" si="11">B27</f>
        <v>楼层</v>
      </c>
      <c r="R27" s="771" t="s">
        <v>17</v>
      </c>
      <c r="S27" s="772">
        <f>F27</f>
        <v>100</v>
      </c>
      <c r="T27" s="771" t="s">
        <v>17</v>
      </c>
      <c r="U27" s="772">
        <f>H27</f>
        <v>100</v>
      </c>
      <c r="V27" s="771" t="s">
        <v>17</v>
      </c>
      <c r="W27" s="772">
        <f>J27</f>
        <v>100</v>
      </c>
      <c r="X27" s="1802"/>
      <c r="Y27" s="3202"/>
      <c r="Z27" s="1803" t="str">
        <f>Q27</f>
        <v>楼层</v>
      </c>
      <c r="AA27" s="1800">
        <f t="shared" si="3"/>
        <v>1</v>
      </c>
      <c r="AB27" s="1800">
        <f t="shared" si="4"/>
        <v>1</v>
      </c>
      <c r="AC27" s="2665">
        <f t="shared" si="5"/>
        <v>1</v>
      </c>
    </row>
    <row r="28" spans="1:29" s="116" customFormat="1" ht="15">
      <c r="A28" s="429"/>
      <c r="B28" s="629" t="s">
        <v>2690</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75"/>
      <c r="Q28" s="1784" t="str">
        <f t="shared" si="11"/>
        <v>朝向</v>
      </c>
      <c r="R28" s="767" t="s">
        <v>17</v>
      </c>
      <c r="S28" s="768">
        <f>F28</f>
        <v>100</v>
      </c>
      <c r="T28" s="767" t="s">
        <v>17</v>
      </c>
      <c r="U28" s="768">
        <f>H28</f>
        <v>100</v>
      </c>
      <c r="V28" s="767" t="s">
        <v>17</v>
      </c>
      <c r="W28" s="768">
        <f>J28</f>
        <v>100</v>
      </c>
      <c r="X28" s="769"/>
      <c r="Y28" s="3202"/>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75"/>
      <c r="Q29" s="1799">
        <f t="shared" si="11"/>
        <v>111</v>
      </c>
      <c r="R29" s="771" t="s">
        <v>17</v>
      </c>
      <c r="S29" s="772">
        <f t="shared" ref="S29:S47" si="12">F29</f>
        <v>100</v>
      </c>
      <c r="T29" s="771" t="s">
        <v>17</v>
      </c>
      <c r="U29" s="772">
        <f t="shared" ref="U29:U47" si="13">H29</f>
        <v>100</v>
      </c>
      <c r="V29" s="771" t="s">
        <v>17</v>
      </c>
      <c r="W29" s="772">
        <f t="shared" ref="W29:W47" si="14">J29</f>
        <v>100</v>
      </c>
      <c r="X29" s="1802"/>
      <c r="Y29" s="3202"/>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75"/>
      <c r="Q30" s="1799">
        <f t="shared" si="11"/>
        <v>111</v>
      </c>
      <c r="R30" s="771" t="s">
        <v>17</v>
      </c>
      <c r="S30" s="772">
        <f t="shared" si="12"/>
        <v>100</v>
      </c>
      <c r="T30" s="771" t="s">
        <v>17</v>
      </c>
      <c r="U30" s="772">
        <f t="shared" si="13"/>
        <v>100</v>
      </c>
      <c r="V30" s="771" t="s">
        <v>17</v>
      </c>
      <c r="W30" s="772">
        <f t="shared" si="14"/>
        <v>100</v>
      </c>
      <c r="X30" s="1802"/>
      <c r="Y30" s="3202"/>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75"/>
      <c r="Q31" s="1799">
        <f t="shared" si="11"/>
        <v>111</v>
      </c>
      <c r="R31" s="771" t="s">
        <v>17</v>
      </c>
      <c r="S31" s="772">
        <f t="shared" si="12"/>
        <v>100</v>
      </c>
      <c r="T31" s="771" t="s">
        <v>17</v>
      </c>
      <c r="U31" s="772">
        <f t="shared" si="13"/>
        <v>100</v>
      </c>
      <c r="V31" s="771" t="s">
        <v>17</v>
      </c>
      <c r="W31" s="772">
        <f t="shared" si="14"/>
        <v>100</v>
      </c>
      <c r="X31" s="1802"/>
      <c r="Y31" s="3202"/>
      <c r="Z31" s="1803">
        <f t="shared" si="15"/>
        <v>111</v>
      </c>
      <c r="AA31" s="1800">
        <f t="shared" si="3"/>
        <v>1</v>
      </c>
      <c r="AB31" s="1800">
        <f t="shared" si="4"/>
        <v>1</v>
      </c>
      <c r="AC31" s="2665">
        <f t="shared" si="5"/>
        <v>1</v>
      </c>
    </row>
    <row r="32" spans="1:29" ht="15.6"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75"/>
      <c r="Q32" s="1799">
        <f t="shared" si="11"/>
        <v>111</v>
      </c>
      <c r="R32" s="771" t="s">
        <v>17</v>
      </c>
      <c r="S32" s="772">
        <f t="shared" si="12"/>
        <v>100</v>
      </c>
      <c r="T32" s="771" t="s">
        <v>17</v>
      </c>
      <c r="U32" s="772">
        <f t="shared" si="13"/>
        <v>100</v>
      </c>
      <c r="V32" s="771" t="s">
        <v>17</v>
      </c>
      <c r="W32" s="772">
        <f t="shared" si="14"/>
        <v>100</v>
      </c>
      <c r="X32" s="1802"/>
      <c r="Y32" s="3202"/>
      <c r="Z32" s="1803">
        <f t="shared" si="15"/>
        <v>111</v>
      </c>
      <c r="AA32" s="1800">
        <f t="shared" si="3"/>
        <v>1</v>
      </c>
      <c r="AB32" s="1800">
        <f t="shared" si="4"/>
        <v>1</v>
      </c>
      <c r="AC32" s="2665">
        <f t="shared" si="5"/>
        <v>1</v>
      </c>
    </row>
    <row r="33" spans="1:29" ht="15">
      <c r="A33" s="438" t="s">
        <v>2561</v>
      </c>
      <c r="B33" s="71" t="s">
        <v>2691</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70" t="s">
        <v>2563</v>
      </c>
      <c r="Q33" s="1799" t="str">
        <f t="shared" si="11"/>
        <v>建筑类型</v>
      </c>
      <c r="R33" s="771" t="s">
        <v>17</v>
      </c>
      <c r="S33" s="772">
        <f t="shared" si="12"/>
        <v>100</v>
      </c>
      <c r="T33" s="771" t="s">
        <v>17</v>
      </c>
      <c r="U33" s="772">
        <f t="shared" si="13"/>
        <v>100</v>
      </c>
      <c r="V33" s="771" t="s">
        <v>17</v>
      </c>
      <c r="W33" s="772">
        <f t="shared" si="14"/>
        <v>100</v>
      </c>
      <c r="X33" s="1802"/>
      <c r="Y33" s="3204" t="s">
        <v>2563</v>
      </c>
      <c r="Z33" s="1803" t="str">
        <f t="shared" si="15"/>
        <v>建筑类型</v>
      </c>
      <c r="AA33" s="1800">
        <f t="shared" si="3"/>
        <v>1</v>
      </c>
      <c r="AB33" s="1800">
        <f t="shared" si="4"/>
        <v>1</v>
      </c>
      <c r="AC33" s="2665">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71"/>
      <c r="Q34" s="773" t="str">
        <f t="shared" si="11"/>
        <v>项目建筑规模</v>
      </c>
      <c r="R34" s="774" t="s">
        <v>17</v>
      </c>
      <c r="S34" s="775" t="e">
        <f t="shared" si="12"/>
        <v>#N/A</v>
      </c>
      <c r="T34" s="774" t="s">
        <v>17</v>
      </c>
      <c r="U34" s="775" t="e">
        <f t="shared" si="13"/>
        <v>#N/A</v>
      </c>
      <c r="V34" s="774" t="s">
        <v>17</v>
      </c>
      <c r="W34" s="775" t="e">
        <f t="shared" si="14"/>
        <v>#N/A</v>
      </c>
      <c r="X34" s="776"/>
      <c r="Y34" s="3204"/>
      <c r="Z34" s="777" t="str">
        <f t="shared" si="15"/>
        <v>项目建筑规模</v>
      </c>
      <c r="AA34" s="1800" t="e">
        <f t="shared" si="3"/>
        <v>#N/A</v>
      </c>
      <c r="AB34" s="1800" t="e">
        <f t="shared" si="4"/>
        <v>#N/A</v>
      </c>
      <c r="AC34" s="2665"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71"/>
      <c r="Q35" s="1799" t="str">
        <f t="shared" si="11"/>
        <v>建筑结构</v>
      </c>
      <c r="R35" s="771" t="s">
        <v>17</v>
      </c>
      <c r="S35" s="772">
        <f t="shared" si="12"/>
        <v>100</v>
      </c>
      <c r="T35" s="771" t="s">
        <v>17</v>
      </c>
      <c r="U35" s="772">
        <f t="shared" si="13"/>
        <v>100</v>
      </c>
      <c r="V35" s="771" t="s">
        <v>17</v>
      </c>
      <c r="W35" s="772">
        <f t="shared" si="14"/>
        <v>100</v>
      </c>
      <c r="X35" s="1802"/>
      <c r="Y35" s="3204"/>
      <c r="Z35" s="1803" t="str">
        <f t="shared" si="15"/>
        <v>建筑结构</v>
      </c>
      <c r="AA35" s="1800">
        <f t="shared" si="3"/>
        <v>1</v>
      </c>
      <c r="AB35" s="1800">
        <f t="shared" si="4"/>
        <v>1</v>
      </c>
      <c r="AC35" s="2665">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71"/>
      <c r="Q36" s="1799" t="str">
        <f t="shared" si="11"/>
        <v>公共部分装修</v>
      </c>
      <c r="R36" s="771" t="s">
        <v>17</v>
      </c>
      <c r="S36" s="772">
        <f t="shared" si="12"/>
        <v>100</v>
      </c>
      <c r="T36" s="771" t="s">
        <v>17</v>
      </c>
      <c r="U36" s="772">
        <f t="shared" si="13"/>
        <v>100</v>
      </c>
      <c r="V36" s="771" t="s">
        <v>17</v>
      </c>
      <c r="W36" s="772">
        <f t="shared" si="14"/>
        <v>100</v>
      </c>
      <c r="X36" s="1802"/>
      <c r="Y36" s="3204"/>
      <c r="Z36" s="1803" t="str">
        <f t="shared" si="15"/>
        <v>公共部分装修</v>
      </c>
      <c r="AA36" s="1800">
        <f t="shared" si="3"/>
        <v>1</v>
      </c>
      <c r="AB36" s="1800">
        <f t="shared" si="4"/>
        <v>1</v>
      </c>
      <c r="AC36" s="2665">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71"/>
      <c r="Q37" s="1799" t="str">
        <f t="shared" si="11"/>
        <v>成新度</v>
      </c>
      <c r="R37" s="771" t="s">
        <v>17</v>
      </c>
      <c r="S37" s="772" t="e">
        <f t="shared" si="12"/>
        <v>#N/A</v>
      </c>
      <c r="T37" s="771" t="s">
        <v>17</v>
      </c>
      <c r="U37" s="772" t="e">
        <f t="shared" si="13"/>
        <v>#N/A</v>
      </c>
      <c r="V37" s="771" t="s">
        <v>17</v>
      </c>
      <c r="W37" s="772" t="e">
        <f t="shared" si="14"/>
        <v>#N/A</v>
      </c>
      <c r="X37" s="1802"/>
      <c r="Y37" s="3204"/>
      <c r="Z37" s="1803" t="str">
        <f t="shared" si="15"/>
        <v>成新度</v>
      </c>
      <c r="AA37" s="1800" t="e">
        <f t="shared" si="3"/>
        <v>#N/A</v>
      </c>
      <c r="AB37" s="1800" t="e">
        <f t="shared" si="4"/>
        <v>#N/A</v>
      </c>
      <c r="AC37" s="2665" t="e">
        <f t="shared" si="5"/>
        <v>#N/A</v>
      </c>
    </row>
    <row r="38" spans="1:29" s="116"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71"/>
      <c r="Q38" s="1784" t="str">
        <f t="shared" si="11"/>
        <v>写字楼等级</v>
      </c>
      <c r="R38" s="767" t="s">
        <v>17</v>
      </c>
      <c r="S38" s="768">
        <f t="shared" si="12"/>
        <v>100</v>
      </c>
      <c r="T38" s="767" t="s">
        <v>17</v>
      </c>
      <c r="U38" s="768">
        <f t="shared" si="13"/>
        <v>100</v>
      </c>
      <c r="V38" s="767" t="s">
        <v>17</v>
      </c>
      <c r="W38" s="768">
        <f t="shared" si="14"/>
        <v>100</v>
      </c>
      <c r="X38" s="769"/>
      <c r="Y38" s="3204"/>
      <c r="Z38" s="55" t="str">
        <f t="shared" si="15"/>
        <v>写字楼等级</v>
      </c>
      <c r="AA38" s="770">
        <f t="shared" si="3"/>
        <v>1</v>
      </c>
      <c r="AB38" s="770">
        <f t="shared" si="4"/>
        <v>1</v>
      </c>
      <c r="AC38" s="2662">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71" t="s">
        <v>2563</v>
      </c>
      <c r="Q39" s="1799" t="str">
        <f t="shared" si="11"/>
        <v>物业管理</v>
      </c>
      <c r="R39" s="771" t="s">
        <v>17</v>
      </c>
      <c r="S39" s="772">
        <f t="shared" si="12"/>
        <v>100</v>
      </c>
      <c r="T39" s="771" t="s">
        <v>17</v>
      </c>
      <c r="U39" s="772">
        <f t="shared" si="13"/>
        <v>100</v>
      </c>
      <c r="V39" s="771" t="s">
        <v>17</v>
      </c>
      <c r="W39" s="772">
        <f t="shared" si="14"/>
        <v>100</v>
      </c>
      <c r="X39" s="1802"/>
      <c r="Y39" s="3204" t="s">
        <v>2563</v>
      </c>
      <c r="Z39" s="1803" t="str">
        <f t="shared" si="15"/>
        <v>物业管理</v>
      </c>
      <c r="AA39" s="1800">
        <f t="shared" si="3"/>
        <v>1</v>
      </c>
      <c r="AB39" s="1800">
        <f t="shared" si="4"/>
        <v>1</v>
      </c>
      <c r="AC39" s="2665">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71"/>
      <c r="Q40" s="1799" t="str">
        <f t="shared" si="11"/>
        <v>市政基础设施</v>
      </c>
      <c r="R40" s="771" t="s">
        <v>17</v>
      </c>
      <c r="S40" s="772">
        <f t="shared" si="12"/>
        <v>100</v>
      </c>
      <c r="T40" s="771" t="s">
        <v>17</v>
      </c>
      <c r="U40" s="772">
        <f t="shared" si="13"/>
        <v>100</v>
      </c>
      <c r="V40" s="771" t="s">
        <v>17</v>
      </c>
      <c r="W40" s="772">
        <f t="shared" si="14"/>
        <v>100</v>
      </c>
      <c r="X40" s="1802"/>
      <c r="Y40" s="3204"/>
      <c r="Z40" s="1803" t="str">
        <f t="shared" si="15"/>
        <v>市政基础设施</v>
      </c>
      <c r="AA40" s="1800">
        <f t="shared" si="3"/>
        <v>1</v>
      </c>
      <c r="AB40" s="1800">
        <f t="shared" si="4"/>
        <v>1</v>
      </c>
      <c r="AC40" s="2665">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71"/>
      <c r="Q41" s="1799" t="str">
        <f t="shared" si="11"/>
        <v>层高</v>
      </c>
      <c r="R41" s="771" t="s">
        <v>17</v>
      </c>
      <c r="S41" s="772">
        <f t="shared" si="12"/>
        <v>100</v>
      </c>
      <c r="T41" s="771" t="s">
        <v>17</v>
      </c>
      <c r="U41" s="772">
        <f t="shared" si="13"/>
        <v>100</v>
      </c>
      <c r="V41" s="771" t="s">
        <v>17</v>
      </c>
      <c r="W41" s="772">
        <f t="shared" si="14"/>
        <v>100</v>
      </c>
      <c r="X41" s="1802"/>
      <c r="Y41" s="3204"/>
      <c r="Z41" s="1803" t="str">
        <f t="shared" si="15"/>
        <v>层高</v>
      </c>
      <c r="AA41" s="1800">
        <f t="shared" si="3"/>
        <v>1</v>
      </c>
      <c r="AB41" s="1800">
        <f t="shared" si="4"/>
        <v>1</v>
      </c>
      <c r="AC41" s="2665">
        <f t="shared" si="5"/>
        <v>1</v>
      </c>
    </row>
    <row r="42" spans="1:29" s="469" customFormat="1" ht="15">
      <c r="A42" s="466"/>
      <c r="B42" s="180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71"/>
      <c r="Q42" s="773" t="str">
        <f t="shared" si="11"/>
        <v>单套建筑面积</v>
      </c>
      <c r="R42" s="774" t="s">
        <v>17</v>
      </c>
      <c r="S42" s="775">
        <f t="shared" si="12"/>
        <v>100</v>
      </c>
      <c r="T42" s="774" t="s">
        <v>17</v>
      </c>
      <c r="U42" s="775">
        <f t="shared" si="13"/>
        <v>100</v>
      </c>
      <c r="V42" s="774" t="s">
        <v>17</v>
      </c>
      <c r="W42" s="775">
        <f t="shared" si="14"/>
        <v>100</v>
      </c>
      <c r="X42" s="776"/>
      <c r="Y42" s="3204"/>
      <c r="Z42" s="777" t="str">
        <f t="shared" si="15"/>
        <v>单套建筑面积</v>
      </c>
      <c r="AA42" s="1800">
        <f t="shared" si="3"/>
        <v>1</v>
      </c>
      <c r="AB42" s="1800">
        <f t="shared" si="4"/>
        <v>1</v>
      </c>
      <c r="AC42" s="2665">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71"/>
      <c r="Q43" s="1799" t="str">
        <f t="shared" si="11"/>
        <v>内部装修</v>
      </c>
      <c r="R43" s="771" t="s">
        <v>17</v>
      </c>
      <c r="S43" s="772">
        <f t="shared" si="12"/>
        <v>100</v>
      </c>
      <c r="T43" s="771" t="s">
        <v>17</v>
      </c>
      <c r="U43" s="772">
        <f t="shared" si="13"/>
        <v>100</v>
      </c>
      <c r="V43" s="771" t="s">
        <v>17</v>
      </c>
      <c r="W43" s="772">
        <f t="shared" si="14"/>
        <v>100</v>
      </c>
      <c r="X43" s="1802"/>
      <c r="Y43" s="3204"/>
      <c r="Z43" s="1803" t="str">
        <f t="shared" si="15"/>
        <v>内部装修</v>
      </c>
      <c r="AA43" s="1800">
        <f t="shared" si="3"/>
        <v>1</v>
      </c>
      <c r="AB43" s="1800">
        <f t="shared" si="4"/>
        <v>1</v>
      </c>
      <c r="AC43" s="2665">
        <f t="shared" si="5"/>
        <v>1</v>
      </c>
    </row>
    <row r="44" spans="1:29" ht="28.8">
      <c r="A44" s="470"/>
      <c r="B44" s="420" t="s">
        <v>2574</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71"/>
      <c r="Q44" s="1799" t="str">
        <f t="shared" si="11"/>
        <v>内部装修维护情况</v>
      </c>
      <c r="R44" s="771" t="s">
        <v>17</v>
      </c>
      <c r="S44" s="772">
        <f t="shared" si="12"/>
        <v>100</v>
      </c>
      <c r="T44" s="771" t="s">
        <v>17</v>
      </c>
      <c r="U44" s="772">
        <f t="shared" si="13"/>
        <v>100</v>
      </c>
      <c r="V44" s="771" t="s">
        <v>17</v>
      </c>
      <c r="W44" s="772">
        <f t="shared" si="14"/>
        <v>100</v>
      </c>
      <c r="X44" s="1802"/>
      <c r="Y44" s="3204"/>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71"/>
      <c r="Q45" s="1784">
        <f t="shared" si="11"/>
        <v>111</v>
      </c>
      <c r="R45" s="767" t="s">
        <v>17</v>
      </c>
      <c r="S45" s="768">
        <f t="shared" si="12"/>
        <v>100</v>
      </c>
      <c r="T45" s="767" t="s">
        <v>17</v>
      </c>
      <c r="U45" s="768">
        <f t="shared" si="13"/>
        <v>100</v>
      </c>
      <c r="V45" s="767" t="s">
        <v>17</v>
      </c>
      <c r="W45" s="768">
        <f t="shared" si="14"/>
        <v>100</v>
      </c>
      <c r="X45" s="769"/>
      <c r="Y45" s="3204"/>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71"/>
      <c r="Q46" s="1799">
        <f t="shared" si="11"/>
        <v>111</v>
      </c>
      <c r="R46" s="771" t="s">
        <v>17</v>
      </c>
      <c r="S46" s="772">
        <f t="shared" si="12"/>
        <v>100</v>
      </c>
      <c r="T46" s="771" t="s">
        <v>17</v>
      </c>
      <c r="U46" s="772">
        <f t="shared" si="13"/>
        <v>100</v>
      </c>
      <c r="V46" s="771" t="s">
        <v>17</v>
      </c>
      <c r="W46" s="772">
        <f t="shared" si="14"/>
        <v>100</v>
      </c>
      <c r="X46" s="1802"/>
      <c r="Y46" s="3204"/>
      <c r="Z46" s="1803">
        <f t="shared" si="15"/>
        <v>111</v>
      </c>
      <c r="AA46" s="1800">
        <f t="shared" si="3"/>
        <v>1</v>
      </c>
      <c r="AB46" s="1800">
        <f t="shared" si="4"/>
        <v>1</v>
      </c>
      <c r="AC46" s="2665">
        <f t="shared" si="5"/>
        <v>1</v>
      </c>
    </row>
    <row r="47" spans="1:29" ht="15.6"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72"/>
      <c r="Q47" s="1799">
        <f t="shared" si="11"/>
        <v>111</v>
      </c>
      <c r="R47" s="771" t="s">
        <v>17</v>
      </c>
      <c r="S47" s="772">
        <f t="shared" si="12"/>
        <v>100</v>
      </c>
      <c r="T47" s="771" t="s">
        <v>17</v>
      </c>
      <c r="U47" s="772">
        <f t="shared" si="13"/>
        <v>100</v>
      </c>
      <c r="V47" s="771" t="s">
        <v>17</v>
      </c>
      <c r="W47" s="772">
        <f t="shared" si="14"/>
        <v>100</v>
      </c>
      <c r="X47" s="1802"/>
      <c r="Y47" s="3273"/>
      <c r="Z47" s="1803">
        <f t="shared" si="15"/>
        <v>111</v>
      </c>
      <c r="AA47" s="1800">
        <f t="shared" si="3"/>
        <v>1</v>
      </c>
      <c r="AB47" s="1800">
        <f t="shared" si="4"/>
        <v>1</v>
      </c>
      <c r="AC47" s="2665">
        <f t="shared" si="5"/>
        <v>1</v>
      </c>
    </row>
    <row r="48" spans="1:29" ht="14.4">
      <c r="A48" s="477" t="s">
        <v>2575</v>
      </c>
      <c r="B48" s="478"/>
      <c r="C48" s="1404" t="s">
        <v>1</v>
      </c>
      <c r="D48" s="1405"/>
      <c r="E48" s="1406"/>
      <c r="F48" s="1407"/>
      <c r="G48" s="1408"/>
      <c r="H48" s="1409"/>
      <c r="I48" s="1406"/>
      <c r="J48" s="483"/>
      <c r="K48" s="780"/>
      <c r="L48" s="1140"/>
      <c r="M48" s="1128"/>
      <c r="N48" s="1128"/>
      <c r="O48" s="1128"/>
      <c r="P48" s="3223" t="str">
        <f>A48</f>
        <v>成交单价（元/平方米）</v>
      </c>
      <c r="Q48" s="3198"/>
      <c r="R48" s="3269">
        <f>E48</f>
        <v>0</v>
      </c>
      <c r="S48" s="3269"/>
      <c r="T48" s="3269">
        <f>G48</f>
        <v>0</v>
      </c>
      <c r="U48" s="3269"/>
      <c r="V48" s="3269">
        <f>I48</f>
        <v>0</v>
      </c>
      <c r="W48" s="3269"/>
      <c r="X48" s="444"/>
      <c r="Y48" s="778"/>
      <c r="Z48" s="444"/>
      <c r="AA48" s="444"/>
      <c r="AB48" s="444"/>
      <c r="AC48" s="628"/>
    </row>
    <row r="49" spans="1:29" ht="15" thickBot="1">
      <c r="A49" s="484" t="s">
        <v>2667</v>
      </c>
      <c r="B49" s="485"/>
      <c r="C49" s="1410" t="e">
        <f>R50</f>
        <v>#DIV/0!</v>
      </c>
      <c r="D49" s="1411"/>
      <c r="E49" s="1412" t="e">
        <f>R49</f>
        <v>#DIV/0!</v>
      </c>
      <c r="F49" s="1412"/>
      <c r="G49" s="1410" t="e">
        <f>T49</f>
        <v>#DIV/0!</v>
      </c>
      <c r="H49" s="1411"/>
      <c r="I49" s="1412" t="e">
        <f>V49</f>
        <v>#DIV/0!</v>
      </c>
      <c r="J49" s="487"/>
      <c r="K49" s="781"/>
      <c r="L49" s="1140"/>
      <c r="M49" s="1128"/>
      <c r="N49" s="1128"/>
      <c r="O49" s="1128"/>
      <c r="P49" s="3223" t="str">
        <f>A49</f>
        <v>比较价值（元/平方米）</v>
      </c>
      <c r="Q49" s="3198"/>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44"/>
      <c r="Y49" s="444"/>
      <c r="Z49" s="444"/>
      <c r="AA49" s="444"/>
      <c r="AB49" s="444"/>
      <c r="AC49" s="628"/>
    </row>
    <row r="50" spans="1:29" ht="15" thickBot="1">
      <c r="A50" s="490" t="s">
        <v>2668</v>
      </c>
      <c r="B50" s="491"/>
      <c r="C50" s="1414" t="e">
        <f>R50</f>
        <v>#DIV/0!</v>
      </c>
      <c r="D50" s="1414"/>
      <c r="E50" s="1414"/>
      <c r="F50" s="1414"/>
      <c r="G50" s="1414"/>
      <c r="H50" s="1414"/>
      <c r="I50" s="1414"/>
      <c r="J50" s="492"/>
      <c r="K50" s="782"/>
      <c r="L50" s="1140"/>
      <c r="M50" s="1128"/>
      <c r="N50" s="1128"/>
      <c r="O50" s="1128"/>
      <c r="P50" s="3288" t="str">
        <f>A50</f>
        <v>估价对象XX用房的比较价值（楼面单价，元/平方米）</v>
      </c>
      <c r="Q50" s="3289"/>
      <c r="R50" s="3290" t="e">
        <f>IF(F1="售价",ROUND(AVERAGE(R49:V49),0),ROUND(AVERAGE(R49:V49),1))</f>
        <v>#DIV/0!</v>
      </c>
      <c r="S50" s="3290"/>
      <c r="T50" s="3290"/>
      <c r="U50" s="3290"/>
      <c r="V50" s="3290"/>
      <c r="W50" s="3290"/>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0" t="s">
        <v>2672</v>
      </c>
      <c r="B58" s="756"/>
      <c r="C58" s="761"/>
      <c r="D58" s="761"/>
      <c r="E58" s="761"/>
      <c r="F58" s="762"/>
      <c r="G58" s="762"/>
      <c r="H58" s="761"/>
      <c r="I58" s="761"/>
      <c r="J58" s="761"/>
      <c r="K58" s="763"/>
      <c r="L58" s="1158"/>
      <c r="M58" s="1156"/>
      <c r="N58" s="1156"/>
      <c r="O58" s="1156"/>
      <c r="P58" s="2672"/>
      <c r="Q58" s="502"/>
    </row>
    <row r="59" spans="1:29" s="506" customFormat="1" ht="14.4">
      <c r="A59" s="503" t="s">
        <v>2546</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c r="A60" s="507"/>
      <c r="B60" s="508"/>
      <c r="C60" s="1570">
        <v>100</v>
      </c>
      <c r="D60" s="510"/>
      <c r="E60" s="510"/>
      <c r="F60" s="510"/>
      <c r="G60" s="510"/>
      <c r="H60" s="510"/>
      <c r="I60" s="510"/>
      <c r="J60" s="510"/>
      <c r="K60" s="510"/>
      <c r="L60" s="510"/>
      <c r="M60" s="511"/>
      <c r="N60" s="510"/>
      <c r="O60" s="511"/>
      <c r="P60" s="2673"/>
    </row>
    <row r="61" spans="1:29" s="116" customFormat="1" ht="15" thickBot="1">
      <c r="A61" s="513" t="s">
        <v>2583</v>
      </c>
      <c r="B61" s="514"/>
      <c r="C61" s="515"/>
      <c r="D61" s="516"/>
      <c r="E61" s="516"/>
      <c r="F61" s="516"/>
      <c r="G61" s="516"/>
      <c r="H61" s="516"/>
      <c r="I61" s="516"/>
      <c r="J61" s="516"/>
      <c r="K61" s="516"/>
      <c r="L61" s="516"/>
      <c r="M61" s="517"/>
      <c r="N61" s="516"/>
      <c r="O61" s="517"/>
      <c r="P61" s="2673"/>
      <c r="Q61" s="502"/>
    </row>
    <row r="62" spans="1:29" s="116" customFormat="1" ht="14.4">
      <c r="A62" s="519" t="s">
        <v>2548</v>
      </c>
      <c r="B62" s="508"/>
      <c r="C62" s="520" t="s">
        <v>2650</v>
      </c>
      <c r="D62" s="521"/>
      <c r="E62" s="521"/>
      <c r="F62" s="521"/>
      <c r="G62" s="521"/>
      <c r="H62" s="521"/>
      <c r="I62" s="521"/>
      <c r="J62" s="521"/>
      <c r="K62" s="521"/>
      <c r="L62" s="522"/>
      <c r="M62" s="523"/>
      <c r="N62" s="1148"/>
      <c r="O62" s="1148"/>
      <c r="P62" s="2674"/>
      <c r="Q62" s="502"/>
    </row>
    <row r="63" spans="1:29" s="116" customFormat="1" ht="14.4" thickBot="1">
      <c r="A63" s="519"/>
      <c r="B63" s="508"/>
      <c r="C63" s="509">
        <v>100</v>
      </c>
      <c r="D63" s="510"/>
      <c r="E63" s="510"/>
      <c r="F63" s="510"/>
      <c r="G63" s="510"/>
      <c r="H63" s="510"/>
      <c r="I63" s="510"/>
      <c r="J63" s="510"/>
      <c r="K63" s="510"/>
      <c r="L63" s="510"/>
      <c r="M63" s="512"/>
      <c r="N63" s="1148"/>
      <c r="O63" s="1148"/>
      <c r="P63" s="2673"/>
      <c r="Q63" s="502"/>
    </row>
    <row r="64" spans="1:29" ht="14.4">
      <c r="A64" s="525" t="s">
        <v>2586</v>
      </c>
      <c r="B64" s="526" t="s">
        <v>2552</v>
      </c>
      <c r="C64" s="527">
        <f>C9</f>
        <v>0</v>
      </c>
      <c r="D64" s="528"/>
      <c r="E64" s="528"/>
      <c r="F64" s="528"/>
      <c r="G64" s="528"/>
      <c r="H64" s="528"/>
      <c r="I64" s="528"/>
      <c r="J64" s="528"/>
      <c r="K64" s="529"/>
      <c r="L64" s="530"/>
      <c r="M64" s="531"/>
      <c r="N64" s="1149"/>
      <c r="O64" s="1149"/>
      <c r="P64" s="2675"/>
      <c r="Q64" s="502"/>
    </row>
    <row r="65" spans="1:17" ht="14.4" thickBot="1">
      <c r="A65" s="532"/>
      <c r="B65" s="533"/>
      <c r="C65" s="534">
        <v>100</v>
      </c>
      <c r="D65" s="534"/>
      <c r="E65" s="534"/>
      <c r="F65" s="534"/>
      <c r="G65" s="534"/>
      <c r="H65" s="534"/>
      <c r="I65" s="534"/>
      <c r="J65" s="534"/>
      <c r="K65" s="534"/>
      <c r="L65" s="534"/>
      <c r="M65" s="535"/>
      <c r="N65" s="1150"/>
      <c r="O65" s="1150"/>
      <c r="P65" s="2675"/>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49"/>
      <c r="O66" s="1149"/>
      <c r="P66" s="2675"/>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c r="A69" s="532"/>
      <c r="B69" s="546"/>
      <c r="C69" s="547"/>
      <c r="D69" s="547"/>
      <c r="E69" s="547"/>
      <c r="F69" s="547"/>
      <c r="G69" s="547"/>
      <c r="H69" s="547"/>
      <c r="I69" s="547"/>
      <c r="J69" s="547"/>
      <c r="K69" s="548"/>
      <c r="L69" s="549"/>
      <c r="M69" s="550"/>
      <c r="N69" s="1149"/>
      <c r="O69" s="1149"/>
      <c r="P69" s="2675"/>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4.4" thickTop="1">
      <c r="A71" s="551"/>
      <c r="B71" s="536">
        <f>B12</f>
        <v>111</v>
      </c>
      <c r="C71" s="552"/>
      <c r="D71" s="552"/>
      <c r="E71" s="552"/>
      <c r="F71" s="552"/>
      <c r="G71" s="552"/>
      <c r="H71" s="553"/>
      <c r="I71" s="553"/>
      <c r="J71" s="553"/>
      <c r="K71" s="553"/>
      <c r="L71" s="554"/>
      <c r="M71" s="555"/>
      <c r="N71" s="1151"/>
      <c r="O71" s="1151"/>
      <c r="P71" s="2676"/>
      <c r="Q71" s="557"/>
    </row>
    <row r="72" spans="1:17" s="469" customFormat="1" ht="14.4" thickBot="1">
      <c r="A72" s="551"/>
      <c r="B72" s="541"/>
      <c r="C72" s="558"/>
      <c r="D72" s="534"/>
      <c r="E72" s="534"/>
      <c r="F72" s="534"/>
      <c r="G72" s="534"/>
      <c r="H72" s="534"/>
      <c r="I72" s="534"/>
      <c r="J72" s="534"/>
      <c r="K72" s="534"/>
      <c r="L72" s="534"/>
      <c r="M72" s="535"/>
      <c r="N72" s="1150"/>
      <c r="O72" s="1150"/>
      <c r="P72" s="2676"/>
      <c r="Q72" s="557"/>
    </row>
    <row r="73" spans="1:17" s="469" customFormat="1" ht="14.4" thickTop="1">
      <c r="A73" s="551"/>
      <c r="B73" s="536">
        <f>B13</f>
        <v>111</v>
      </c>
      <c r="C73" s="552"/>
      <c r="D73" s="552"/>
      <c r="E73" s="552"/>
      <c r="F73" s="552"/>
      <c r="G73" s="552"/>
      <c r="H73" s="553"/>
      <c r="I73" s="553"/>
      <c r="J73" s="553"/>
      <c r="K73" s="553"/>
      <c r="L73" s="554"/>
      <c r="M73" s="555"/>
      <c r="N73" s="1151"/>
      <c r="O73" s="1151"/>
      <c r="P73" s="2677"/>
      <c r="Q73" s="559"/>
    </row>
    <row r="74" spans="1:17" s="469" customFormat="1" ht="14.4" thickBot="1">
      <c r="A74" s="551"/>
      <c r="B74" s="541"/>
      <c r="C74" s="558"/>
      <c r="D74" s="558"/>
      <c r="E74" s="558"/>
      <c r="F74" s="558"/>
      <c r="G74" s="558"/>
      <c r="H74" s="560"/>
      <c r="I74" s="560"/>
      <c r="J74" s="560"/>
      <c r="K74" s="560"/>
      <c r="L74" s="560"/>
      <c r="M74" s="561"/>
      <c r="N74" s="1151"/>
      <c r="O74" s="1151"/>
      <c r="P74" s="2676"/>
      <c r="Q74" s="557"/>
    </row>
    <row r="75" spans="1:17" s="469" customFormat="1" ht="14.4" thickTop="1">
      <c r="A75" s="551"/>
      <c r="B75" s="544">
        <f>B14</f>
        <v>111</v>
      </c>
      <c r="C75" s="521"/>
      <c r="D75" s="521"/>
      <c r="E75" s="521"/>
      <c r="F75" s="521"/>
      <c r="G75" s="521"/>
      <c r="H75" s="562"/>
      <c r="I75" s="562"/>
      <c r="J75" s="562"/>
      <c r="K75" s="562"/>
      <c r="L75" s="563"/>
      <c r="M75" s="564"/>
      <c r="N75" s="1151"/>
      <c r="O75" s="1151"/>
      <c r="P75" s="2678"/>
      <c r="Q75" s="557"/>
    </row>
    <row r="76" spans="1:17" s="469" customFormat="1" ht="14.4" thickBot="1">
      <c r="A76" s="566"/>
      <c r="B76" s="567"/>
      <c r="C76" s="568"/>
      <c r="D76" s="568"/>
      <c r="E76" s="568"/>
      <c r="F76" s="568"/>
      <c r="G76" s="568"/>
      <c r="H76" s="569"/>
      <c r="I76" s="569"/>
      <c r="J76" s="569"/>
      <c r="K76" s="569"/>
      <c r="L76" s="569"/>
      <c r="M76" s="570"/>
      <c r="N76" s="1151"/>
      <c r="O76" s="1151"/>
      <c r="P76" s="2676"/>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49"/>
      <c r="O77" s="1149"/>
      <c r="P77" s="2679"/>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49"/>
      <c r="O79" s="1149"/>
      <c r="P79" s="2675"/>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49"/>
      <c r="O81" s="1149"/>
      <c r="P81" s="2675"/>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 thickTop="1">
      <c r="A83" s="532"/>
      <c r="B83" s="544" t="s">
        <v>2687</v>
      </c>
      <c r="C83" s="658" t="s">
        <v>2673</v>
      </c>
      <c r="D83" s="658" t="s">
        <v>2674</v>
      </c>
      <c r="E83" s="658" t="s">
        <v>2675</v>
      </c>
      <c r="F83" s="658" t="s">
        <v>2676</v>
      </c>
      <c r="G83" s="658" t="s">
        <v>2677</v>
      </c>
      <c r="H83" s="537"/>
      <c r="I83" s="537"/>
      <c r="J83" s="537"/>
      <c r="K83" s="537"/>
      <c r="L83" s="537"/>
      <c r="M83" s="1379"/>
      <c r="N83" s="1150"/>
      <c r="O83" s="1150"/>
      <c r="P83" s="2675"/>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49"/>
      <c r="O85" s="1149"/>
      <c r="P85" s="2675"/>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9.4" thickTop="1">
      <c r="A87" s="577"/>
      <c r="B87" s="536" t="s">
        <v>2697</v>
      </c>
      <c r="C87" s="552"/>
      <c r="D87" s="552"/>
      <c r="E87" s="552"/>
      <c r="F87" s="552"/>
      <c r="G87" s="552"/>
      <c r="H87" s="552"/>
      <c r="I87" s="552"/>
      <c r="J87" s="552"/>
      <c r="K87" s="552"/>
      <c r="L87" s="578"/>
      <c r="M87" s="579"/>
      <c r="N87" s="1148"/>
      <c r="O87" s="1148"/>
      <c r="P87" s="2675"/>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4.4"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4.4"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4.4" thickTop="1">
      <c r="A93" s="532"/>
      <c r="B93" s="536">
        <f>B29</f>
        <v>111</v>
      </c>
      <c r="C93" s="552"/>
      <c r="D93" s="552"/>
      <c r="E93" s="552"/>
      <c r="F93" s="552"/>
      <c r="G93" s="552"/>
      <c r="H93" s="552"/>
      <c r="I93" s="552"/>
      <c r="J93" s="552"/>
      <c r="K93" s="552"/>
      <c r="L93" s="578"/>
      <c r="M93" s="579"/>
      <c r="N93" s="1149"/>
      <c r="O93" s="1149"/>
      <c r="P93" s="2675"/>
      <c r="Q93" s="502"/>
    </row>
    <row r="94" spans="1:17" ht="14.4" thickBot="1">
      <c r="A94" s="532"/>
      <c r="B94" s="541"/>
      <c r="C94" s="558"/>
      <c r="D94" s="534"/>
      <c r="E94" s="534"/>
      <c r="F94" s="534"/>
      <c r="G94" s="534"/>
      <c r="H94" s="534"/>
      <c r="I94" s="534"/>
      <c r="J94" s="534"/>
      <c r="K94" s="534"/>
      <c r="L94" s="534"/>
      <c r="M94" s="535"/>
      <c r="N94" s="1150"/>
      <c r="O94" s="1150"/>
      <c r="P94" s="2675"/>
      <c r="Q94" s="502"/>
    </row>
    <row r="95" spans="1:17" ht="14.4" thickTop="1">
      <c r="A95" s="532"/>
      <c r="B95" s="536">
        <f>B30</f>
        <v>111</v>
      </c>
      <c r="C95" s="552"/>
      <c r="D95" s="552"/>
      <c r="E95" s="552"/>
      <c r="F95" s="552"/>
      <c r="G95" s="581"/>
      <c r="H95" s="581"/>
      <c r="I95" s="581"/>
      <c r="J95" s="581"/>
      <c r="K95" s="582"/>
      <c r="L95" s="583"/>
      <c r="M95" s="584"/>
      <c r="N95" s="1149"/>
      <c r="O95" s="1149"/>
      <c r="P95" s="2675"/>
      <c r="Q95" s="502"/>
    </row>
    <row r="96" spans="1:17" ht="14.4" thickBot="1">
      <c r="A96" s="532"/>
      <c r="B96" s="541"/>
      <c r="C96" s="558"/>
      <c r="D96" s="558"/>
      <c r="E96" s="558"/>
      <c r="F96" s="558"/>
      <c r="G96" s="534"/>
      <c r="H96" s="534"/>
      <c r="I96" s="534"/>
      <c r="J96" s="534"/>
      <c r="K96" s="534"/>
      <c r="L96" s="534"/>
      <c r="M96" s="535"/>
      <c r="N96" s="1150"/>
      <c r="O96" s="1150"/>
      <c r="P96" s="2675"/>
      <c r="Q96" s="502"/>
    </row>
    <row r="97" spans="1:17" ht="14.4" thickTop="1">
      <c r="A97" s="532"/>
      <c r="B97" s="536">
        <f>B31</f>
        <v>111</v>
      </c>
      <c r="C97" s="552"/>
      <c r="D97" s="552"/>
      <c r="E97" s="552"/>
      <c r="F97" s="552"/>
      <c r="G97" s="581"/>
      <c r="H97" s="581"/>
      <c r="I97" s="581"/>
      <c r="J97" s="581"/>
      <c r="K97" s="582"/>
      <c r="L97" s="583"/>
      <c r="M97" s="584"/>
      <c r="N97" s="1149"/>
      <c r="O97" s="1149"/>
      <c r="P97" s="2675"/>
      <c r="Q97" s="502"/>
    </row>
    <row r="98" spans="1:17" ht="14.4" thickBot="1">
      <c r="A98" s="532"/>
      <c r="B98" s="541"/>
      <c r="C98" s="558"/>
      <c r="D98" s="534"/>
      <c r="E98" s="534"/>
      <c r="F98" s="534"/>
      <c r="G98" s="534"/>
      <c r="H98" s="534"/>
      <c r="I98" s="534"/>
      <c r="J98" s="534"/>
      <c r="K98" s="534"/>
      <c r="L98" s="534"/>
      <c r="M98" s="535"/>
      <c r="N98" s="1150"/>
      <c r="O98" s="1150"/>
      <c r="P98" s="2675"/>
      <c r="Q98" s="502"/>
    </row>
    <row r="99" spans="1:17" ht="14.4" thickTop="1">
      <c r="A99" s="532"/>
      <c r="B99" s="544">
        <f>B32</f>
        <v>111</v>
      </c>
      <c r="C99" s="521"/>
      <c r="D99" s="521"/>
      <c r="E99" s="521"/>
      <c r="F99" s="521"/>
      <c r="G99" s="585"/>
      <c r="H99" s="585"/>
      <c r="I99" s="585"/>
      <c r="J99" s="585"/>
      <c r="K99" s="586"/>
      <c r="L99" s="587"/>
      <c r="M99" s="588"/>
      <c r="N99" s="1149"/>
      <c r="O99" s="1149"/>
      <c r="P99" s="2675"/>
      <c r="Q99" s="502"/>
    </row>
    <row r="100" spans="1:17" ht="14.4" thickBot="1">
      <c r="A100" s="2627"/>
      <c r="B100" s="567"/>
      <c r="C100" s="568"/>
      <c r="D100" s="568"/>
      <c r="E100" s="568"/>
      <c r="F100" s="568"/>
      <c r="G100" s="589"/>
      <c r="H100" s="589"/>
      <c r="I100" s="589"/>
      <c r="J100" s="589"/>
      <c r="K100" s="589"/>
      <c r="L100" s="589"/>
      <c r="M100" s="590"/>
      <c r="N100" s="1150"/>
      <c r="O100" s="1150"/>
      <c r="P100" s="2675"/>
      <c r="Q100" s="502"/>
    </row>
    <row r="101" spans="1:17" ht="14.4">
      <c r="A101" s="525" t="s">
        <v>2561</v>
      </c>
      <c r="B101" s="526" t="s">
        <v>2610</v>
      </c>
      <c r="C101" s="528"/>
      <c r="D101" s="528"/>
      <c r="E101" s="528"/>
      <c r="F101" s="528"/>
      <c r="G101" s="528"/>
      <c r="H101" s="528"/>
      <c r="I101" s="528"/>
      <c r="J101" s="528"/>
      <c r="K101" s="529"/>
      <c r="L101" s="530"/>
      <c r="M101" s="531"/>
      <c r="N101" s="1149"/>
      <c r="O101" s="1149"/>
      <c r="P101" s="2675"/>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4.4"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2612</v>
      </c>
      <c r="C106" s="552"/>
      <c r="D106" s="552"/>
      <c r="E106" s="581"/>
      <c r="F106" s="581"/>
      <c r="G106" s="581"/>
      <c r="H106" s="581"/>
      <c r="I106" s="581"/>
      <c r="J106" s="581"/>
      <c r="K106" s="582"/>
      <c r="L106" s="583"/>
      <c r="M106" s="584"/>
      <c r="N106" s="1149"/>
      <c r="O106" s="1149"/>
      <c r="P106" s="2675"/>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2614</v>
      </c>
      <c r="C108" s="552"/>
      <c r="D108" s="552"/>
      <c r="E108" s="552"/>
      <c r="F108" s="581"/>
      <c r="G108" s="581"/>
      <c r="H108" s="581"/>
      <c r="I108" s="581"/>
      <c r="J108" s="581"/>
      <c r="K108" s="582"/>
      <c r="L108" s="583"/>
      <c r="M108" s="584"/>
      <c r="N108" s="1149"/>
      <c r="O108" s="1149"/>
      <c r="P108" s="2675"/>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2698</v>
      </c>
      <c r="C113" s="552"/>
      <c r="D113" s="552"/>
      <c r="E113" s="552"/>
      <c r="F113" s="552"/>
      <c r="G113" s="552"/>
      <c r="H113" s="581"/>
      <c r="I113" s="581"/>
      <c r="J113" s="581"/>
      <c r="K113" s="582"/>
      <c r="L113" s="583"/>
      <c r="M113" s="584"/>
      <c r="N113" s="1151"/>
      <c r="O113" s="1151"/>
      <c r="P113" s="2676"/>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2615</v>
      </c>
      <c r="C115" s="552"/>
      <c r="D115" s="552"/>
      <c r="E115" s="581"/>
      <c r="F115" s="581"/>
      <c r="G115" s="581"/>
      <c r="H115" s="581"/>
      <c r="I115" s="581"/>
      <c r="J115" s="581"/>
      <c r="K115" s="582"/>
      <c r="L115" s="583"/>
      <c r="M115" s="584"/>
      <c r="N115" s="1149"/>
      <c r="O115" s="1149"/>
      <c r="P115" s="2675"/>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2616</v>
      </c>
      <c r="C117" s="552"/>
      <c r="D117" s="552"/>
      <c r="E117" s="552"/>
      <c r="F117" s="552"/>
      <c r="G117" s="552"/>
      <c r="H117" s="581"/>
      <c r="I117" s="581"/>
      <c r="J117" s="581"/>
      <c r="K117" s="582"/>
      <c r="L117" s="583"/>
      <c r="M117" s="584"/>
      <c r="N117" s="1149"/>
      <c r="O117" s="1149"/>
      <c r="P117" s="2675"/>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2699</v>
      </c>
      <c r="C119" s="581"/>
      <c r="D119" s="581"/>
      <c r="E119" s="581"/>
      <c r="F119" s="581"/>
      <c r="G119" s="581"/>
      <c r="H119" s="581"/>
      <c r="I119" s="581"/>
      <c r="J119" s="581"/>
      <c r="K119" s="581"/>
      <c r="L119" s="2680"/>
      <c r="M119" s="2681"/>
      <c r="N119" s="1150"/>
      <c r="O119" s="1150"/>
      <c r="P119" s="2682"/>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2682</v>
      </c>
      <c r="C121" s="552"/>
      <c r="D121" s="552"/>
      <c r="E121" s="552"/>
      <c r="F121" s="581"/>
      <c r="G121" s="553"/>
      <c r="H121" s="553"/>
      <c r="I121" s="553"/>
      <c r="J121" s="553"/>
      <c r="K121" s="553"/>
      <c r="L121" s="554"/>
      <c r="M121" s="555"/>
      <c r="N121" s="1151"/>
      <c r="O121" s="1151"/>
      <c r="P121" s="2676"/>
      <c r="Q121" s="557"/>
    </row>
    <row r="122" spans="1:17" s="469" customFormat="1" ht="14.4"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2618</v>
      </c>
      <c r="C123" s="552"/>
      <c r="D123" s="552"/>
      <c r="E123" s="552"/>
      <c r="F123" s="581"/>
      <c r="G123" s="581"/>
      <c r="H123" s="581"/>
      <c r="I123" s="581"/>
      <c r="J123" s="581"/>
      <c r="K123" s="582"/>
      <c r="L123" s="583"/>
      <c r="M123" s="584"/>
      <c r="N123" s="1149"/>
      <c r="O123" s="1149"/>
      <c r="P123" s="2675"/>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49"/>
      <c r="O125" s="1149"/>
      <c r="P125" s="2676"/>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4.4"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4.4" thickBot="1">
      <c r="A128" s="551"/>
      <c r="B128" s="541"/>
      <c r="C128" s="558"/>
      <c r="D128" s="534"/>
      <c r="E128" s="534"/>
      <c r="F128" s="534"/>
      <c r="G128" s="558"/>
      <c r="H128" s="560"/>
      <c r="I128" s="560"/>
      <c r="J128" s="560"/>
      <c r="K128" s="560"/>
      <c r="L128" s="560"/>
      <c r="M128" s="561"/>
      <c r="N128" s="1151"/>
      <c r="O128" s="1151"/>
      <c r="P128" s="2676"/>
      <c r="Q128" s="557"/>
    </row>
    <row r="129" spans="1:17" ht="14.4" thickTop="1">
      <c r="A129" s="597"/>
      <c r="B129" s="536">
        <f>B46</f>
        <v>111</v>
      </c>
      <c r="C129" s="552"/>
      <c r="D129" s="552"/>
      <c r="E129" s="552"/>
      <c r="F129" s="552"/>
      <c r="G129" s="581"/>
      <c r="H129" s="581"/>
      <c r="I129" s="581"/>
      <c r="J129" s="581"/>
      <c r="K129" s="582"/>
      <c r="L129" s="583"/>
      <c r="M129" s="584"/>
      <c r="N129" s="1149"/>
      <c r="O129" s="1149"/>
      <c r="P129" s="2675"/>
      <c r="Q129" s="502"/>
    </row>
    <row r="130" spans="1:17" ht="14.4" thickBot="1">
      <c r="A130" s="532"/>
      <c r="B130" s="541"/>
      <c r="C130" s="558"/>
      <c r="D130" s="558"/>
      <c r="E130" s="558"/>
      <c r="F130" s="558"/>
      <c r="G130" s="534"/>
      <c r="H130" s="534"/>
      <c r="I130" s="534"/>
      <c r="J130" s="534"/>
      <c r="K130" s="534"/>
      <c r="L130" s="534"/>
      <c r="M130" s="535"/>
      <c r="N130" s="1150"/>
      <c r="O130" s="1150"/>
      <c r="P130" s="2675"/>
      <c r="Q130" s="502"/>
    </row>
    <row r="131" spans="1:17" ht="14.4" thickTop="1">
      <c r="A131" s="597"/>
      <c r="B131" s="544">
        <f>B47</f>
        <v>111</v>
      </c>
      <c r="C131" s="521"/>
      <c r="D131" s="521"/>
      <c r="E131" s="521"/>
      <c r="F131" s="521"/>
      <c r="G131" s="585"/>
      <c r="H131" s="585"/>
      <c r="I131" s="585"/>
      <c r="J131" s="585"/>
      <c r="K131" s="521"/>
      <c r="L131" s="522"/>
      <c r="M131" s="588"/>
      <c r="N131" s="1149"/>
      <c r="O131" s="1149"/>
      <c r="P131" s="2675"/>
      <c r="Q131" s="502"/>
    </row>
    <row r="132" spans="1:17" ht="14.4"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48" sqref="J4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3" customWidth="1"/>
    <col min="12" max="12" width="16.33203125" style="300" customWidth="1"/>
    <col min="13" max="13" width="13" style="300"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0"/>
  </cols>
  <sheetData>
    <row r="1" spans="1:37" s="335" customFormat="1" ht="21.6">
      <c r="A1" s="1822" t="s">
        <v>1583</v>
      </c>
      <c r="B1" s="779"/>
      <c r="C1" s="1826" t="s">
        <v>3081</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2247</v>
      </c>
      <c r="C2" s="1834" t="s">
        <v>1510</v>
      </c>
      <c r="D2" s="1834"/>
      <c r="E2" s="1835"/>
      <c r="F2" s="1836"/>
      <c r="G2" s="1837"/>
      <c r="H2" s="1829"/>
      <c r="I2" s="1829"/>
      <c r="J2" s="1829"/>
      <c r="K2" s="1830"/>
      <c r="L2" s="1829"/>
      <c r="M2" s="1829"/>
    </row>
    <row r="3" spans="1:37" ht="18" customHeight="1" thickBot="1">
      <c r="A3" s="1838" t="s">
        <v>1511</v>
      </c>
      <c r="B3" s="1839">
        <f ca="1">IF(ISERROR(B2*10000/F43),0,ROUND(B2*10000/F43,0))</f>
        <v>4887</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196</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196</v>
      </c>
      <c r="D6" s="162" t="s">
        <v>3028</v>
      </c>
      <c r="E6" s="345" t="s">
        <v>1399</v>
      </c>
      <c r="F6" s="346">
        <f ca="1">INDIRECT("'数据-取费表'!u"&amp;$G$1)</f>
        <v>1.3</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2960" t="s">
        <v>1400</v>
      </c>
      <c r="F7" s="346">
        <f ca="1">IF(INDIRECT("'数据-取费表'!ah"&amp;$G$1)="",INDIRECT("'数据-取费表'!k"&amp;$G$1),INDIRECT("'数据-取费表'!ah"&amp;$G$1))</f>
        <v>4598.2300000000005</v>
      </c>
      <c r="G7" s="1840"/>
      <c r="H7" s="347"/>
      <c r="I7" s="3241"/>
      <c r="J7" s="349"/>
      <c r="K7" s="350"/>
      <c r="L7" s="345" t="s">
        <v>1400</v>
      </c>
      <c r="M7" s="346">
        <f ca="1">F7</f>
        <v>4598.2300000000005</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985</v>
      </c>
      <c r="D13" s="1328" t="s">
        <v>1409</v>
      </c>
      <c r="E13" s="1328" t="s">
        <v>1410</v>
      </c>
      <c r="F13" s="1329">
        <f ca="1">INDIRECT("'数据-取费表'!y"&amp;$G$1)</f>
        <v>0.72</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920</v>
      </c>
      <c r="D14" s="2963" t="s">
        <v>1412</v>
      </c>
      <c r="E14" s="2962"/>
      <c r="F14" s="362"/>
      <c r="G14" s="1840"/>
      <c r="H14" s="1198" t="s">
        <v>1031</v>
      </c>
      <c r="I14" s="345" t="s">
        <v>1413</v>
      </c>
      <c r="J14" s="24">
        <f ca="1">C29</f>
        <v>1368</v>
      </c>
      <c r="K14" s="2959"/>
      <c r="L14" s="976"/>
      <c r="M14" s="977"/>
    </row>
    <row r="15" spans="1:37" s="1847" customFormat="1" ht="18" customHeight="1" thickBot="1">
      <c r="A15" s="1198" t="s">
        <v>1032</v>
      </c>
      <c r="B15" s="345" t="s">
        <v>1414</v>
      </c>
      <c r="C15" s="24">
        <f ca="1">ROUND(C14*F15,0)</f>
        <v>28</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24</v>
      </c>
      <c r="K16" s="1334" t="s">
        <v>1419</v>
      </c>
      <c r="L16" s="2965"/>
      <c r="M16" s="1291"/>
    </row>
    <row r="17" spans="1:37" s="1847" customFormat="1" ht="18" customHeight="1">
      <c r="A17" s="1198" t="s">
        <v>1384</v>
      </c>
      <c r="B17" s="345" t="s">
        <v>1420</v>
      </c>
      <c r="C17" s="24">
        <f ca="1">ROUND(F17*(F43+INDIRECT("'数据-取费表'!S"&amp;$G$1))/10000,0)</f>
        <v>83</v>
      </c>
      <c r="D17" s="345" t="s">
        <v>1421</v>
      </c>
      <c r="E17" s="345" t="s">
        <v>1422</v>
      </c>
      <c r="F17" s="26">
        <f>'数据-取费表'!B35</f>
        <v>180</v>
      </c>
      <c r="G17" s="1843"/>
      <c r="H17" s="1198" t="s">
        <v>1031</v>
      </c>
      <c r="I17" s="345" t="s">
        <v>1423</v>
      </c>
      <c r="J17" s="24">
        <f ca="1">ROUND(IF(项目基本情况!B11="自然人",J6*M17/(1+'数据-取费表'!C42),J18+J19+J20),1)</f>
        <v>12.7</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14</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1045</v>
      </c>
      <c r="D19" s="138" t="s">
        <v>1430</v>
      </c>
      <c r="E19" s="2958"/>
      <c r="F19" s="26"/>
      <c r="G19" s="1840"/>
      <c r="H19" s="1198" t="s">
        <v>1032</v>
      </c>
      <c r="I19" s="345" t="s">
        <v>1431</v>
      </c>
      <c r="J19" s="24">
        <f ca="1">IF(K19="按租金收入计税",ROUND(J6*M19/(1+'数据-取费表'!C42),2),ROUND(C29*M19*0.7,2))</f>
        <v>11.49</v>
      </c>
      <c r="K19" s="1817" t="s">
        <v>1432</v>
      </c>
      <c r="L19" s="345" t="s">
        <v>1416</v>
      </c>
      <c r="M19" s="365">
        <f>IF(K19="按租金收入计税",'数据-取费表'!B51,'数据-取费表'!B50)</f>
        <v>1.2E-2</v>
      </c>
    </row>
    <row r="20" spans="1:37" s="1847" customFormat="1" ht="18" customHeight="1">
      <c r="A20" s="1198" t="s">
        <v>1035</v>
      </c>
      <c r="B20" s="345" t="s">
        <v>1433</v>
      </c>
      <c r="C20" s="24">
        <f ca="1">ROUND(C19*F20,0)</f>
        <v>21</v>
      </c>
      <c r="D20" s="367" t="s">
        <v>1434</v>
      </c>
      <c r="E20" s="345" t="s">
        <v>1416</v>
      </c>
      <c r="F20" s="365">
        <f>'数据-取费表'!B37</f>
        <v>0.02</v>
      </c>
      <c r="G20" s="1843"/>
      <c r="H20" s="1198" t="s">
        <v>1383</v>
      </c>
      <c r="I20" s="162" t="s">
        <v>1435</v>
      </c>
      <c r="J20" s="25">
        <f ca="1">ROUND(M20*M21/10000,2)</f>
        <v>1.24</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8280.16</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10.9</v>
      </c>
      <c r="K22" s="2964" t="s">
        <v>1444</v>
      </c>
      <c r="L22" s="345" t="s">
        <v>1416</v>
      </c>
      <c r="M22" s="372">
        <f ca="1">INDIRECT("'数据-取费表'!Ak"&amp;$G$1)</f>
        <v>8.0000000000000002E-3</v>
      </c>
    </row>
    <row r="23" spans="1:37" s="1847" customFormat="1" ht="18" customHeight="1">
      <c r="A23" s="1198" t="s">
        <v>1030</v>
      </c>
      <c r="B23" s="345" t="s">
        <v>1445</v>
      </c>
      <c r="C23" s="24">
        <f ca="1">IF('数据-取费表'!B22&lt;=1,ROUND(C19*F24*F23/2,0)+ROUND(C20*F24*F23/2,0),ROUND(C19*(POWER((1+F24),F23/2)-1),0)+ROUND(C20*(POWER((1+F24),F23/2)-1),0))</f>
        <v>38</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5.0000000000000001E-3</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-24</v>
      </c>
      <c r="K25" s="1342" t="s">
        <v>1458</v>
      </c>
      <c r="L25" s="1343"/>
      <c r="M25" s="1344"/>
    </row>
    <row r="26" spans="1:37">
      <c r="A26" s="1198" t="s">
        <v>1030</v>
      </c>
      <c r="B26" s="345" t="s">
        <v>1459</v>
      </c>
      <c r="C26" s="24">
        <f ca="1">ROUND((C19+C20)*F26,0)</f>
        <v>160</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1368</v>
      </c>
      <c r="D29" s="1339"/>
      <c r="E29" s="1337"/>
      <c r="F29" s="1340"/>
      <c r="G29" s="1843"/>
      <c r="H29" s="378" t="s">
        <v>1029</v>
      </c>
      <c r="I29" s="379" t="s">
        <v>1473</v>
      </c>
      <c r="J29" s="380">
        <f ca="1">ROUND(J26/(1+F40)^F41,0)</f>
        <v>0</v>
      </c>
      <c r="K29" s="381" t="s">
        <v>1474</v>
      </c>
      <c r="L29" s="382"/>
      <c r="M29" s="383">
        <f ca="1">INDIRECT("'数据-取费表'!k"&amp;$G$1)</f>
        <v>4598.2300000000005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47</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33.9</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10.27</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22.4</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1.24</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8280.16</v>
      </c>
      <c r="G35" s="1840"/>
      <c r="H35" s="742"/>
      <c r="I35" s="1849"/>
      <c r="J35" s="1850"/>
      <c r="K35" s="1851"/>
      <c r="L35" s="1848"/>
      <c r="M35" s="1848"/>
    </row>
    <row r="36" spans="1:18" ht="18" customHeight="1">
      <c r="A36" s="1349" t="s">
        <v>1035</v>
      </c>
      <c r="B36" s="345" t="s">
        <v>1443</v>
      </c>
      <c r="C36" s="24">
        <f ca="1">ROUND(C29*F36,1)</f>
        <v>10.9</v>
      </c>
      <c r="D36" s="2964" t="s">
        <v>1476</v>
      </c>
      <c r="E36" s="345" t="s">
        <v>1416</v>
      </c>
      <c r="F36" s="372">
        <f ca="1">INDIRECT("'数据-取费表'!Ak"&amp;$G$1)</f>
        <v>8.0000000000000002E-3</v>
      </c>
      <c r="G36" s="1840"/>
      <c r="H36" s="1848"/>
      <c r="I36" s="1849"/>
      <c r="J36" s="1850"/>
      <c r="K36" s="748"/>
      <c r="L36" s="1848"/>
      <c r="M36" s="1848"/>
    </row>
    <row r="37" spans="1:18" ht="18" customHeight="1">
      <c r="A37" s="1198" t="s">
        <v>1071</v>
      </c>
      <c r="B37" s="345" t="s">
        <v>1447</v>
      </c>
      <c r="C37" s="24">
        <f ca="1">ROUND(C13*F37,1)</f>
        <v>1</v>
      </c>
      <c r="D37" s="2964" t="s">
        <v>1448</v>
      </c>
      <c r="E37" s="345" t="s">
        <v>1416</v>
      </c>
      <c r="F37" s="374">
        <f ca="1">INDIRECT("'数据-取费表'!Al"&amp;$G$1)</f>
        <v>1E-3</v>
      </c>
      <c r="G37" s="1840"/>
      <c r="H37" s="1848"/>
      <c r="I37" s="1849"/>
      <c r="J37" s="1850"/>
      <c r="K37" s="748"/>
      <c r="L37" s="1848"/>
      <c r="M37" s="1848"/>
    </row>
    <row r="38" spans="1:18" ht="18" customHeight="1" thickBot="1">
      <c r="A38" s="1336" t="s">
        <v>1386</v>
      </c>
      <c r="B38" s="1337" t="s">
        <v>1433</v>
      </c>
      <c r="C38" s="1338">
        <f ca="1">ROUND(C5*F38,1)</f>
        <v>1</v>
      </c>
      <c r="D38" s="1339" t="s">
        <v>1453</v>
      </c>
      <c r="E38" s="1337" t="s">
        <v>1416</v>
      </c>
      <c r="F38" s="1333">
        <f ca="1">INDIRECT("'数据-取费表'!Am"&amp;$G$1)</f>
        <v>5.0000000000000001E-3</v>
      </c>
      <c r="G38" s="1840"/>
      <c r="H38" s="1848"/>
      <c r="I38" s="1849"/>
      <c r="J38" s="1850"/>
      <c r="K38" s="1854"/>
      <c r="L38" s="1848"/>
      <c r="M38" s="1848"/>
    </row>
    <row r="39" spans="1:18" ht="24.6" customHeight="1" thickTop="1">
      <c r="A39" s="1326" t="s">
        <v>1027</v>
      </c>
      <c r="B39" s="1341" t="s">
        <v>1457</v>
      </c>
      <c r="C39" s="353">
        <f ca="1">C5-C30</f>
        <v>149</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2247</v>
      </c>
      <c r="D40" s="368" t="s">
        <v>1463</v>
      </c>
      <c r="E40" s="345" t="s">
        <v>1464</v>
      </c>
      <c r="F40" s="355">
        <f ca="1">INDIRECT("'数据-取费表'!I"&amp;$G$1)</f>
        <v>5.5E-2</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f ca="1">ROUND(C40*10000/F43,0)</f>
        <v>4887</v>
      </c>
      <c r="D43" s="381" t="s">
        <v>1482</v>
      </c>
      <c r="E43" s="382" t="s">
        <v>1483</v>
      </c>
      <c r="F43" s="383">
        <f ca="1">INDIRECT("'数据-取费表'!k"&amp;$G$1)</f>
        <v>4598.2300000000005</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8" thickBot="1">
      <c r="A46" s="1859" t="s">
        <v>1514</v>
      </c>
      <c r="C46" s="1860">
        <f ca="1">C68-C40</f>
        <v>-4178</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8" thickBot="1">
      <c r="A47" s="1162" t="s">
        <v>1390</v>
      </c>
      <c r="B47" s="1194" t="s">
        <v>1391</v>
      </c>
      <c r="C47" s="1364" t="s">
        <v>1392</v>
      </c>
      <c r="D47" s="1194" t="s">
        <v>1393</v>
      </c>
      <c r="E47" s="1276" t="s">
        <v>1394</v>
      </c>
      <c r="F47" s="1277"/>
      <c r="G47" s="789"/>
      <c r="I47" s="1869" t="s">
        <v>1520</v>
      </c>
      <c r="J47" s="1870" t="s">
        <v>3143</v>
      </c>
      <c r="K47" s="1871" t="s">
        <v>1521</v>
      </c>
      <c r="L47" s="1872">
        <f ca="1">INDIRECT("'数据-取费表'!d"&amp;$G$1)</f>
        <v>50</v>
      </c>
      <c r="M47" s="1827" t="str">
        <f>IF(ISNUMBER(FIND("住宅",C1)),"住宅","非住宅")</f>
        <v>非住宅</v>
      </c>
      <c r="O47" s="1873" t="s">
        <v>1036</v>
      </c>
      <c r="P47" s="1874" t="s">
        <v>1522</v>
      </c>
      <c r="Q47" s="1875">
        <f ca="1">C40+J29</f>
        <v>2247</v>
      </c>
      <c r="R47" s="1875" t="s">
        <v>1523</v>
      </c>
    </row>
    <row r="48" spans="1:18" s="1831" customFormat="1" ht="40.200000000000003" thickBot="1">
      <c r="A48" s="1357" t="s">
        <v>1131</v>
      </c>
      <c r="B48" s="343" t="s">
        <v>1395</v>
      </c>
      <c r="C48" s="2957">
        <f ca="1">C49+C53+C55</f>
        <v>0</v>
      </c>
      <c r="D48" s="1359"/>
      <c r="E48" s="1360"/>
      <c r="F48" s="1178"/>
      <c r="G48" s="789"/>
      <c r="H48" s="790"/>
      <c r="I48" s="1876" t="s">
        <v>1524</v>
      </c>
      <c r="J48" s="1877" t="s">
        <v>3144</v>
      </c>
      <c r="K48" s="1878" t="s">
        <v>1525</v>
      </c>
      <c r="L48" s="1879">
        <f ca="1">INDIRECT("'数据-取费表'!f"&amp;$G$1)</f>
        <v>33.049999999999997</v>
      </c>
      <c r="O48" s="1873" t="s">
        <v>1037</v>
      </c>
      <c r="P48" s="1874" t="s">
        <v>1526</v>
      </c>
      <c r="Q48" s="1875" t="str">
        <f ca="1">J60</f>
        <v>0</v>
      </c>
      <c r="R48" s="1875" t="s">
        <v>1527</v>
      </c>
    </row>
    <row r="49" spans="1:18" s="1831" customFormat="1" ht="13.8" thickBot="1">
      <c r="A49" s="1191" t="s">
        <v>1132</v>
      </c>
      <c r="B49" s="1818" t="s">
        <v>1484</v>
      </c>
      <c r="C49" s="1361">
        <f ca="1">ROUND(F49*F51*F50*(1-F52)/10000,0)</f>
        <v>0</v>
      </c>
      <c r="D49" s="1273" t="s">
        <v>3027</v>
      </c>
      <c r="E49" s="1819" t="s">
        <v>1485</v>
      </c>
      <c r="F49" s="1278"/>
      <c r="G49" s="1880"/>
      <c r="H49" s="790"/>
      <c r="I49" s="1876" t="s">
        <v>1528</v>
      </c>
      <c r="J49" s="1881">
        <v>2006</v>
      </c>
      <c r="K49" s="1878" t="s">
        <v>1529</v>
      </c>
      <c r="L49" s="1882"/>
      <c r="O49" s="1883" t="s">
        <v>1038</v>
      </c>
      <c r="P49" s="1874" t="s">
        <v>1530</v>
      </c>
      <c r="Q49" s="1875">
        <f ca="1">C29</f>
        <v>1368</v>
      </c>
      <c r="R49" s="1875" t="s">
        <v>1523</v>
      </c>
    </row>
    <row r="50" spans="1:18" s="1831" customFormat="1" ht="13.8" thickBot="1">
      <c r="A50" s="1192"/>
      <c r="B50" s="1195"/>
      <c r="C50" s="1365"/>
      <c r="D50" s="1169"/>
      <c r="E50" s="1274" t="s">
        <v>1400</v>
      </c>
      <c r="F50" s="1275">
        <f ca="1">F7</f>
        <v>4598.2300000000005</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8"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1108</v>
      </c>
      <c r="M51" s="1891"/>
      <c r="O51" s="1883" t="s">
        <v>1040</v>
      </c>
      <c r="P51" s="1874" t="s">
        <v>1536</v>
      </c>
      <c r="Q51" s="1886">
        <f>J52</f>
        <v>8.5000000000000006E-2</v>
      </c>
      <c r="R51" s="1875"/>
    </row>
    <row r="52" spans="1:18" s="1831" customFormat="1" ht="13.8"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36.6"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2247</v>
      </c>
      <c r="R53" s="1875" t="s">
        <v>1043</v>
      </c>
    </row>
    <row r="54" spans="1:18" s="1831" customFormat="1" ht="24.6"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8"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37.200000000000003" thickTop="1" thickBot="1">
      <c r="A56" s="1173">
        <v>2</v>
      </c>
      <c r="B56" s="1174" t="s">
        <v>1408</v>
      </c>
      <c r="C56" s="274">
        <f ca="1">C13</f>
        <v>985</v>
      </c>
      <c r="D56" s="1902"/>
      <c r="E56" s="1903"/>
      <c r="F56" s="1895"/>
      <c r="I56" s="1904" t="s">
        <v>1548</v>
      </c>
      <c r="J56" s="1905" t="s">
        <v>3064</v>
      </c>
      <c r="K56" s="1876" t="s">
        <v>1549</v>
      </c>
      <c r="L56" s="1879" t="str">
        <f ca="1">IF(L48&lt;J51,"——",L48-J53)</f>
        <v>——</v>
      </c>
      <c r="O56" s="1873" t="s">
        <v>1036</v>
      </c>
      <c r="P56" s="1874" t="s">
        <v>1522</v>
      </c>
      <c r="Q56" s="1875">
        <f ca="1">C40+J29</f>
        <v>2247</v>
      </c>
      <c r="R56" s="1875" t="s">
        <v>1523</v>
      </c>
    </row>
    <row r="57" spans="1:18" s="1831" customFormat="1" ht="24.6" thickBot="1">
      <c r="A57" s="1906"/>
      <c r="B57" s="1166" t="s">
        <v>1472</v>
      </c>
      <c r="C57" s="280">
        <f ca="1">C29</f>
        <v>1368</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6" thickBot="1">
      <c r="A58" s="358" t="s">
        <v>1026</v>
      </c>
      <c r="B58" s="1174" t="s">
        <v>1418</v>
      </c>
      <c r="C58" s="359">
        <f ca="1">ROUND(C59+C64+C65+C66,0)</f>
        <v>128</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6" thickBot="1">
      <c r="A59" s="1198" t="s">
        <v>1031</v>
      </c>
      <c r="B59" s="1166" t="s">
        <v>1423</v>
      </c>
      <c r="C59" s="24">
        <f ca="1">ROUND(IF(项目基本情况!B11="自然人",C48*F59,C60+C61+C62),1)</f>
        <v>116.2</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2"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8" thickBot="1">
      <c r="A61" s="1198" t="s">
        <v>1486</v>
      </c>
      <c r="B61" s="1166" t="s">
        <v>1431</v>
      </c>
      <c r="C61" s="24">
        <f ca="1">IF(项目基本情况!B11="自然人","——",IF(D61="按租金收入计税",ROUND(C48*F61,2),IF(D61="按房产原值计税",ROUND(C57*F61*0.7,2),INDIRECT("'数据-取费表'!Aj"&amp;$G$1))))</f>
        <v>114.91</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8" thickBot="1">
      <c r="A62" s="1198" t="s">
        <v>1489</v>
      </c>
      <c r="B62" s="1165" t="s">
        <v>1435</v>
      </c>
      <c r="C62" s="25">
        <f ca="1">IF(项目基本情况!B11="自然人","——",ROUND(F62*F63/10000,2))</f>
        <v>1.24</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2247</v>
      </c>
      <c r="R62" s="1875" t="s">
        <v>1043</v>
      </c>
    </row>
    <row r="63" spans="1:18" s="1831" customFormat="1" ht="13.8" thickBot="1">
      <c r="A63" s="370"/>
      <c r="B63" s="1172"/>
      <c r="C63" s="29"/>
      <c r="D63" s="1182"/>
      <c r="E63" s="1166" t="s">
        <v>1441</v>
      </c>
      <c r="F63" s="346">
        <f t="shared" ca="1" si="0"/>
        <v>8280.16</v>
      </c>
      <c r="I63" s="1917" t="s">
        <v>1570</v>
      </c>
      <c r="J63" s="1918">
        <v>70</v>
      </c>
      <c r="K63" s="1918">
        <v>50</v>
      </c>
      <c r="L63" s="1918">
        <v>80</v>
      </c>
      <c r="M63" s="1920">
        <v>0.02</v>
      </c>
      <c r="O63" s="1858" t="s">
        <v>1571</v>
      </c>
      <c r="P63" s="1828"/>
      <c r="Q63" s="1828"/>
      <c r="R63" s="1828"/>
    </row>
    <row r="64" spans="1:18" s="1831" customFormat="1" ht="13.8" thickBot="1">
      <c r="A64" s="1198" t="s">
        <v>1035</v>
      </c>
      <c r="B64" s="1166" t="s">
        <v>1443</v>
      </c>
      <c r="C64" s="24">
        <f ca="1">ROUND(C57*F64,1)</f>
        <v>10.9</v>
      </c>
      <c r="D64" s="1180" t="s">
        <v>1476</v>
      </c>
      <c r="E64" s="1166" t="s">
        <v>1416</v>
      </c>
      <c r="F64" s="372">
        <f t="shared" ca="1" si="0"/>
        <v>8.0000000000000002E-3</v>
      </c>
      <c r="I64" s="1917" t="s">
        <v>1572</v>
      </c>
      <c r="J64" s="1918">
        <v>50</v>
      </c>
      <c r="K64" s="1918">
        <v>35</v>
      </c>
      <c r="L64" s="1918">
        <v>60</v>
      </c>
      <c r="M64" s="1919">
        <v>0</v>
      </c>
      <c r="O64" s="1866" t="s">
        <v>1516</v>
      </c>
      <c r="P64" s="1867" t="s">
        <v>1517</v>
      </c>
      <c r="Q64" s="1868" t="s">
        <v>1518</v>
      </c>
      <c r="R64" s="1868" t="s">
        <v>1519</v>
      </c>
    </row>
    <row r="65" spans="1:18" s="1831" customFormat="1" ht="13.8" thickBot="1">
      <c r="A65" s="1198" t="s">
        <v>1497</v>
      </c>
      <c r="B65" s="1166" t="s">
        <v>1447</v>
      </c>
      <c r="C65" s="24">
        <f ca="1">ROUND(C56*F65,1)</f>
        <v>1</v>
      </c>
      <c r="D65" s="1180" t="s">
        <v>1448</v>
      </c>
      <c r="E65" s="1166" t="s">
        <v>1416</v>
      </c>
      <c r="F65" s="374">
        <f t="shared" ca="1" si="0"/>
        <v>1E-3</v>
      </c>
      <c r="I65" s="1917" t="s">
        <v>1573</v>
      </c>
      <c r="J65" s="1918">
        <v>40</v>
      </c>
      <c r="K65" s="1918">
        <v>30</v>
      </c>
      <c r="L65" s="1918">
        <v>50</v>
      </c>
      <c r="M65" s="1920">
        <v>0.02</v>
      </c>
      <c r="O65" s="1873" t="s">
        <v>1036</v>
      </c>
      <c r="P65" s="1874" t="s">
        <v>1522</v>
      </c>
      <c r="Q65" s="1875">
        <f ca="1">C40+J29</f>
        <v>2247</v>
      </c>
      <c r="R65" s="1875" t="s">
        <v>1523</v>
      </c>
    </row>
    <row r="66" spans="1:18" s="1831" customFormat="1" ht="16.2" thickBot="1">
      <c r="A66" s="1198" t="s">
        <v>1498</v>
      </c>
      <c r="B66" s="1166" t="s">
        <v>1433</v>
      </c>
      <c r="C66" s="24">
        <f ca="1">ROUND(C48*F66,1)</f>
        <v>0</v>
      </c>
      <c r="D66" s="1180" t="s">
        <v>1453</v>
      </c>
      <c r="E66" s="1166" t="s">
        <v>1416</v>
      </c>
      <c r="F66" s="355">
        <f t="shared" ca="1" si="0"/>
        <v>5.0000000000000001E-3</v>
      </c>
      <c r="O66" s="1873" t="s">
        <v>1037</v>
      </c>
      <c r="P66" s="1874" t="s">
        <v>1552</v>
      </c>
      <c r="Q66" s="1875">
        <f ca="1">L60</f>
        <v>0</v>
      </c>
      <c r="R66" s="1875" t="s">
        <v>1575</v>
      </c>
    </row>
    <row r="67" spans="1:18" s="1831" customFormat="1" ht="24.6" thickBot="1">
      <c r="A67" s="1173" t="s">
        <v>1027</v>
      </c>
      <c r="B67" s="1183" t="s">
        <v>1457</v>
      </c>
      <c r="C67" s="359">
        <f ca="1">C48-C58</f>
        <v>-128</v>
      </c>
      <c r="D67" s="1179" t="s">
        <v>1458</v>
      </c>
      <c r="E67" s="1184"/>
      <c r="F67" s="1185"/>
      <c r="O67" s="1883" t="s">
        <v>1038</v>
      </c>
      <c r="P67" s="1874" t="s">
        <v>1556</v>
      </c>
      <c r="Q67" s="1921">
        <f ca="1">L51</f>
        <v>1108</v>
      </c>
      <c r="R67" s="1875" t="s">
        <v>1576</v>
      </c>
    </row>
    <row r="68" spans="1:18" s="1831" customFormat="1" ht="16.2" thickBot="1">
      <c r="A68" s="1163" t="s">
        <v>1028</v>
      </c>
      <c r="B68" s="1164" t="s">
        <v>1479</v>
      </c>
      <c r="C68" s="344">
        <f ca="1">ROUND(C67*(1-((1+F70)/(1+F68))^F69)/(F68-F70),0)</f>
        <v>-1931</v>
      </c>
      <c r="D68" s="1181" t="s">
        <v>1463</v>
      </c>
      <c r="E68" s="1166" t="s">
        <v>1464</v>
      </c>
      <c r="F68" s="355">
        <f ca="1">F40</f>
        <v>5.5E-2</v>
      </c>
      <c r="O68" s="1883" t="s">
        <v>1039</v>
      </c>
      <c r="P68" s="1922" t="s">
        <v>1577</v>
      </c>
      <c r="Q68" s="1875">
        <f ca="1">ROUND(Q69-Q70*Q71,0)</f>
        <v>65</v>
      </c>
      <c r="R68" s="1875" t="s">
        <v>1047</v>
      </c>
    </row>
    <row r="69" spans="1:18" s="1831" customFormat="1" ht="13.8" thickBot="1">
      <c r="A69" s="1167"/>
      <c r="B69" s="1168"/>
      <c r="C69" s="349"/>
      <c r="D69" s="1186" t="s">
        <v>1467</v>
      </c>
      <c r="E69" s="1166" t="s">
        <v>1468</v>
      </c>
      <c r="F69" s="377">
        <f ca="1">F41</f>
        <v>33.049999999999997</v>
      </c>
      <c r="O69" s="1883" t="s">
        <v>1044</v>
      </c>
      <c r="P69" s="1922" t="s">
        <v>1578</v>
      </c>
      <c r="Q69" s="1875">
        <f ca="1">C39</f>
        <v>149</v>
      </c>
      <c r="R69" s="1875" t="s">
        <v>1523</v>
      </c>
    </row>
    <row r="70" spans="1:18" s="1831" customFormat="1" ht="13.8" thickBot="1">
      <c r="A70" s="1170"/>
      <c r="B70" s="1171"/>
      <c r="C70" s="353"/>
      <c r="D70" s="1182"/>
      <c r="E70" s="1166" t="s">
        <v>1471</v>
      </c>
      <c r="F70" s="1272"/>
      <c r="O70" s="1883" t="s">
        <v>1045</v>
      </c>
      <c r="P70" s="1922" t="s">
        <v>1579</v>
      </c>
      <c r="Q70" s="1875">
        <f ca="1">C13</f>
        <v>985</v>
      </c>
      <c r="R70" s="1875" t="s">
        <v>1523</v>
      </c>
    </row>
    <row r="71" spans="1:18" s="1831" customFormat="1" ht="13.8" thickBot="1">
      <c r="A71" s="1187" t="s">
        <v>1029</v>
      </c>
      <c r="B71" s="1188" t="s">
        <v>1481</v>
      </c>
      <c r="C71" s="380">
        <f ca="1">ROUND(C68*10000/F71,0)</f>
        <v>-4199</v>
      </c>
      <c r="D71" s="1189" t="s">
        <v>1482</v>
      </c>
      <c r="E71" s="1190" t="s">
        <v>1483</v>
      </c>
      <c r="F71" s="383">
        <f ca="1">F43</f>
        <v>4598.2300000000005</v>
      </c>
      <c r="O71" s="1883" t="s">
        <v>1046</v>
      </c>
      <c r="P71" s="1922" t="s">
        <v>1580</v>
      </c>
      <c r="Q71" s="1886">
        <f ca="1">C76</f>
        <v>8.5000000000000006E-2</v>
      </c>
      <c r="R71" s="1875"/>
    </row>
    <row r="72" spans="1:18" s="1831" customFormat="1" ht="13.8" thickBot="1">
      <c r="B72" s="793"/>
      <c r="C72" s="793"/>
      <c r="O72" s="1883" t="s">
        <v>1040</v>
      </c>
      <c r="P72" s="1874" t="s">
        <v>1558</v>
      </c>
      <c r="Q72" s="1886">
        <f>L52</f>
        <v>0</v>
      </c>
      <c r="R72" s="1875"/>
    </row>
    <row r="73" spans="1:18" ht="16.2" thickBot="1">
      <c r="A73" s="1831"/>
      <c r="B73" s="793"/>
      <c r="C73" s="793"/>
      <c r="D73" s="1831"/>
      <c r="E73" s="1831"/>
      <c r="F73" s="1831"/>
      <c r="O73" s="1883" t="s">
        <v>1041</v>
      </c>
      <c r="P73" s="1874" t="s">
        <v>1561</v>
      </c>
      <c r="Q73" s="1875" t="e">
        <f ca="1">L58</f>
        <v>#DIV/0!</v>
      </c>
      <c r="R73" s="1875" t="s">
        <v>1562</v>
      </c>
    </row>
    <row r="74" spans="1:18" ht="13.8"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8" thickBot="1">
      <c r="A75" s="1831"/>
      <c r="B75" s="384" t="s">
        <v>1500</v>
      </c>
      <c r="C75" s="385">
        <f ca="1">ROUND(C13*C76,0)</f>
        <v>84</v>
      </c>
      <c r="D75" s="1831"/>
      <c r="E75" s="1831"/>
      <c r="F75" s="1831"/>
      <c r="K75" s="1857"/>
      <c r="L75" s="1831"/>
      <c r="O75" s="1873" t="s">
        <v>1042</v>
      </c>
      <c r="P75" s="1874" t="s">
        <v>1543</v>
      </c>
      <c r="Q75" s="1875">
        <f ca="1">Q65+Q66</f>
        <v>2247</v>
      </c>
      <c r="R75" s="1875" t="s">
        <v>1043</v>
      </c>
    </row>
    <row r="76" spans="1:18">
      <c r="B76" s="386" t="s">
        <v>1501</v>
      </c>
      <c r="C76" s="387">
        <f ca="1">INDIRECT("'数据-取费表'!j"&amp;$G$1)</f>
        <v>8.5000000000000006E-2</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0.43600000000000005</v>
      </c>
    </row>
    <row r="80" spans="1:18">
      <c r="B80" s="384" t="s">
        <v>1505</v>
      </c>
      <c r="C80" s="316">
        <f ca="1">ROUND(C75/C39,3)</f>
        <v>0.56399999999999995</v>
      </c>
    </row>
    <row r="81" spans="2:3">
      <c r="B81" s="312" t="s">
        <v>1506</v>
      </c>
      <c r="C81" s="280"/>
    </row>
    <row r="82" spans="2:3">
      <c r="B82" s="315" t="s">
        <v>1507</v>
      </c>
      <c r="C82" s="317">
        <f ca="1">1-C83</f>
        <v>0.56200000000000006</v>
      </c>
    </row>
    <row r="83" spans="2:3">
      <c r="B83" s="315" t="s">
        <v>1508</v>
      </c>
      <c r="C83" s="316">
        <f ca="1">ROUND(C13/C40,3)</f>
        <v>0.438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2" sqref="B22"/>
    </sheetView>
  </sheetViews>
  <sheetFormatPr defaultColWidth="9" defaultRowHeight="13.8"/>
  <cols>
    <col min="1" max="1" width="23.6640625" style="1933" customWidth="1"/>
    <col min="2" max="2" width="12" style="1933" customWidth="1"/>
    <col min="3" max="3" width="9" style="1933"/>
    <col min="4" max="4" width="14.109375" style="1933" customWidth="1"/>
    <col min="5" max="5" width="9" style="1933"/>
    <col min="6" max="6" width="12.88671875" style="1933" customWidth="1"/>
    <col min="7" max="16384" width="9" style="1933"/>
  </cols>
  <sheetData>
    <row r="1" spans="1:6" ht="21.6">
      <c r="A1" s="2552" t="s">
        <v>2524</v>
      </c>
      <c r="B1" s="2553"/>
      <c r="C1" s="2553"/>
      <c r="D1" s="2553"/>
      <c r="E1" s="2554"/>
    </row>
    <row r="2" spans="1:6" ht="15.6">
      <c r="A2" s="2555" t="s">
        <v>2325</v>
      </c>
      <c r="B2" s="2556">
        <f ca="1">SUMIF(B6:B13,"&lt;&gt;#ref!",B6:B13)</f>
        <v>32067</v>
      </c>
      <c r="C2" s="2557" t="s">
        <v>2517</v>
      </c>
      <c r="D2" s="2558" t="s">
        <v>2518</v>
      </c>
      <c r="E2" s="2559">
        <f>SUM(E6:E13)</f>
        <v>66988.94</v>
      </c>
    </row>
    <row r="3" spans="1:6" ht="15.6">
      <c r="A3" s="2555" t="s">
        <v>1389</v>
      </c>
      <c r="B3" s="2556">
        <f ca="1">ROUND(B2*10000/E2,0)</f>
        <v>4787</v>
      </c>
      <c r="C3" s="2557" t="s">
        <v>2525</v>
      </c>
      <c r="D3" s="2560"/>
      <c r="E3" s="2561"/>
    </row>
    <row r="4" spans="1:6" ht="15.6">
      <c r="A4" s="2562"/>
      <c r="B4" s="2560"/>
      <c r="C4" s="2560"/>
      <c r="D4" s="2560"/>
      <c r="E4" s="2561"/>
    </row>
    <row r="5" spans="1:6" ht="14.4">
      <c r="A5" s="2563" t="s">
        <v>2519</v>
      </c>
      <c r="B5" s="3291" t="s">
        <v>2520</v>
      </c>
      <c r="C5" s="3291"/>
      <c r="D5" s="2564"/>
      <c r="E5" s="2565" t="s">
        <v>2521</v>
      </c>
      <c r="F5" s="2566" t="s">
        <v>2522</v>
      </c>
    </row>
    <row r="6" spans="1:6" ht="14.4">
      <c r="A6" s="2567" t="str">
        <f>'数据-取费表'!AN6</f>
        <v>收益法</v>
      </c>
      <c r="B6" s="2566">
        <f ca="1">IF(F6="是",'数据-取费表'!AO6,0)</f>
        <v>29820</v>
      </c>
      <c r="C6" s="2557" t="s">
        <v>2517</v>
      </c>
      <c r="D6" s="2560"/>
      <c r="E6" s="2568">
        <f>IF(OR(A6=0,F6="否"),0,'数据-取费表'!K6+'数据-取费表'!S6)</f>
        <v>62390.71</v>
      </c>
      <c r="F6" s="2569" t="s">
        <v>2523</v>
      </c>
    </row>
    <row r="7" spans="1:6" ht="14.4">
      <c r="A7" s="2567" t="str">
        <f>'数据-取费表'!AN7</f>
        <v>收益法 (2)</v>
      </c>
      <c r="B7" s="2566">
        <f ca="1">IF(F7="是",'数据-取费表'!AO7,0)</f>
        <v>2247</v>
      </c>
      <c r="C7" s="2557" t="s">
        <v>2517</v>
      </c>
      <c r="D7" s="2560"/>
      <c r="E7" s="2568">
        <f>IF(OR(A7=0,F7="否"),0,'数据-取费表'!K7+'数据-取费表'!S7)</f>
        <v>4598.2300000000005</v>
      </c>
      <c r="F7" s="2569" t="s">
        <v>2523</v>
      </c>
    </row>
    <row r="8" spans="1:6" ht="14.4">
      <c r="A8" s="2567">
        <f>'数据-取费表'!AN8</f>
        <v>0</v>
      </c>
      <c r="B8" s="2566" t="e">
        <f ca="1">IF(F8="是",'数据-取费表'!AO8,0)</f>
        <v>#REF!</v>
      </c>
      <c r="C8" s="2557" t="s">
        <v>2517</v>
      </c>
      <c r="D8" s="2560"/>
      <c r="E8" s="2568">
        <f>IF(OR(A8=0,F8="否"),0,'数据-取费表'!K8+'数据-取费表'!S8)</f>
        <v>0</v>
      </c>
      <c r="F8" s="2569" t="s">
        <v>2523</v>
      </c>
    </row>
    <row r="9" spans="1:6" ht="14.4">
      <c r="A9" s="2567">
        <f>'数据-取费表'!AN9</f>
        <v>0</v>
      </c>
      <c r="B9" s="2566" t="e">
        <f ca="1">IF(F9="是",'数据-取费表'!AO9,0)</f>
        <v>#REF!</v>
      </c>
      <c r="C9" s="2557" t="s">
        <v>2517</v>
      </c>
      <c r="D9" s="2560"/>
      <c r="E9" s="2568">
        <f>IF(OR(A9=0,F9="否"),0,'数据-取费表'!K9+'数据-取费表'!S9)</f>
        <v>0</v>
      </c>
      <c r="F9" s="2569" t="s">
        <v>2523</v>
      </c>
    </row>
    <row r="10" spans="1:6" ht="14.4">
      <c r="A10" s="2567">
        <f>'数据-取费表'!AN10</f>
        <v>0</v>
      </c>
      <c r="B10" s="2566" t="e">
        <f ca="1">IF(F10="是",'数据-取费表'!AO10,0)</f>
        <v>#REF!</v>
      </c>
      <c r="C10" s="2557" t="s">
        <v>2517</v>
      </c>
      <c r="D10" s="2560"/>
      <c r="E10" s="2568">
        <f>IF(OR(A10=0,F10="否"),0,'数据-取费表'!K10+'数据-取费表'!S10)</f>
        <v>0</v>
      </c>
      <c r="F10" s="2569" t="s">
        <v>2523</v>
      </c>
    </row>
    <row r="11" spans="1:6" ht="14.4">
      <c r="A11" s="2567">
        <f>'数据-取费表'!AN11</f>
        <v>0</v>
      </c>
      <c r="B11" s="2566" t="e">
        <f ca="1">IF(F11="是",'数据-取费表'!AO11,0)</f>
        <v>#REF!</v>
      </c>
      <c r="C11" s="2557" t="s">
        <v>2517</v>
      </c>
      <c r="D11" s="2560"/>
      <c r="E11" s="2568">
        <f>IF(OR(A11=0,F11="否"),0,'数据-取费表'!K11+'数据-取费表'!S11)</f>
        <v>0</v>
      </c>
      <c r="F11" s="2569" t="s">
        <v>2523</v>
      </c>
    </row>
    <row r="12" spans="1:6" ht="14.4">
      <c r="A12" s="2567">
        <f>'数据-取费表'!AN12</f>
        <v>0</v>
      </c>
      <c r="B12" s="2566" t="e">
        <f ca="1">IF(F12="是",'数据-取费表'!AO12,0)</f>
        <v>#REF!</v>
      </c>
      <c r="C12" s="2557" t="s">
        <v>2517</v>
      </c>
      <c r="D12" s="2560"/>
      <c r="E12" s="2568">
        <f>IF(OR(A12=0,F12="否"),0,'数据-取费表'!K12+'数据-取费表'!S12)</f>
        <v>0</v>
      </c>
      <c r="F12" s="2569" t="s">
        <v>2523</v>
      </c>
    </row>
    <row r="13" spans="1:6" ht="15" thickBot="1">
      <c r="A13" s="2570">
        <f>'数据-取费表'!AN13</f>
        <v>0</v>
      </c>
      <c r="B13" s="2566" t="e">
        <f ca="1">IF(F13="是",'数据-取费表'!AO13,0)</f>
        <v>#REF!</v>
      </c>
      <c r="C13" s="2571" t="s">
        <v>2517</v>
      </c>
      <c r="D13" s="2572"/>
      <c r="E13" s="2568">
        <f>IF(OR(A13=0,F13="否"),0,'数据-取费表'!K13+'数据-取费表'!S13)</f>
        <v>0</v>
      </c>
      <c r="F13" s="256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2526</v>
      </c>
      <c r="B1" s="2660" t="s">
        <v>2700</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IF(C2="——",ROUND(C43*D3/10000,0),ROUND(C43*D3/10000,0)-D2)</f>
        <v>#N/A</v>
      </c>
      <c r="C2" s="2577"/>
      <c r="D2" s="1121"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2327</v>
      </c>
      <c r="B3" s="607" t="e">
        <f ca="1">IF(C2="——",C43,ROUND(B2*10000/D3,0))</f>
        <v>#N/A</v>
      </c>
      <c r="C3" s="398" t="s">
        <v>2642</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c r="A5" s="402"/>
      <c r="B5" s="403"/>
      <c r="C5" s="3229" t="s">
        <v>2540</v>
      </c>
      <c r="D5" s="3230"/>
      <c r="E5" s="3292" t="s">
        <v>3137</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 thickBot="1">
      <c r="A7" s="406" t="s">
        <v>2546</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220" t="s">
        <v>2547</v>
      </c>
      <c r="Q7" s="3233"/>
      <c r="R7" s="767" t="s">
        <v>17</v>
      </c>
      <c r="S7" s="768">
        <f t="shared" ref="S7:S15" si="0">F7</f>
        <v>100</v>
      </c>
      <c r="T7" s="767" t="s">
        <v>17</v>
      </c>
      <c r="U7" s="768">
        <f t="shared" ref="U7:U15" si="1">H7</f>
        <v>100</v>
      </c>
      <c r="V7" s="767" t="s">
        <v>17</v>
      </c>
      <c r="W7" s="768">
        <f t="shared" ref="W7:W15" si="2">J7</f>
        <v>100</v>
      </c>
      <c r="X7" s="769"/>
      <c r="Y7" s="3220" t="s">
        <v>2547</v>
      </c>
      <c r="Z7" s="3221"/>
      <c r="AA7" s="770">
        <f>D7/F7</f>
        <v>1</v>
      </c>
      <c r="AB7" s="770">
        <f>D7/H7</f>
        <v>1</v>
      </c>
      <c r="AC7" s="770">
        <f>D7/J7</f>
        <v>1</v>
      </c>
    </row>
    <row r="8" spans="1:29" s="116" customFormat="1" ht="15" thickBot="1">
      <c r="A8" s="406" t="s">
        <v>2548</v>
      </c>
      <c r="B8" s="407"/>
      <c r="C8" s="412" t="s">
        <v>2549</v>
      </c>
      <c r="D8" s="409">
        <v>100</v>
      </c>
      <c r="E8" s="412" t="s">
        <v>3136</v>
      </c>
      <c r="F8" s="411">
        <f>SUMIF(55:55,E8,56:56)-SUMIF(55:55,C8,56:56)+100</f>
        <v>100</v>
      </c>
      <c r="G8" s="412" t="s">
        <v>3136</v>
      </c>
      <c r="H8" s="409">
        <f>SUMIF(55:55,G8,56:56)-SUMIF(55:55,C8,56:56)+100</f>
        <v>100</v>
      </c>
      <c r="I8" s="412" t="s">
        <v>3136</v>
      </c>
      <c r="J8" s="409">
        <f>SUMIF(55:55,I8,56:56)-SUMIF(55:55,C8,56:56)+100</f>
        <v>100</v>
      </c>
      <c r="K8" s="609"/>
      <c r="L8" s="1129"/>
      <c r="M8" s="1130"/>
      <c r="N8" s="1130"/>
      <c r="O8" s="1130"/>
      <c r="P8" s="3220" t="s">
        <v>2550</v>
      </c>
      <c r="Q8" s="3221"/>
      <c r="R8" s="767" t="s">
        <v>17</v>
      </c>
      <c r="S8" s="768">
        <f t="shared" si="0"/>
        <v>100</v>
      </c>
      <c r="T8" s="767" t="s">
        <v>17</v>
      </c>
      <c r="U8" s="768">
        <f t="shared" si="1"/>
        <v>100</v>
      </c>
      <c r="V8" s="767" t="s">
        <v>17</v>
      </c>
      <c r="W8" s="768">
        <f t="shared" si="2"/>
        <v>100</v>
      </c>
      <c r="X8" s="769"/>
      <c r="Y8" s="3220" t="s">
        <v>2550</v>
      </c>
      <c r="Z8" s="3221"/>
      <c r="AA8" s="770">
        <f t="shared" ref="AA8:AA40" si="3">D8/F8</f>
        <v>1</v>
      </c>
      <c r="AB8" s="770">
        <f t="shared" ref="AB8:AB40" si="4">D8/H8</f>
        <v>1</v>
      </c>
      <c r="AC8" s="770">
        <f t="shared" ref="AC8:AC40" si="5">D8/J8</f>
        <v>1</v>
      </c>
    </row>
    <row r="9" spans="1:29" s="116" customFormat="1" ht="14.4">
      <c r="A9" s="413" t="s">
        <v>2551</v>
      </c>
      <c r="B9" s="71" t="s">
        <v>2552</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8.8">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8"/>
      <c r="Q11" s="1784" t="str">
        <f t="shared" si="6"/>
        <v>容积率</v>
      </c>
      <c r="R11" s="767" t="s">
        <v>17</v>
      </c>
      <c r="S11" s="768">
        <f t="shared" si="0"/>
        <v>100</v>
      </c>
      <c r="T11" s="767" t="s">
        <v>17</v>
      </c>
      <c r="U11" s="768">
        <f t="shared" si="1"/>
        <v>100</v>
      </c>
      <c r="V11" s="767" t="s">
        <v>17</v>
      </c>
      <c r="W11" s="768">
        <f t="shared" si="2"/>
        <v>100</v>
      </c>
      <c r="X11" s="769"/>
      <c r="Y11" s="3047"/>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6"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69">
      <c r="A15" s="438" t="s">
        <v>2557</v>
      </c>
      <c r="B15" s="69" t="s">
        <v>2701</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01" t="s">
        <v>2558</v>
      </c>
      <c r="Q15" s="1799" t="str">
        <f t="shared" si="6"/>
        <v>产业集聚程度</v>
      </c>
      <c r="R15" s="771" t="s">
        <v>17</v>
      </c>
      <c r="S15" s="772">
        <f t="shared" si="0"/>
        <v>100</v>
      </c>
      <c r="T15" s="771" t="s">
        <v>17</v>
      </c>
      <c r="U15" s="772">
        <f t="shared" si="1"/>
        <v>100</v>
      </c>
      <c r="V15" s="771" t="s">
        <v>17</v>
      </c>
      <c r="W15" s="772">
        <f t="shared" si="2"/>
        <v>100</v>
      </c>
      <c r="X15" s="1802"/>
      <c r="Y15" s="3201" t="s">
        <v>2558</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202"/>
      <c r="Q16" s="1799"/>
      <c r="R16" s="771"/>
      <c r="S16" s="772"/>
      <c r="T16" s="771"/>
      <c r="U16" s="772"/>
      <c r="V16" s="771"/>
      <c r="W16" s="772"/>
      <c r="X16" s="1802"/>
      <c r="Y16" s="3202"/>
      <c r="Z16" s="1803"/>
      <c r="AA16" s="1800">
        <v>1</v>
      </c>
      <c r="AB16" s="1800">
        <v>1</v>
      </c>
      <c r="AC16" s="1800">
        <v>1</v>
      </c>
    </row>
    <row r="17" spans="1:29" ht="96.6">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02"/>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202"/>
      <c r="Q18" s="1799"/>
      <c r="R18" s="771"/>
      <c r="S18" s="772"/>
      <c r="T18" s="771"/>
      <c r="U18" s="772"/>
      <c r="V18" s="771"/>
      <c r="W18" s="772"/>
      <c r="X18" s="1802"/>
      <c r="Y18" s="3202"/>
      <c r="Z18" s="1803"/>
      <c r="AA18" s="1800">
        <v>1</v>
      </c>
      <c r="AB18" s="1800">
        <v>1</v>
      </c>
      <c r="AC18" s="1800">
        <v>1</v>
      </c>
    </row>
    <row r="19" spans="1:29" ht="41.4">
      <c r="A19" s="426"/>
      <c r="B19" s="449" t="s">
        <v>2686</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02"/>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202"/>
      <c r="Q20" s="1799"/>
      <c r="R20" s="771"/>
      <c r="S20" s="772"/>
      <c r="T20" s="771"/>
      <c r="U20" s="772"/>
      <c r="V20" s="771"/>
      <c r="W20" s="772"/>
      <c r="X20" s="1802"/>
      <c r="Y20" s="3202"/>
      <c r="Z20" s="1803"/>
      <c r="AA20" s="1800">
        <v>1</v>
      </c>
      <c r="AB20" s="1800">
        <v>1</v>
      </c>
      <c r="AC20" s="1800">
        <v>1</v>
      </c>
    </row>
    <row r="21" spans="1:29" ht="41.4">
      <c r="A21" s="426"/>
      <c r="B21" s="1381" t="s">
        <v>2687</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02"/>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202"/>
      <c r="Q22" s="1799"/>
      <c r="R22" s="771"/>
      <c r="S22" s="772"/>
      <c r="T22" s="771"/>
      <c r="U22" s="772"/>
      <c r="V22" s="771"/>
      <c r="W22" s="772"/>
      <c r="X22" s="1802"/>
      <c r="Y22" s="3202"/>
      <c r="Z22" s="1803"/>
      <c r="AA22" s="1800">
        <v>1</v>
      </c>
      <c r="AB22" s="1800">
        <v>1</v>
      </c>
      <c r="AC22" s="1800">
        <v>1</v>
      </c>
    </row>
    <row r="23" spans="1:29" ht="82.8">
      <c r="A23" s="426"/>
      <c r="B23" s="449" t="s">
        <v>2688</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02"/>
      <c r="Q23" s="1799" t="str">
        <f>B23</f>
        <v>环境质量</v>
      </c>
      <c r="R23" s="771" t="s">
        <v>17</v>
      </c>
      <c r="S23" s="772">
        <f>F23</f>
        <v>100</v>
      </c>
      <c r="T23" s="771" t="s">
        <v>17</v>
      </c>
      <c r="U23" s="772">
        <f>H23</f>
        <v>100</v>
      </c>
      <c r="V23" s="771" t="s">
        <v>17</v>
      </c>
      <c r="W23" s="772">
        <f>J23</f>
        <v>100</v>
      </c>
      <c r="X23" s="1802"/>
      <c r="Y23" s="3202"/>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202"/>
      <c r="Q24" s="1799"/>
      <c r="R24" s="771"/>
      <c r="S24" s="772"/>
      <c r="T24" s="771"/>
      <c r="U24" s="772"/>
      <c r="V24" s="771"/>
      <c r="W24" s="772"/>
      <c r="X24" s="1802"/>
      <c r="Y24" s="3202"/>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02"/>
      <c r="Q25" s="1799">
        <f>B25</f>
        <v>111</v>
      </c>
      <c r="R25" s="771" t="s">
        <v>17</v>
      </c>
      <c r="S25" s="772">
        <f>F25</f>
        <v>100</v>
      </c>
      <c r="T25" s="771" t="s">
        <v>17</v>
      </c>
      <c r="U25" s="772">
        <f>H25</f>
        <v>100</v>
      </c>
      <c r="V25" s="771" t="s">
        <v>17</v>
      </c>
      <c r="W25" s="772">
        <f>J25</f>
        <v>100</v>
      </c>
      <c r="X25" s="1802"/>
      <c r="Y25" s="3202"/>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02"/>
      <c r="Q26" s="1799">
        <f t="shared" ref="Q26:Q40" si="11">B26</f>
        <v>111</v>
      </c>
      <c r="R26" s="771" t="s">
        <v>17</v>
      </c>
      <c r="S26" s="772">
        <f>F26</f>
        <v>100</v>
      </c>
      <c r="T26" s="771" t="s">
        <v>17</v>
      </c>
      <c r="U26" s="772">
        <f>H26</f>
        <v>100</v>
      </c>
      <c r="V26" s="771" t="s">
        <v>17</v>
      </c>
      <c r="W26" s="772">
        <f>J26</f>
        <v>100</v>
      </c>
      <c r="X26" s="1802"/>
      <c r="Y26" s="3202"/>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02"/>
      <c r="Q27" s="1784">
        <f t="shared" si="11"/>
        <v>111</v>
      </c>
      <c r="R27" s="767" t="s">
        <v>17</v>
      </c>
      <c r="S27" s="768">
        <f>F27</f>
        <v>100</v>
      </c>
      <c r="T27" s="767" t="s">
        <v>17</v>
      </c>
      <c r="U27" s="768">
        <f>H27</f>
        <v>100</v>
      </c>
      <c r="V27" s="767" t="s">
        <v>17</v>
      </c>
      <c r="W27" s="768">
        <f>J27</f>
        <v>100</v>
      </c>
      <c r="X27" s="769"/>
      <c r="Y27" s="3202"/>
      <c r="Z27" s="55">
        <f>Q27</f>
        <v>111</v>
      </c>
      <c r="AA27" s="1800">
        <f>D27/F27</f>
        <v>1</v>
      </c>
      <c r="AB27" s="1800">
        <f>D27/H27</f>
        <v>1</v>
      </c>
      <c r="AC27" s="1800">
        <f>D27/J27</f>
        <v>1</v>
      </c>
    </row>
    <row r="28" spans="1:29" ht="15.6"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02"/>
      <c r="Q28" s="1799">
        <f t="shared" si="11"/>
        <v>111</v>
      </c>
      <c r="R28" s="771" t="s">
        <v>17</v>
      </c>
      <c r="S28" s="772">
        <f t="shared" ref="S28:S40" si="12">F28</f>
        <v>100</v>
      </c>
      <c r="T28" s="771" t="s">
        <v>17</v>
      </c>
      <c r="U28" s="772">
        <f t="shared" ref="U28:U40" si="13">H28</f>
        <v>100</v>
      </c>
      <c r="V28" s="771" t="s">
        <v>17</v>
      </c>
      <c r="W28" s="772">
        <f t="shared" ref="W28:W40" si="14">J28</f>
        <v>100</v>
      </c>
      <c r="X28" s="1802"/>
      <c r="Y28" s="3202"/>
      <c r="Z28" s="1803">
        <f t="shared" ref="Z28:Z40" si="15">Q28</f>
        <v>111</v>
      </c>
      <c r="AA28" s="1800">
        <f t="shared" si="3"/>
        <v>1</v>
      </c>
      <c r="AB28" s="1800">
        <f t="shared" si="4"/>
        <v>1</v>
      </c>
      <c r="AC28" s="1800">
        <f t="shared" si="5"/>
        <v>1</v>
      </c>
    </row>
    <row r="29" spans="1:29" ht="30">
      <c r="A29" s="464" t="s">
        <v>2561</v>
      </c>
      <c r="B29" s="71" t="s">
        <v>2691</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03" t="s">
        <v>2563</v>
      </c>
      <c r="Q29" s="1799" t="str">
        <f t="shared" si="11"/>
        <v>建筑类型</v>
      </c>
      <c r="R29" s="771" t="s">
        <v>17</v>
      </c>
      <c r="S29" s="772">
        <f t="shared" si="12"/>
        <v>100</v>
      </c>
      <c r="T29" s="771" t="s">
        <v>17</v>
      </c>
      <c r="U29" s="772">
        <f t="shared" si="13"/>
        <v>100</v>
      </c>
      <c r="V29" s="771" t="s">
        <v>17</v>
      </c>
      <c r="W29" s="772">
        <f t="shared" si="14"/>
        <v>100</v>
      </c>
      <c r="X29" s="1802"/>
      <c r="Y29" s="3204" t="s">
        <v>2563</v>
      </c>
      <c r="Z29" s="1803" t="str">
        <f t="shared" si="15"/>
        <v>建筑类型</v>
      </c>
      <c r="AA29" s="1800">
        <f t="shared" si="3"/>
        <v>1</v>
      </c>
      <c r="AB29" s="1800">
        <f t="shared" si="4"/>
        <v>1</v>
      </c>
      <c r="AC29" s="1800">
        <f t="shared" si="5"/>
        <v>1</v>
      </c>
    </row>
    <row r="30" spans="1:29" s="469" customFormat="1" ht="15">
      <c r="A30" s="466"/>
      <c r="B30" s="420" t="s">
        <v>2564</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04"/>
      <c r="Q30" s="773" t="str">
        <f t="shared" si="11"/>
        <v>项目建筑规模</v>
      </c>
      <c r="R30" s="774" t="s">
        <v>17</v>
      </c>
      <c r="S30" s="775" t="e">
        <f t="shared" si="12"/>
        <v>#N/A</v>
      </c>
      <c r="T30" s="774" t="s">
        <v>17</v>
      </c>
      <c r="U30" s="775" t="e">
        <f t="shared" si="13"/>
        <v>#N/A</v>
      </c>
      <c r="V30" s="774" t="s">
        <v>17</v>
      </c>
      <c r="W30" s="775" t="e">
        <f t="shared" si="14"/>
        <v>#N/A</v>
      </c>
      <c r="X30" s="776"/>
      <c r="Y30" s="3204"/>
      <c r="Z30" s="777" t="str">
        <f t="shared" si="15"/>
        <v>项目建筑规模</v>
      </c>
      <c r="AA30" s="1800" t="e">
        <f t="shared" si="3"/>
        <v>#N/A</v>
      </c>
      <c r="AB30" s="1800" t="e">
        <f t="shared" si="4"/>
        <v>#N/A</v>
      </c>
      <c r="AC30" s="180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04"/>
      <c r="Q31" s="1799" t="str">
        <f t="shared" si="11"/>
        <v>建筑结构</v>
      </c>
      <c r="R31" s="771" t="s">
        <v>17</v>
      </c>
      <c r="S31" s="772">
        <f t="shared" si="12"/>
        <v>100</v>
      </c>
      <c r="T31" s="771" t="s">
        <v>17</v>
      </c>
      <c r="U31" s="772">
        <f t="shared" si="13"/>
        <v>100</v>
      </c>
      <c r="V31" s="771" t="s">
        <v>17</v>
      </c>
      <c r="W31" s="772">
        <f t="shared" si="14"/>
        <v>100</v>
      </c>
      <c r="X31" s="1802"/>
      <c r="Y31" s="3204"/>
      <c r="Z31" s="1803" t="str">
        <f t="shared" si="15"/>
        <v>建筑结构</v>
      </c>
      <c r="AA31" s="1800">
        <f t="shared" si="3"/>
        <v>1</v>
      </c>
      <c r="AB31" s="1800">
        <f t="shared" si="4"/>
        <v>1</v>
      </c>
      <c r="AC31" s="180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04"/>
      <c r="Q32" s="1799" t="str">
        <f t="shared" si="11"/>
        <v>公共部分装修</v>
      </c>
      <c r="R32" s="771" t="s">
        <v>17</v>
      </c>
      <c r="S32" s="772">
        <f t="shared" si="12"/>
        <v>100</v>
      </c>
      <c r="T32" s="771" t="s">
        <v>17</v>
      </c>
      <c r="U32" s="772">
        <f t="shared" si="13"/>
        <v>100</v>
      </c>
      <c r="V32" s="771" t="s">
        <v>17</v>
      </c>
      <c r="W32" s="772">
        <f t="shared" si="14"/>
        <v>100</v>
      </c>
      <c r="X32" s="1802"/>
      <c r="Y32" s="3204"/>
      <c r="Z32" s="1803" t="str">
        <f t="shared" si="15"/>
        <v>公共部分装修</v>
      </c>
      <c r="AA32" s="1800">
        <f t="shared" si="3"/>
        <v>1</v>
      </c>
      <c r="AB32" s="1800">
        <f t="shared" si="4"/>
        <v>1</v>
      </c>
      <c r="AC32" s="1800">
        <f t="shared" si="5"/>
        <v>1</v>
      </c>
    </row>
    <row r="33" spans="1:29" ht="15">
      <c r="A33" s="470"/>
      <c r="B33" s="420" t="s">
        <v>2660</v>
      </c>
      <c r="C33" s="2970">
        <f>'数据-取费表'!N16</f>
        <v>0.80500000000000005</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04"/>
      <c r="Q33" s="1799" t="str">
        <f t="shared" si="11"/>
        <v>成新度</v>
      </c>
      <c r="R33" s="771" t="s">
        <v>17</v>
      </c>
      <c r="S33" s="772" t="e">
        <f t="shared" si="12"/>
        <v>#N/A</v>
      </c>
      <c r="T33" s="771" t="s">
        <v>17</v>
      </c>
      <c r="U33" s="772" t="e">
        <f t="shared" si="13"/>
        <v>#N/A</v>
      </c>
      <c r="V33" s="771" t="s">
        <v>17</v>
      </c>
      <c r="W33" s="772" t="e">
        <f t="shared" si="14"/>
        <v>#N/A</v>
      </c>
      <c r="X33" s="1802"/>
      <c r="Y33" s="3204"/>
      <c r="Z33" s="1803" t="str">
        <f t="shared" si="15"/>
        <v>成新度</v>
      </c>
      <c r="AA33" s="1800" t="e">
        <f t="shared" si="3"/>
        <v>#N/A</v>
      </c>
      <c r="AB33" s="1800" t="e">
        <f t="shared" si="4"/>
        <v>#N/A</v>
      </c>
      <c r="AC33" s="1800" t="e">
        <f t="shared" si="5"/>
        <v>#N/A</v>
      </c>
    </row>
    <row r="34" spans="1:29" s="116"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04"/>
      <c r="Q34" s="1784" t="str">
        <f t="shared" si="11"/>
        <v>物业管理</v>
      </c>
      <c r="R34" s="767" t="s">
        <v>17</v>
      </c>
      <c r="S34" s="768">
        <f t="shared" si="12"/>
        <v>100</v>
      </c>
      <c r="T34" s="767" t="s">
        <v>17</v>
      </c>
      <c r="U34" s="768">
        <f t="shared" si="13"/>
        <v>100</v>
      </c>
      <c r="V34" s="767" t="s">
        <v>17</v>
      </c>
      <c r="W34" s="768">
        <f t="shared" si="14"/>
        <v>100</v>
      </c>
      <c r="X34" s="769"/>
      <c r="Y34" s="3204"/>
      <c r="Z34" s="55"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04" t="s">
        <v>2563</v>
      </c>
      <c r="Q35" s="1799" t="str">
        <f t="shared" si="11"/>
        <v>市政基础设施</v>
      </c>
      <c r="R35" s="771" t="s">
        <v>17</v>
      </c>
      <c r="S35" s="772">
        <f t="shared" si="12"/>
        <v>100</v>
      </c>
      <c r="T35" s="771" t="s">
        <v>17</v>
      </c>
      <c r="U35" s="772">
        <f t="shared" si="13"/>
        <v>100</v>
      </c>
      <c r="V35" s="771" t="s">
        <v>17</v>
      </c>
      <c r="W35" s="772">
        <f t="shared" si="14"/>
        <v>100</v>
      </c>
      <c r="X35" s="1802"/>
      <c r="Y35" s="3204" t="s">
        <v>2563</v>
      </c>
      <c r="Z35" s="1803" t="str">
        <f t="shared" si="15"/>
        <v>市政基础设施</v>
      </c>
      <c r="AA35" s="1800">
        <f t="shared" si="3"/>
        <v>1</v>
      </c>
      <c r="AB35" s="1800">
        <f t="shared" si="4"/>
        <v>1</v>
      </c>
      <c r="AC35" s="180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04"/>
      <c r="Q36" s="1799" t="str">
        <f t="shared" si="11"/>
        <v>内部装修</v>
      </c>
      <c r="R36" s="771" t="s">
        <v>17</v>
      </c>
      <c r="S36" s="772">
        <f t="shared" si="12"/>
        <v>100</v>
      </c>
      <c r="T36" s="771" t="s">
        <v>17</v>
      </c>
      <c r="U36" s="772">
        <f t="shared" si="13"/>
        <v>100</v>
      </c>
      <c r="V36" s="771" t="s">
        <v>17</v>
      </c>
      <c r="W36" s="772">
        <f t="shared" si="14"/>
        <v>100</v>
      </c>
      <c r="X36" s="1802"/>
      <c r="Y36" s="3204"/>
      <c r="Z36" s="1803" t="str">
        <f t="shared" si="15"/>
        <v>内部装修</v>
      </c>
      <c r="AA36" s="1800">
        <f t="shared" si="3"/>
        <v>1</v>
      </c>
      <c r="AB36" s="1800">
        <f t="shared" si="4"/>
        <v>1</v>
      </c>
      <c r="AC36" s="180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04"/>
      <c r="Q37" s="1799" t="str">
        <f t="shared" si="11"/>
        <v>内部装修状况</v>
      </c>
      <c r="R37" s="771" t="s">
        <v>17</v>
      </c>
      <c r="S37" s="772">
        <f t="shared" si="12"/>
        <v>100</v>
      </c>
      <c r="T37" s="771" t="s">
        <v>17</v>
      </c>
      <c r="U37" s="772">
        <f t="shared" si="13"/>
        <v>100</v>
      </c>
      <c r="V37" s="771" t="s">
        <v>17</v>
      </c>
      <c r="W37" s="772">
        <f t="shared" si="14"/>
        <v>100</v>
      </c>
      <c r="X37" s="1802"/>
      <c r="Y37" s="3204"/>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04"/>
      <c r="Q38" s="773">
        <f t="shared" si="11"/>
        <v>111</v>
      </c>
      <c r="R38" s="774" t="s">
        <v>17</v>
      </c>
      <c r="S38" s="775">
        <f t="shared" si="12"/>
        <v>100</v>
      </c>
      <c r="T38" s="774" t="s">
        <v>17</v>
      </c>
      <c r="U38" s="775">
        <f t="shared" si="13"/>
        <v>100</v>
      </c>
      <c r="V38" s="774" t="s">
        <v>17</v>
      </c>
      <c r="W38" s="775">
        <f t="shared" si="14"/>
        <v>100</v>
      </c>
      <c r="X38" s="776"/>
      <c r="Y38" s="3204"/>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04"/>
      <c r="Q39" s="1799">
        <f t="shared" si="11"/>
        <v>111</v>
      </c>
      <c r="R39" s="771" t="s">
        <v>17</v>
      </c>
      <c r="S39" s="772">
        <f t="shared" si="12"/>
        <v>100</v>
      </c>
      <c r="T39" s="771" t="s">
        <v>17</v>
      </c>
      <c r="U39" s="772">
        <f t="shared" si="13"/>
        <v>100</v>
      </c>
      <c r="V39" s="771" t="s">
        <v>17</v>
      </c>
      <c r="W39" s="772">
        <f t="shared" si="14"/>
        <v>100</v>
      </c>
      <c r="X39" s="1802"/>
      <c r="Y39" s="3204"/>
      <c r="Z39" s="1803">
        <f t="shared" si="15"/>
        <v>111</v>
      </c>
      <c r="AA39" s="1800">
        <f t="shared" si="3"/>
        <v>1</v>
      </c>
      <c r="AB39" s="1800">
        <f t="shared" si="4"/>
        <v>1</v>
      </c>
      <c r="AC39" s="1800">
        <f t="shared" si="5"/>
        <v>1</v>
      </c>
    </row>
    <row r="40" spans="1:29" ht="15.6"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73"/>
      <c r="Q40" s="1799">
        <f t="shared" si="11"/>
        <v>111</v>
      </c>
      <c r="R40" s="771" t="s">
        <v>17</v>
      </c>
      <c r="S40" s="772">
        <f t="shared" si="12"/>
        <v>100</v>
      </c>
      <c r="T40" s="771" t="s">
        <v>17</v>
      </c>
      <c r="U40" s="772">
        <f t="shared" si="13"/>
        <v>100</v>
      </c>
      <c r="V40" s="771" t="s">
        <v>17</v>
      </c>
      <c r="W40" s="772">
        <f t="shared" si="14"/>
        <v>100</v>
      </c>
      <c r="X40" s="1802"/>
      <c r="Y40" s="3273"/>
      <c r="Z40" s="1803">
        <f t="shared" si="15"/>
        <v>111</v>
      </c>
      <c r="AA40" s="1800">
        <f t="shared" si="3"/>
        <v>1</v>
      </c>
      <c r="AB40" s="1800">
        <f t="shared" si="4"/>
        <v>1</v>
      </c>
      <c r="AC40" s="1800">
        <f t="shared" si="5"/>
        <v>1</v>
      </c>
    </row>
    <row r="41" spans="1:29" ht="14.4">
      <c r="A41" s="477" t="s">
        <v>2575</v>
      </c>
      <c r="B41" s="478"/>
      <c r="C41" s="1404" t="s">
        <v>1</v>
      </c>
      <c r="D41" s="1405"/>
      <c r="E41" s="1406"/>
      <c r="F41" s="1407"/>
      <c r="G41" s="1408"/>
      <c r="H41" s="1409"/>
      <c r="I41" s="1406"/>
      <c r="J41" s="1409"/>
      <c r="K41" s="780"/>
      <c r="L41" s="1140"/>
      <c r="M41" s="1141"/>
      <c r="N41" s="1128"/>
      <c r="O41" s="1141"/>
      <c r="P41" s="3198" t="str">
        <f>A41</f>
        <v>成交单价（元/平方米）</v>
      </c>
      <c r="Q41" s="3198"/>
      <c r="R41" s="3269">
        <f>E41</f>
        <v>0</v>
      </c>
      <c r="S41" s="3269"/>
      <c r="T41" s="3269">
        <f>G41</f>
        <v>0</v>
      </c>
      <c r="U41" s="3269"/>
      <c r="V41" s="3269">
        <f>I41</f>
        <v>0</v>
      </c>
      <c r="W41" s="3269"/>
      <c r="X41" s="756"/>
      <c r="Y41" s="778"/>
      <c r="Z41" s="756"/>
      <c r="AA41" s="756"/>
      <c r="AB41" s="756"/>
      <c r="AC41" s="756"/>
    </row>
    <row r="42" spans="1:29" ht="15" thickBot="1">
      <c r="A42" s="484" t="s">
        <v>2667</v>
      </c>
      <c r="B42" s="485"/>
      <c r="C42" s="1410" t="e">
        <f>R43</f>
        <v>#N/A</v>
      </c>
      <c r="D42" s="1411"/>
      <c r="E42" s="1412" t="e">
        <f>R42</f>
        <v>#N/A</v>
      </c>
      <c r="F42" s="1412"/>
      <c r="G42" s="1410" t="e">
        <f>T42</f>
        <v>#N/A</v>
      </c>
      <c r="H42" s="1411"/>
      <c r="I42" s="1412" t="e">
        <f>V42</f>
        <v>#N/A</v>
      </c>
      <c r="J42" s="1411"/>
      <c r="K42" s="781"/>
      <c r="L42" s="1140"/>
      <c r="M42" s="1141"/>
      <c r="N42" s="1128"/>
      <c r="O42" s="1141"/>
      <c r="P42" s="3198" t="str">
        <f>A42</f>
        <v>比较价值（元/平方米）</v>
      </c>
      <c r="Q42" s="3198"/>
      <c r="R42" s="3269" t="e">
        <f>IF(F1="售价",ROUND(PRODUCT(R41,AA7:AA40),0),ROUND(PRODUCT(R41,AA7:AA40),1))</f>
        <v>#N/A</v>
      </c>
      <c r="S42" s="3269"/>
      <c r="T42" s="3269" t="e">
        <f>IF(F1="售价",ROUND(PRODUCT(T41,AB7:AB40),0),ROUND(PRODUCT(T41,AB7:AB40),1))</f>
        <v>#N/A</v>
      </c>
      <c r="U42" s="3269"/>
      <c r="V42" s="3269" t="e">
        <f>IF(F1="售价",ROUND(PRODUCT(V41,AC7:AC40),0),ROUND(PRODUCT(V41,AC7:AC40),1))</f>
        <v>#N/A</v>
      </c>
      <c r="W42" s="3269"/>
      <c r="X42" s="756"/>
      <c r="Y42" s="756"/>
      <c r="Z42" s="756"/>
      <c r="AA42" s="756"/>
      <c r="AB42" s="756"/>
      <c r="AC42" s="756"/>
    </row>
    <row r="43" spans="1:29" ht="15" thickBot="1">
      <c r="A43" s="490" t="s">
        <v>2668</v>
      </c>
      <c r="B43" s="491"/>
      <c r="C43" s="1414" t="e">
        <f>R43</f>
        <v>#N/A</v>
      </c>
      <c r="D43" s="1414"/>
      <c r="E43" s="1414"/>
      <c r="F43" s="1414"/>
      <c r="G43" s="1414"/>
      <c r="H43" s="1414"/>
      <c r="I43" s="1414"/>
      <c r="J43" s="1414"/>
      <c r="K43" s="782"/>
      <c r="L43" s="1140"/>
      <c r="M43" s="1141"/>
      <c r="N43" s="1141"/>
      <c r="O43" s="1141"/>
      <c r="P43" s="3195" t="str">
        <f>A43</f>
        <v>估价对象XX用房的比较价值（楼面单价，元/平方米）</v>
      </c>
      <c r="Q43" s="3196"/>
      <c r="R43" s="3268" t="e">
        <f>IF(F1="售价",ROUND(AVERAGE(R42:V42),0),ROUND(AVERAGE(R42:V42),1))</f>
        <v>#N/A</v>
      </c>
      <c r="S43" s="3268"/>
      <c r="T43" s="3268"/>
      <c r="U43" s="3268"/>
      <c r="V43" s="3268"/>
      <c r="W43" s="326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2669</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2670</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2672</v>
      </c>
      <c r="B51" s="756"/>
      <c r="C51" s="761"/>
      <c r="D51" s="761"/>
      <c r="E51" s="761"/>
      <c r="F51" s="762"/>
      <c r="G51" s="762"/>
      <c r="H51" s="761"/>
      <c r="I51" s="761"/>
      <c r="J51" s="761"/>
      <c r="K51" s="1157"/>
      <c r="L51" s="1158"/>
      <c r="M51" s="1156"/>
      <c r="N51" s="1156"/>
      <c r="O51" s="1156"/>
      <c r="P51" s="501"/>
      <c r="Q51" s="502"/>
    </row>
    <row r="52" spans="1:17" s="506" customFormat="1" ht="14.4">
      <c r="A52" s="503" t="s">
        <v>2546</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c r="A53" s="507"/>
      <c r="B53" s="508"/>
      <c r="C53" s="1570">
        <v>100</v>
      </c>
      <c r="D53" s="510"/>
      <c r="E53" s="510"/>
      <c r="F53" s="510"/>
      <c r="G53" s="510"/>
      <c r="H53" s="510"/>
      <c r="I53" s="510"/>
      <c r="J53" s="510"/>
      <c r="K53" s="510"/>
      <c r="L53" s="510"/>
      <c r="M53" s="511"/>
      <c r="N53" s="510"/>
      <c r="O53" s="512"/>
      <c r="P53" s="502"/>
    </row>
    <row r="54" spans="1:17" s="116" customFormat="1" ht="15" thickBot="1">
      <c r="A54" s="513" t="s">
        <v>2583</v>
      </c>
      <c r="B54" s="514"/>
      <c r="C54" s="515"/>
      <c r="D54" s="516"/>
      <c r="E54" s="516"/>
      <c r="F54" s="516"/>
      <c r="G54" s="516"/>
      <c r="H54" s="516"/>
      <c r="I54" s="516"/>
      <c r="J54" s="516"/>
      <c r="K54" s="516"/>
      <c r="L54" s="516"/>
      <c r="M54" s="517"/>
      <c r="N54" s="516"/>
      <c r="O54" s="518"/>
      <c r="P54" s="502"/>
      <c r="Q54" s="502"/>
    </row>
    <row r="55" spans="1:17" s="116" customFormat="1" ht="14.4">
      <c r="A55" s="519" t="s">
        <v>2548</v>
      </c>
      <c r="B55" s="508"/>
      <c r="C55" s="520" t="s">
        <v>2650</v>
      </c>
      <c r="D55" s="521"/>
      <c r="E55" s="521"/>
      <c r="F55" s="521"/>
      <c r="G55" s="521"/>
      <c r="H55" s="521"/>
      <c r="I55" s="521"/>
      <c r="J55" s="521"/>
      <c r="K55" s="521"/>
      <c r="L55" s="522"/>
      <c r="M55" s="523"/>
      <c r="N55" s="1148"/>
      <c r="O55" s="1148"/>
      <c r="P55" s="524"/>
      <c r="Q55" s="502"/>
    </row>
    <row r="56" spans="1:17" s="116" customFormat="1" ht="14.4" thickBot="1">
      <c r="A56" s="519"/>
      <c r="B56" s="508"/>
      <c r="C56" s="637">
        <v>100</v>
      </c>
      <c r="D56" s="510"/>
      <c r="E56" s="510"/>
      <c r="F56" s="510"/>
      <c r="G56" s="510"/>
      <c r="H56" s="510"/>
      <c r="I56" s="510"/>
      <c r="J56" s="510"/>
      <c r="K56" s="510"/>
      <c r="L56" s="510"/>
      <c r="M56" s="512"/>
      <c r="N56" s="1148"/>
      <c r="O56" s="1148"/>
      <c r="P56" s="502"/>
      <c r="Q56" s="502"/>
    </row>
    <row r="57" spans="1:17" ht="14.4">
      <c r="A57" s="525" t="s">
        <v>2586</v>
      </c>
      <c r="B57" s="526" t="s">
        <v>2552</v>
      </c>
      <c r="C57" s="527">
        <f>C9</f>
        <v>0</v>
      </c>
      <c r="D57" s="528"/>
      <c r="E57" s="528"/>
      <c r="F57" s="528"/>
      <c r="G57" s="528"/>
      <c r="H57" s="528"/>
      <c r="I57" s="528"/>
      <c r="J57" s="528"/>
      <c r="K57" s="529"/>
      <c r="L57" s="530"/>
      <c r="M57" s="531"/>
      <c r="N57" s="1149"/>
      <c r="O57" s="1149"/>
      <c r="P57" s="45"/>
      <c r="Q57" s="502"/>
    </row>
    <row r="58" spans="1:17" ht="14.4" thickBot="1">
      <c r="A58" s="532"/>
      <c r="B58" s="533"/>
      <c r="C58" s="534">
        <v>100</v>
      </c>
      <c r="D58" s="534"/>
      <c r="E58" s="534"/>
      <c r="F58" s="534"/>
      <c r="G58" s="534"/>
      <c r="H58" s="534"/>
      <c r="I58" s="534"/>
      <c r="J58" s="534"/>
      <c r="K58" s="534"/>
      <c r="L58" s="534"/>
      <c r="M58" s="535"/>
      <c r="N58" s="1150"/>
      <c r="O58" s="1150"/>
      <c r="P58" s="45"/>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49"/>
      <c r="O59" s="1149"/>
      <c r="P59" s="45"/>
      <c r="Q59" s="502"/>
    </row>
    <row r="60" spans="1:17" ht="14.4"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 thickTop="1">
      <c r="A61" s="532"/>
      <c r="B61" s="544" t="s">
        <v>2556</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c r="A62" s="532"/>
      <c r="B62" s="546"/>
      <c r="C62" s="547">
        <v>0</v>
      </c>
      <c r="D62" s="547">
        <v>0.5</v>
      </c>
      <c r="E62" s="547">
        <v>1</v>
      </c>
      <c r="F62" s="547">
        <v>1.5</v>
      </c>
      <c r="G62" s="547">
        <v>2</v>
      </c>
      <c r="H62" s="547"/>
      <c r="I62" s="547"/>
      <c r="J62" s="547"/>
      <c r="K62" s="548"/>
      <c r="L62" s="549"/>
      <c r="M62" s="550"/>
      <c r="N62" s="1149"/>
      <c r="O62" s="1149"/>
      <c r="P62" s="45"/>
      <c r="Q62" s="502"/>
    </row>
    <row r="63" spans="1:17" ht="14.4"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4.4" thickTop="1">
      <c r="A64" s="551"/>
      <c r="B64" s="536">
        <f>B12</f>
        <v>111</v>
      </c>
      <c r="C64" s="552"/>
      <c r="D64" s="552"/>
      <c r="E64" s="552"/>
      <c r="F64" s="552"/>
      <c r="G64" s="552"/>
      <c r="H64" s="553"/>
      <c r="I64" s="553"/>
      <c r="J64" s="553"/>
      <c r="K64" s="553"/>
      <c r="L64" s="554"/>
      <c r="M64" s="555"/>
      <c r="N64" s="1151"/>
      <c r="O64" s="1151"/>
      <c r="P64" s="556"/>
      <c r="Q64" s="557"/>
    </row>
    <row r="65" spans="1:17" s="469" customFormat="1" ht="14.4" thickBot="1">
      <c r="A65" s="551"/>
      <c r="B65" s="541"/>
      <c r="C65" s="558"/>
      <c r="D65" s="534"/>
      <c r="E65" s="534"/>
      <c r="F65" s="534"/>
      <c r="G65" s="534"/>
      <c r="H65" s="534"/>
      <c r="I65" s="534"/>
      <c r="J65" s="534"/>
      <c r="K65" s="534"/>
      <c r="L65" s="534"/>
      <c r="M65" s="535"/>
      <c r="N65" s="1150"/>
      <c r="O65" s="1150"/>
      <c r="P65" s="556"/>
      <c r="Q65" s="557"/>
    </row>
    <row r="66" spans="1:17" s="469" customFormat="1" ht="14.4" thickTop="1">
      <c r="A66" s="551"/>
      <c r="B66" s="536">
        <f>B13</f>
        <v>111</v>
      </c>
      <c r="C66" s="552"/>
      <c r="D66" s="552"/>
      <c r="E66" s="552"/>
      <c r="F66" s="552"/>
      <c r="G66" s="552"/>
      <c r="H66" s="553"/>
      <c r="I66" s="553"/>
      <c r="J66" s="553"/>
      <c r="K66" s="553"/>
      <c r="L66" s="554"/>
      <c r="M66" s="555"/>
      <c r="N66" s="1151"/>
      <c r="O66" s="1151"/>
      <c r="P66" s="468"/>
      <c r="Q66" s="559"/>
    </row>
    <row r="67" spans="1:17" s="469" customFormat="1" ht="14.4" thickBot="1">
      <c r="A67" s="551"/>
      <c r="B67" s="541"/>
      <c r="C67" s="558"/>
      <c r="D67" s="534"/>
      <c r="E67" s="534"/>
      <c r="F67" s="534"/>
      <c r="G67" s="558"/>
      <c r="H67" s="560"/>
      <c r="I67" s="560"/>
      <c r="J67" s="560"/>
      <c r="K67" s="560"/>
      <c r="L67" s="560"/>
      <c r="M67" s="561"/>
      <c r="N67" s="1151"/>
      <c r="O67" s="1151"/>
      <c r="P67" s="556"/>
      <c r="Q67" s="557"/>
    </row>
    <row r="68" spans="1:17" s="469" customFormat="1" ht="14.4" thickTop="1">
      <c r="A68" s="551"/>
      <c r="B68" s="544">
        <f>B14</f>
        <v>111</v>
      </c>
      <c r="C68" s="521"/>
      <c r="D68" s="521"/>
      <c r="E68" s="521"/>
      <c r="F68" s="521"/>
      <c r="G68" s="521"/>
      <c r="H68" s="562"/>
      <c r="I68" s="562"/>
      <c r="J68" s="562"/>
      <c r="K68" s="562"/>
      <c r="L68" s="563"/>
      <c r="M68" s="564"/>
      <c r="N68" s="1151"/>
      <c r="O68" s="1151"/>
      <c r="P68" s="565"/>
      <c r="Q68" s="557"/>
    </row>
    <row r="69" spans="1:17" s="469" customFormat="1" ht="14.4" thickBot="1">
      <c r="A69" s="566"/>
      <c r="B69" s="567"/>
      <c r="C69" s="568"/>
      <c r="D69" s="568"/>
      <c r="E69" s="568"/>
      <c r="F69" s="568"/>
      <c r="G69" s="568"/>
      <c r="H69" s="569"/>
      <c r="I69" s="569"/>
      <c r="J69" s="569"/>
      <c r="K69" s="569"/>
      <c r="L69" s="569"/>
      <c r="M69" s="570"/>
      <c r="N69" s="1151"/>
      <c r="O69" s="1151"/>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49"/>
      <c r="O70" s="1149"/>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49"/>
      <c r="O72" s="1149"/>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49"/>
      <c r="O74" s="1149"/>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 thickTop="1">
      <c r="A76" s="532"/>
      <c r="B76" s="544" t="s">
        <v>2687</v>
      </c>
      <c r="C76" s="658" t="s">
        <v>2673</v>
      </c>
      <c r="D76" s="658" t="s">
        <v>2674</v>
      </c>
      <c r="E76" s="658" t="s">
        <v>2675</v>
      </c>
      <c r="F76" s="658" t="s">
        <v>2676</v>
      </c>
      <c r="G76" s="658" t="s">
        <v>2677</v>
      </c>
      <c r="H76" s="537"/>
      <c r="I76" s="537"/>
      <c r="J76" s="537"/>
      <c r="K76" s="537"/>
      <c r="L76" s="537"/>
      <c r="M76" s="1379"/>
      <c r="N76" s="1150"/>
      <c r="O76" s="1150"/>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49"/>
      <c r="O78" s="1149"/>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4.4" thickTop="1">
      <c r="A80" s="577"/>
      <c r="B80" s="536">
        <f>B25</f>
        <v>111</v>
      </c>
      <c r="C80" s="552"/>
      <c r="D80" s="552"/>
      <c r="E80" s="552"/>
      <c r="F80" s="552"/>
      <c r="G80" s="552"/>
      <c r="H80" s="552"/>
      <c r="I80" s="552"/>
      <c r="J80" s="552"/>
      <c r="K80" s="552"/>
      <c r="L80" s="578"/>
      <c r="M80" s="579"/>
      <c r="N80" s="1148"/>
      <c r="O80" s="1148"/>
      <c r="P80" s="45"/>
      <c r="Q80" s="502"/>
    </row>
    <row r="81" spans="1:17" s="116" customFormat="1" ht="14.4" thickBot="1">
      <c r="A81" s="577"/>
      <c r="B81" s="541"/>
      <c r="C81" s="558"/>
      <c r="D81" s="534"/>
      <c r="E81" s="534"/>
      <c r="F81" s="534"/>
      <c r="G81" s="534"/>
      <c r="H81" s="534"/>
      <c r="I81" s="534"/>
      <c r="J81" s="534"/>
      <c r="K81" s="534"/>
      <c r="L81" s="534"/>
      <c r="M81" s="535"/>
      <c r="N81" s="1150"/>
      <c r="O81" s="1150"/>
      <c r="P81" s="45"/>
      <c r="Q81" s="502"/>
    </row>
    <row r="82" spans="1:17" s="116" customFormat="1" ht="14.4" thickTop="1">
      <c r="A82" s="577"/>
      <c r="B82" s="536">
        <f>B26</f>
        <v>111</v>
      </c>
      <c r="C82" s="552"/>
      <c r="D82" s="552"/>
      <c r="E82" s="552"/>
      <c r="F82" s="552"/>
      <c r="G82" s="552"/>
      <c r="H82" s="552"/>
      <c r="I82" s="552"/>
      <c r="J82" s="552"/>
      <c r="K82" s="552"/>
      <c r="L82" s="578"/>
      <c r="M82" s="579"/>
      <c r="N82" s="1148"/>
      <c r="O82" s="1148"/>
      <c r="P82" s="45"/>
      <c r="Q82" s="502"/>
    </row>
    <row r="83" spans="1:17" s="116" customFormat="1" ht="14.4" thickBot="1">
      <c r="A83" s="577"/>
      <c r="B83" s="541"/>
      <c r="C83" s="558"/>
      <c r="D83" s="534"/>
      <c r="E83" s="534"/>
      <c r="F83" s="534"/>
      <c r="G83" s="534"/>
      <c r="H83" s="534"/>
      <c r="I83" s="534"/>
      <c r="J83" s="534"/>
      <c r="K83" s="534"/>
      <c r="L83" s="534"/>
      <c r="M83" s="535"/>
      <c r="N83" s="1150"/>
      <c r="O83" s="1150"/>
      <c r="P83" s="45"/>
      <c r="Q83" s="502"/>
    </row>
    <row r="84" spans="1:17" s="469" customFormat="1" ht="14.4" thickTop="1">
      <c r="A84" s="551"/>
      <c r="B84" s="536">
        <f>B27</f>
        <v>111</v>
      </c>
      <c r="C84" s="552"/>
      <c r="D84" s="552"/>
      <c r="E84" s="552"/>
      <c r="F84" s="552"/>
      <c r="G84" s="552"/>
      <c r="H84" s="552"/>
      <c r="I84" s="552"/>
      <c r="J84" s="552"/>
      <c r="K84" s="552"/>
      <c r="L84" s="578"/>
      <c r="M84" s="579"/>
      <c r="N84" s="1151"/>
      <c r="O84" s="1151"/>
      <c r="P84" s="556"/>
      <c r="Q84" s="557"/>
    </row>
    <row r="85" spans="1:17" s="469" customFormat="1" ht="14.4" thickBot="1">
      <c r="A85" s="551"/>
      <c r="B85" s="541"/>
      <c r="C85" s="558"/>
      <c r="D85" s="534"/>
      <c r="E85" s="534"/>
      <c r="F85" s="534"/>
      <c r="G85" s="534"/>
      <c r="H85" s="534"/>
      <c r="I85" s="534"/>
      <c r="J85" s="534"/>
      <c r="K85" s="534"/>
      <c r="L85" s="534"/>
      <c r="M85" s="535"/>
      <c r="N85" s="1151"/>
      <c r="O85" s="1151"/>
      <c r="P85" s="556"/>
      <c r="Q85" s="557"/>
    </row>
    <row r="86" spans="1:17" ht="14.4" thickTop="1">
      <c r="A86" s="532"/>
      <c r="B86" s="544">
        <f>B28</f>
        <v>111</v>
      </c>
      <c r="C86" s="521"/>
      <c r="D86" s="521"/>
      <c r="E86" s="521"/>
      <c r="F86" s="521"/>
      <c r="G86" s="585"/>
      <c r="H86" s="585"/>
      <c r="I86" s="585"/>
      <c r="J86" s="585"/>
      <c r="K86" s="586"/>
      <c r="L86" s="587"/>
      <c r="M86" s="588"/>
      <c r="N86" s="1149"/>
      <c r="O86" s="1149"/>
      <c r="P86" s="45"/>
      <c r="Q86" s="502"/>
    </row>
    <row r="87" spans="1:17" ht="14.4" thickBot="1">
      <c r="A87" s="2627"/>
      <c r="B87" s="567"/>
      <c r="C87" s="568"/>
      <c r="D87" s="568"/>
      <c r="E87" s="568"/>
      <c r="F87" s="568"/>
      <c r="G87" s="589"/>
      <c r="H87" s="589"/>
      <c r="I87" s="589"/>
      <c r="J87" s="589"/>
      <c r="K87" s="589"/>
      <c r="L87" s="589"/>
      <c r="M87" s="590"/>
      <c r="N87" s="1150"/>
      <c r="O87" s="1150"/>
      <c r="P87" s="45"/>
      <c r="Q87" s="502"/>
    </row>
    <row r="88" spans="1:17" ht="14.4">
      <c r="A88" s="525" t="s">
        <v>2561</v>
      </c>
      <c r="B88" s="526" t="s">
        <v>2610</v>
      </c>
      <c r="C88" s="528"/>
      <c r="D88" s="528"/>
      <c r="E88" s="528"/>
      <c r="F88" s="528"/>
      <c r="G88" s="528"/>
      <c r="H88" s="528"/>
      <c r="I88" s="528"/>
      <c r="J88" s="528"/>
      <c r="K88" s="529"/>
      <c r="L88" s="530"/>
      <c r="M88" s="531"/>
      <c r="N88" s="1149"/>
      <c r="O88" s="1149"/>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4.4"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2612</v>
      </c>
      <c r="C93" s="552"/>
      <c r="D93" s="552"/>
      <c r="E93" s="581"/>
      <c r="F93" s="581"/>
      <c r="G93" s="581"/>
      <c r="H93" s="581"/>
      <c r="I93" s="581"/>
      <c r="J93" s="581"/>
      <c r="K93" s="582"/>
      <c r="L93" s="583"/>
      <c r="M93" s="584"/>
      <c r="N93" s="1149"/>
      <c r="O93" s="1149"/>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2614</v>
      </c>
      <c r="C95" s="552"/>
      <c r="D95" s="552"/>
      <c r="E95" s="552"/>
      <c r="F95" s="581"/>
      <c r="G95" s="581"/>
      <c r="H95" s="581"/>
      <c r="I95" s="581"/>
      <c r="J95" s="581"/>
      <c r="K95" s="582"/>
      <c r="L95" s="583"/>
      <c r="M95" s="584"/>
      <c r="N95" s="1149"/>
      <c r="O95" s="1149"/>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2615</v>
      </c>
      <c r="C100" s="552"/>
      <c r="D100" s="552"/>
      <c r="E100" s="552"/>
      <c r="F100" s="552"/>
      <c r="G100" s="552"/>
      <c r="H100" s="581"/>
      <c r="I100" s="581"/>
      <c r="J100" s="581"/>
      <c r="K100" s="582"/>
      <c r="L100" s="583"/>
      <c r="M100" s="584"/>
      <c r="N100" s="1151"/>
      <c r="O100" s="1151"/>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2616</v>
      </c>
      <c r="C102" s="552"/>
      <c r="D102" s="552"/>
      <c r="E102" s="552"/>
      <c r="F102" s="552"/>
      <c r="G102" s="552"/>
      <c r="H102" s="581"/>
      <c r="I102" s="581"/>
      <c r="J102" s="581"/>
      <c r="K102" s="582"/>
      <c r="L102" s="583"/>
      <c r="M102" s="584"/>
      <c r="N102" s="1149"/>
      <c r="O102" s="1149"/>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2618</v>
      </c>
      <c r="C104" s="552"/>
      <c r="D104" s="552"/>
      <c r="E104" s="552"/>
      <c r="F104" s="552"/>
      <c r="G104" s="552"/>
      <c r="H104" s="581"/>
      <c r="I104" s="581"/>
      <c r="J104" s="581"/>
      <c r="K104" s="582"/>
      <c r="L104" s="583"/>
      <c r="M104" s="584"/>
      <c r="N104" s="1149"/>
      <c r="O104" s="1149"/>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0"/>
      <c r="O106" s="1150"/>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4.4"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4.4" thickBot="1">
      <c r="A109" s="551"/>
      <c r="B109" s="533"/>
      <c r="C109" s="558"/>
      <c r="D109" s="534"/>
      <c r="E109" s="534"/>
      <c r="F109" s="534"/>
      <c r="G109" s="558"/>
      <c r="H109" s="560"/>
      <c r="I109" s="560"/>
      <c r="J109" s="560"/>
      <c r="K109" s="560"/>
      <c r="L109" s="560"/>
      <c r="M109" s="561"/>
      <c r="N109" s="1151"/>
      <c r="O109" s="1151"/>
      <c r="P109" s="556"/>
      <c r="Q109" s="557"/>
    </row>
    <row r="110" spans="1:17" ht="14.4" thickTop="1">
      <c r="A110" s="597"/>
      <c r="B110" s="536">
        <f>B39</f>
        <v>111</v>
      </c>
      <c r="C110" s="552"/>
      <c r="D110" s="552"/>
      <c r="E110" s="552"/>
      <c r="F110" s="552"/>
      <c r="G110" s="552"/>
      <c r="H110" s="553"/>
      <c r="I110" s="553"/>
      <c r="J110" s="553"/>
      <c r="K110" s="553"/>
      <c r="L110" s="554"/>
      <c r="M110" s="555"/>
      <c r="N110" s="1149"/>
      <c r="O110" s="1149"/>
      <c r="P110" s="45"/>
      <c r="Q110" s="502"/>
    </row>
    <row r="111" spans="1:17" ht="14.4" thickBot="1">
      <c r="A111" s="532"/>
      <c r="B111" s="541"/>
      <c r="C111" s="558"/>
      <c r="D111" s="534"/>
      <c r="E111" s="534"/>
      <c r="F111" s="534"/>
      <c r="G111" s="558"/>
      <c r="H111" s="560"/>
      <c r="I111" s="560"/>
      <c r="J111" s="560"/>
      <c r="K111" s="560"/>
      <c r="L111" s="560"/>
      <c r="M111" s="561"/>
      <c r="N111" s="1150"/>
      <c r="O111" s="1150"/>
      <c r="P111" s="45"/>
      <c r="Q111" s="502"/>
    </row>
    <row r="112" spans="1:17" ht="14.4" thickTop="1">
      <c r="A112" s="597"/>
      <c r="B112" s="544">
        <f>B40</f>
        <v>111</v>
      </c>
      <c r="C112" s="521"/>
      <c r="D112" s="521"/>
      <c r="E112" s="521"/>
      <c r="F112" s="521"/>
      <c r="G112" s="585"/>
      <c r="H112" s="585"/>
      <c r="I112" s="585"/>
      <c r="J112" s="585"/>
      <c r="K112" s="521"/>
      <c r="L112" s="522"/>
      <c r="M112" s="588"/>
      <c r="N112" s="1149"/>
      <c r="O112" s="1149"/>
      <c r="P112" s="45"/>
      <c r="Q112" s="502"/>
    </row>
    <row r="113" spans="1:17" ht="14.4"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2705</v>
      </c>
      <c r="B1" s="1616"/>
      <c r="C1" s="1617" t="s">
        <v>2528</v>
      </c>
      <c r="D1" s="1618"/>
      <c r="E1" s="1619"/>
      <c r="F1" s="2575"/>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2325</v>
      </c>
      <c r="B2" s="1415" t="e">
        <f ca="1">IF(C2="——",IF(B37="元/平方米",ROUND(C39*D3/10000,0),ROUND(F3*C39/10000,0)),IF(B37="元/平方米",ROUND(C39*D3/10000,0),ROUND(F3*C39/10000,0))-D2)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 thickBot="1">
      <c r="A7" s="406" t="s">
        <v>2546</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20" t="s">
        <v>2547</v>
      </c>
      <c r="Q7" s="3233"/>
      <c r="R7" s="767" t="s">
        <v>17</v>
      </c>
      <c r="S7" s="768">
        <f t="shared" ref="S7:S14" si="0">F7</f>
        <v>0</v>
      </c>
      <c r="T7" s="767" t="s">
        <v>17</v>
      </c>
      <c r="U7" s="768">
        <f t="shared" ref="U7:U14" si="1">H7</f>
        <v>0</v>
      </c>
      <c r="V7" s="767" t="s">
        <v>17</v>
      </c>
      <c r="W7" s="768">
        <f t="shared" ref="W7:W14" si="2">J7</f>
        <v>0</v>
      </c>
      <c r="X7" s="769"/>
      <c r="Y7" s="3220" t="s">
        <v>2547</v>
      </c>
      <c r="Z7" s="3221"/>
      <c r="AA7" s="770" t="e">
        <f>D7/F7</f>
        <v>#DIV/0!</v>
      </c>
      <c r="AB7" s="770" t="e">
        <f>D7/H7</f>
        <v>#DIV/0!</v>
      </c>
      <c r="AC7" s="770" t="e">
        <f>D7/J7</f>
        <v>#DIV/0!</v>
      </c>
    </row>
    <row r="8" spans="1:29" s="116"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36" si="3">D8/F8</f>
        <v>#DIV/0!</v>
      </c>
      <c r="AB8" s="770" t="e">
        <f t="shared" ref="AB8:AB36" si="4">D8/H8</f>
        <v>#DIV/0!</v>
      </c>
      <c r="AC8" s="770" t="e">
        <f t="shared" ref="AC8:AC36" si="5">D8/J8</f>
        <v>#DIV/0!</v>
      </c>
    </row>
    <row r="9" spans="1:29" s="116" customFormat="1" ht="14.4">
      <c r="A9" s="68"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8" t="s">
        <v>2553</v>
      </c>
      <c r="Q9" s="1784" t="str">
        <f t="shared" ref="Q9:Q14" si="6">B9</f>
        <v>用途</v>
      </c>
      <c r="R9" s="767" t="s">
        <v>17</v>
      </c>
      <c r="S9" s="768">
        <f t="shared" si="0"/>
        <v>100</v>
      </c>
      <c r="T9" s="767" t="s">
        <v>17</v>
      </c>
      <c r="U9" s="768">
        <f t="shared" si="1"/>
        <v>100</v>
      </c>
      <c r="V9" s="767" t="s">
        <v>17</v>
      </c>
      <c r="W9" s="768">
        <f t="shared" si="2"/>
        <v>100</v>
      </c>
      <c r="X9" s="769"/>
      <c r="Y9" s="3047" t="s">
        <v>2554</v>
      </c>
      <c r="Z9" s="55" t="str">
        <f t="shared" ref="Z9:Z14" si="7">Q9</f>
        <v>用途</v>
      </c>
      <c r="AA9" s="770">
        <f t="shared" si="3"/>
        <v>1</v>
      </c>
      <c r="AB9" s="770">
        <f t="shared" si="4"/>
        <v>1</v>
      </c>
      <c r="AC9" s="770">
        <f t="shared" si="5"/>
        <v>1</v>
      </c>
    </row>
    <row r="10" spans="1:29" s="425" customFormat="1" ht="28.8">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8"/>
      <c r="Q11" s="178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96.6">
      <c r="A14" s="399" t="s">
        <v>2557</v>
      </c>
      <c r="B14" s="627" t="s">
        <v>2707</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01" t="s">
        <v>2558</v>
      </c>
      <c r="Q14" s="1799" t="str">
        <f t="shared" si="6"/>
        <v>交通便捷度</v>
      </c>
      <c r="R14" s="771" t="s">
        <v>17</v>
      </c>
      <c r="S14" s="772">
        <f t="shared" si="0"/>
        <v>100</v>
      </c>
      <c r="T14" s="771" t="s">
        <v>17</v>
      </c>
      <c r="U14" s="772">
        <f t="shared" si="1"/>
        <v>100</v>
      </c>
      <c r="V14" s="771" t="s">
        <v>17</v>
      </c>
      <c r="W14" s="772">
        <f t="shared" si="2"/>
        <v>100</v>
      </c>
      <c r="X14" s="1802"/>
      <c r="Y14" s="3201" t="s">
        <v>2558</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202"/>
      <c r="Q15" s="1799"/>
      <c r="R15" s="771"/>
      <c r="S15" s="772"/>
      <c r="T15" s="771"/>
      <c r="U15" s="772"/>
      <c r="V15" s="771"/>
      <c r="W15" s="772"/>
      <c r="X15" s="1802"/>
      <c r="Y15" s="3202"/>
      <c r="Z15" s="1803"/>
      <c r="AA15" s="1800">
        <v>1</v>
      </c>
      <c r="AB15" s="1800">
        <v>1</v>
      </c>
      <c r="AC15" s="1800">
        <v>1</v>
      </c>
    </row>
    <row r="16" spans="1:29" ht="41.4">
      <c r="A16" s="402"/>
      <c r="B16" s="629" t="s">
        <v>2686</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02"/>
      <c r="Q16" s="1799" t="str">
        <f>B16</f>
        <v>公共配套设施</v>
      </c>
      <c r="R16" s="771" t="s">
        <v>17</v>
      </c>
      <c r="S16" s="772">
        <f>F16</f>
        <v>100</v>
      </c>
      <c r="T16" s="771" t="s">
        <v>17</v>
      </c>
      <c r="U16" s="772">
        <f>H16</f>
        <v>100</v>
      </c>
      <c r="V16" s="771" t="s">
        <v>17</v>
      </c>
      <c r="W16" s="772">
        <f>J16</f>
        <v>100</v>
      </c>
      <c r="X16" s="1802"/>
      <c r="Y16" s="3202"/>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202"/>
      <c r="Q17" s="1799"/>
      <c r="R17" s="771"/>
      <c r="S17" s="772"/>
      <c r="T17" s="771"/>
      <c r="U17" s="772"/>
      <c r="V17" s="771"/>
      <c r="W17" s="772"/>
      <c r="X17" s="1802"/>
      <c r="Y17" s="3202"/>
      <c r="Z17" s="1803"/>
      <c r="AA17" s="1800">
        <v>1</v>
      </c>
      <c r="AB17" s="1800">
        <v>1</v>
      </c>
      <c r="AC17" s="1800">
        <v>1</v>
      </c>
    </row>
    <row r="18" spans="1:29" ht="41.4">
      <c r="A18" s="402"/>
      <c r="B18" s="631" t="s">
        <v>2687</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02"/>
      <c r="Q18" s="1799" t="str">
        <f>B18</f>
        <v>基础设施水平</v>
      </c>
      <c r="R18" s="771" t="s">
        <v>17</v>
      </c>
      <c r="S18" s="772">
        <f>F18</f>
        <v>100</v>
      </c>
      <c r="T18" s="771" t="s">
        <v>17</v>
      </c>
      <c r="U18" s="772">
        <f>H18</f>
        <v>100</v>
      </c>
      <c r="V18" s="771" t="s">
        <v>17</v>
      </c>
      <c r="W18" s="772">
        <f>J18</f>
        <v>100</v>
      </c>
      <c r="X18" s="1802"/>
      <c r="Y18" s="3202"/>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202"/>
      <c r="Q19" s="1799"/>
      <c r="R19" s="771"/>
      <c r="S19" s="772"/>
      <c r="T19" s="771"/>
      <c r="U19" s="772"/>
      <c r="V19" s="771"/>
      <c r="W19" s="772"/>
      <c r="X19" s="1802"/>
      <c r="Y19" s="3202"/>
      <c r="Z19" s="1803"/>
      <c r="AA19" s="1800">
        <v>1</v>
      </c>
      <c r="AB19" s="1800">
        <v>1</v>
      </c>
      <c r="AC19" s="1800">
        <v>1</v>
      </c>
    </row>
    <row r="20" spans="1:29" ht="55.2">
      <c r="A20" s="402"/>
      <c r="B20" s="629" t="s">
        <v>2708</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02"/>
      <c r="Q20" s="1799" t="str">
        <f>B20</f>
        <v>自然及人文环境</v>
      </c>
      <c r="R20" s="771" t="s">
        <v>17</v>
      </c>
      <c r="S20" s="772">
        <f>F20</f>
        <v>100</v>
      </c>
      <c r="T20" s="771" t="s">
        <v>17</v>
      </c>
      <c r="U20" s="772">
        <f>H20</f>
        <v>100</v>
      </c>
      <c r="V20" s="771" t="s">
        <v>17</v>
      </c>
      <c r="W20" s="772">
        <f>J20</f>
        <v>100</v>
      </c>
      <c r="X20" s="1802"/>
      <c r="Y20" s="3202"/>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202"/>
      <c r="Q21" s="1799"/>
      <c r="R21" s="771"/>
      <c r="S21" s="772"/>
      <c r="T21" s="771"/>
      <c r="U21" s="772"/>
      <c r="V21" s="771"/>
      <c r="W21" s="772"/>
      <c r="X21" s="1802"/>
      <c r="Y21" s="3202"/>
      <c r="Z21" s="1803"/>
      <c r="AA21" s="1800">
        <v>1</v>
      </c>
      <c r="AB21" s="1800">
        <v>1</v>
      </c>
      <c r="AC21" s="180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02"/>
      <c r="Q22" s="1799" t="str">
        <f>B22</f>
        <v>楼层</v>
      </c>
      <c r="R22" s="771" t="s">
        <v>17</v>
      </c>
      <c r="S22" s="772">
        <f>F22</f>
        <v>100</v>
      </c>
      <c r="T22" s="771" t="s">
        <v>17</v>
      </c>
      <c r="U22" s="772">
        <f>H22</f>
        <v>100</v>
      </c>
      <c r="V22" s="771" t="s">
        <v>17</v>
      </c>
      <c r="W22" s="772">
        <f>J22</f>
        <v>100</v>
      </c>
      <c r="X22" s="1802"/>
      <c r="Y22" s="3202"/>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02"/>
      <c r="Q23" s="1799">
        <f>B23</f>
        <v>111</v>
      </c>
      <c r="R23" s="771" t="s">
        <v>17</v>
      </c>
      <c r="S23" s="772">
        <f>F23</f>
        <v>100</v>
      </c>
      <c r="T23" s="771" t="s">
        <v>17</v>
      </c>
      <c r="U23" s="772">
        <f>H23</f>
        <v>100</v>
      </c>
      <c r="V23" s="771" t="s">
        <v>17</v>
      </c>
      <c r="W23" s="772">
        <f>J23</f>
        <v>100</v>
      </c>
      <c r="X23" s="1802"/>
      <c r="Y23" s="3202"/>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02"/>
      <c r="Q24" s="1799">
        <f t="shared" ref="Q24:Q36" si="11">B24</f>
        <v>111</v>
      </c>
      <c r="R24" s="771" t="s">
        <v>17</v>
      </c>
      <c r="S24" s="772">
        <f>F24</f>
        <v>100</v>
      </c>
      <c r="T24" s="771" t="s">
        <v>17</v>
      </c>
      <c r="U24" s="772">
        <f>H24</f>
        <v>100</v>
      </c>
      <c r="V24" s="771" t="s">
        <v>17</v>
      </c>
      <c r="W24" s="772">
        <f>J24</f>
        <v>100</v>
      </c>
      <c r="X24" s="1802"/>
      <c r="Y24" s="3202"/>
      <c r="Z24" s="1803">
        <f>Q24</f>
        <v>111</v>
      </c>
      <c r="AA24" s="1800">
        <f t="shared" si="3"/>
        <v>1</v>
      </c>
      <c r="AB24" s="1800">
        <f t="shared" si="4"/>
        <v>1</v>
      </c>
      <c r="AC24" s="1800">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02"/>
      <c r="Q25" s="1784">
        <f t="shared" si="11"/>
        <v>111</v>
      </c>
      <c r="R25" s="767" t="s">
        <v>17</v>
      </c>
      <c r="S25" s="768">
        <f>F25</f>
        <v>100</v>
      </c>
      <c r="T25" s="767" t="s">
        <v>17</v>
      </c>
      <c r="U25" s="768">
        <f>H25</f>
        <v>100</v>
      </c>
      <c r="V25" s="767" t="s">
        <v>17</v>
      </c>
      <c r="W25" s="768">
        <f>J25</f>
        <v>100</v>
      </c>
      <c r="X25" s="769"/>
      <c r="Y25" s="3202"/>
      <c r="Z25" s="55">
        <f>Q25</f>
        <v>111</v>
      </c>
      <c r="AA25" s="1800">
        <f>D25/F25</f>
        <v>1</v>
      </c>
      <c r="AB25" s="1800">
        <f>D25/H25</f>
        <v>1</v>
      </c>
      <c r="AC25" s="1800">
        <f>D25/J25</f>
        <v>1</v>
      </c>
    </row>
    <row r="26" spans="1:29" ht="30">
      <c r="A26" s="650" t="s">
        <v>2561</v>
      </c>
      <c r="B26" s="70" t="s">
        <v>2710</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03" t="s">
        <v>2563</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04" t="s">
        <v>2563</v>
      </c>
      <c r="Z26" s="1803" t="str">
        <f t="shared" ref="Z26:Z36" si="15">Q26</f>
        <v>配套类型</v>
      </c>
      <c r="AA26" s="1800">
        <f t="shared" si="3"/>
        <v>1</v>
      </c>
      <c r="AB26" s="1800">
        <f t="shared" si="4"/>
        <v>1</v>
      </c>
      <c r="AC26" s="180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04"/>
      <c r="Q27" s="773" t="str">
        <f t="shared" si="11"/>
        <v>项目停车位配比</v>
      </c>
      <c r="R27" s="774" t="s">
        <v>17</v>
      </c>
      <c r="S27" s="775">
        <f t="shared" si="12"/>
        <v>100</v>
      </c>
      <c r="T27" s="774" t="s">
        <v>17</v>
      </c>
      <c r="U27" s="775">
        <f t="shared" si="13"/>
        <v>100</v>
      </c>
      <c r="V27" s="774" t="s">
        <v>17</v>
      </c>
      <c r="W27" s="775">
        <f t="shared" si="14"/>
        <v>100</v>
      </c>
      <c r="X27" s="776"/>
      <c r="Y27" s="3204"/>
      <c r="Z27" s="777" t="str">
        <f t="shared" si="15"/>
        <v>项目停车位配比</v>
      </c>
      <c r="AA27" s="1800">
        <f t="shared" si="3"/>
        <v>1</v>
      </c>
      <c r="AB27" s="1800">
        <f t="shared" si="4"/>
        <v>1</v>
      </c>
      <c r="AC27" s="180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04"/>
      <c r="Q28" s="1799" t="str">
        <f t="shared" si="11"/>
        <v>公共部分装修</v>
      </c>
      <c r="R28" s="771" t="s">
        <v>17</v>
      </c>
      <c r="S28" s="772">
        <f t="shared" si="12"/>
        <v>100</v>
      </c>
      <c r="T28" s="771" t="s">
        <v>17</v>
      </c>
      <c r="U28" s="772">
        <f t="shared" si="13"/>
        <v>100</v>
      </c>
      <c r="V28" s="771" t="s">
        <v>17</v>
      </c>
      <c r="W28" s="772">
        <f t="shared" si="14"/>
        <v>100</v>
      </c>
      <c r="X28" s="1802"/>
      <c r="Y28" s="3204"/>
      <c r="Z28" s="1803" t="str">
        <f t="shared" si="15"/>
        <v>公共部分装修</v>
      </c>
      <c r="AA28" s="1800">
        <f t="shared" si="3"/>
        <v>1</v>
      </c>
      <c r="AB28" s="1800">
        <f t="shared" si="4"/>
        <v>1</v>
      </c>
      <c r="AC28" s="180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04"/>
      <c r="Q29" s="1799" t="str">
        <f t="shared" si="11"/>
        <v>成新率</v>
      </c>
      <c r="R29" s="771" t="s">
        <v>17</v>
      </c>
      <c r="S29" s="772" t="e">
        <f t="shared" si="12"/>
        <v>#N/A</v>
      </c>
      <c r="T29" s="771" t="s">
        <v>17</v>
      </c>
      <c r="U29" s="772" t="e">
        <f t="shared" si="13"/>
        <v>#N/A</v>
      </c>
      <c r="V29" s="771" t="s">
        <v>17</v>
      </c>
      <c r="W29" s="772" t="e">
        <f t="shared" si="14"/>
        <v>#N/A</v>
      </c>
      <c r="X29" s="1802"/>
      <c r="Y29" s="3204"/>
      <c r="Z29" s="1803" t="str">
        <f t="shared" si="15"/>
        <v>成新率</v>
      </c>
      <c r="AA29" s="1800" t="e">
        <f t="shared" si="3"/>
        <v>#N/A</v>
      </c>
      <c r="AB29" s="1800" t="e">
        <f t="shared" si="4"/>
        <v>#N/A</v>
      </c>
      <c r="AC29" s="180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04"/>
      <c r="Q30" s="1799" t="str">
        <f t="shared" si="11"/>
        <v>物业等级</v>
      </c>
      <c r="R30" s="771" t="s">
        <v>17</v>
      </c>
      <c r="S30" s="772">
        <f t="shared" si="12"/>
        <v>100</v>
      </c>
      <c r="T30" s="771" t="s">
        <v>17</v>
      </c>
      <c r="U30" s="772">
        <f t="shared" si="13"/>
        <v>100</v>
      </c>
      <c r="V30" s="771" t="s">
        <v>17</v>
      </c>
      <c r="W30" s="772">
        <f t="shared" si="14"/>
        <v>100</v>
      </c>
      <c r="X30" s="1802"/>
      <c r="Y30" s="3204"/>
      <c r="Z30" s="1803" t="str">
        <f t="shared" si="15"/>
        <v>物业等级</v>
      </c>
      <c r="AA30" s="1800">
        <f t="shared" si="3"/>
        <v>1</v>
      </c>
      <c r="AB30" s="1800">
        <f t="shared" si="4"/>
        <v>1</v>
      </c>
      <c r="AC30" s="1800">
        <f t="shared" si="5"/>
        <v>1</v>
      </c>
    </row>
    <row r="31" spans="1:29" s="116"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04"/>
      <c r="Q31" s="1784" t="str">
        <f t="shared" si="11"/>
        <v>停车位面积</v>
      </c>
      <c r="R31" s="767" t="s">
        <v>17</v>
      </c>
      <c r="S31" s="768" t="e">
        <f t="shared" si="12"/>
        <v>#N/A</v>
      </c>
      <c r="T31" s="767" t="s">
        <v>17</v>
      </c>
      <c r="U31" s="768" t="e">
        <f t="shared" si="13"/>
        <v>#N/A</v>
      </c>
      <c r="V31" s="767" t="s">
        <v>17</v>
      </c>
      <c r="W31" s="768" t="e">
        <f t="shared" si="14"/>
        <v>#N/A</v>
      </c>
      <c r="X31" s="769"/>
      <c r="Y31" s="3204"/>
      <c r="Z31" s="55"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04" t="s">
        <v>2563</v>
      </c>
      <c r="Q32" s="1799" t="str">
        <f t="shared" si="11"/>
        <v>车位类型</v>
      </c>
      <c r="R32" s="771" t="s">
        <v>17</v>
      </c>
      <c r="S32" s="772">
        <f t="shared" si="12"/>
        <v>100</v>
      </c>
      <c r="T32" s="771" t="s">
        <v>17</v>
      </c>
      <c r="U32" s="772">
        <f t="shared" si="13"/>
        <v>100</v>
      </c>
      <c r="V32" s="771" t="s">
        <v>17</v>
      </c>
      <c r="W32" s="772">
        <f t="shared" si="14"/>
        <v>100</v>
      </c>
      <c r="X32" s="1802"/>
      <c r="Y32" s="3204" t="s">
        <v>2563</v>
      </c>
      <c r="Z32" s="1803" t="str">
        <f t="shared" si="15"/>
        <v>车位类型</v>
      </c>
      <c r="AA32" s="1800">
        <f t="shared" si="3"/>
        <v>1</v>
      </c>
      <c r="AB32" s="1800">
        <f t="shared" si="4"/>
        <v>1</v>
      </c>
      <c r="AC32" s="180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04"/>
      <c r="Q33" s="1799" t="str">
        <f t="shared" si="11"/>
        <v>是否直接入户</v>
      </c>
      <c r="R33" s="771" t="s">
        <v>17</v>
      </c>
      <c r="S33" s="772">
        <f t="shared" si="12"/>
        <v>100</v>
      </c>
      <c r="T33" s="771" t="s">
        <v>17</v>
      </c>
      <c r="U33" s="772">
        <f t="shared" si="13"/>
        <v>100</v>
      </c>
      <c r="V33" s="771" t="s">
        <v>17</v>
      </c>
      <c r="W33" s="772">
        <f t="shared" si="14"/>
        <v>100</v>
      </c>
      <c r="X33" s="1802"/>
      <c r="Y33" s="3204"/>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04"/>
      <c r="Q34" s="1799">
        <f t="shared" si="11"/>
        <v>111</v>
      </c>
      <c r="R34" s="771" t="s">
        <v>17</v>
      </c>
      <c r="S34" s="772">
        <f t="shared" si="12"/>
        <v>100</v>
      </c>
      <c r="T34" s="771" t="s">
        <v>17</v>
      </c>
      <c r="U34" s="772">
        <f t="shared" si="13"/>
        <v>100</v>
      </c>
      <c r="V34" s="771" t="s">
        <v>17</v>
      </c>
      <c r="W34" s="772">
        <f t="shared" si="14"/>
        <v>100</v>
      </c>
      <c r="X34" s="1802"/>
      <c r="Y34" s="3204"/>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04"/>
      <c r="Q35" s="773">
        <f t="shared" si="11"/>
        <v>111</v>
      </c>
      <c r="R35" s="774" t="s">
        <v>17</v>
      </c>
      <c r="S35" s="775">
        <f t="shared" si="12"/>
        <v>100</v>
      </c>
      <c r="T35" s="774" t="s">
        <v>17</v>
      </c>
      <c r="U35" s="775">
        <f t="shared" si="13"/>
        <v>100</v>
      </c>
      <c r="V35" s="774" t="s">
        <v>17</v>
      </c>
      <c r="W35" s="775">
        <f t="shared" si="14"/>
        <v>100</v>
      </c>
      <c r="X35" s="776"/>
      <c r="Y35" s="3204"/>
      <c r="Z35" s="777">
        <f t="shared" si="15"/>
        <v>111</v>
      </c>
      <c r="AA35" s="1800">
        <f t="shared" si="3"/>
        <v>1</v>
      </c>
      <c r="AB35" s="1800">
        <f t="shared" si="4"/>
        <v>1</v>
      </c>
      <c r="AC35" s="180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04"/>
      <c r="Q36" s="1799">
        <f t="shared" si="11"/>
        <v>111</v>
      </c>
      <c r="R36" s="771" t="s">
        <v>17</v>
      </c>
      <c r="S36" s="772">
        <f t="shared" si="12"/>
        <v>100</v>
      </c>
      <c r="T36" s="771" t="s">
        <v>17</v>
      </c>
      <c r="U36" s="772">
        <f t="shared" si="13"/>
        <v>100</v>
      </c>
      <c r="V36" s="771" t="s">
        <v>17</v>
      </c>
      <c r="W36" s="772">
        <f t="shared" si="14"/>
        <v>100</v>
      </c>
      <c r="X36" s="1802"/>
      <c r="Y36" s="3204"/>
      <c r="Z36" s="1803">
        <f t="shared" si="15"/>
        <v>111</v>
      </c>
      <c r="AA36" s="1800">
        <f t="shared" si="3"/>
        <v>1</v>
      </c>
      <c r="AB36" s="1800">
        <f t="shared" si="4"/>
        <v>1</v>
      </c>
      <c r="AC36" s="1800">
        <f t="shared" si="5"/>
        <v>1</v>
      </c>
    </row>
    <row r="37" spans="1:29" ht="14.4">
      <c r="A37" s="477" t="s">
        <v>2718</v>
      </c>
      <c r="B37" s="2686" t="s">
        <v>2719</v>
      </c>
      <c r="C37" s="1404" t="s">
        <v>1</v>
      </c>
      <c r="D37" s="1405"/>
      <c r="E37" s="1406"/>
      <c r="F37" s="1407"/>
      <c r="G37" s="1408"/>
      <c r="H37" s="1409"/>
      <c r="I37" s="1406"/>
      <c r="J37" s="1409"/>
      <c r="K37" s="617"/>
      <c r="L37" s="1140"/>
      <c r="M37" s="1141"/>
      <c r="N37" s="1128"/>
      <c r="O37" s="1141"/>
      <c r="P37" s="3198" t="str">
        <f>A37</f>
        <v>成交单价</v>
      </c>
      <c r="Q37" s="3198"/>
      <c r="R37" s="3269">
        <f>E37</f>
        <v>0</v>
      </c>
      <c r="S37" s="3269"/>
      <c r="T37" s="3269">
        <f>G37</f>
        <v>0</v>
      </c>
      <c r="U37" s="3269"/>
      <c r="V37" s="3269">
        <f>I37</f>
        <v>0</v>
      </c>
      <c r="W37" s="3269"/>
      <c r="X37" s="756"/>
      <c r="Y37" s="778"/>
      <c r="Z37" s="756"/>
      <c r="AA37" s="756"/>
      <c r="AB37" s="756"/>
      <c r="AC37" s="756"/>
    </row>
    <row r="38" spans="1:29" ht="15" thickBot="1">
      <c r="A38" s="484" t="s">
        <v>2720</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8" t="str">
        <f>A38</f>
        <v>比较价值（元/平方米）</v>
      </c>
      <c r="Q38" s="319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6"/>
      <c r="Y38" s="756"/>
      <c r="Z38" s="756"/>
      <c r="AA38" s="756"/>
      <c r="AB38" s="756"/>
      <c r="AC38" s="756"/>
    </row>
    <row r="39" spans="1:29" ht="15" thickBot="1">
      <c r="A39" s="490" t="s">
        <v>2721</v>
      </c>
      <c r="B39" s="491"/>
      <c r="C39" s="1414" t="e">
        <f>R39</f>
        <v>#DIV/0!</v>
      </c>
      <c r="D39" s="1414"/>
      <c r="E39" s="1414"/>
      <c r="F39" s="1414"/>
      <c r="G39" s="1414"/>
      <c r="H39" s="1414"/>
      <c r="I39" s="1414"/>
      <c r="J39" s="1414"/>
      <c r="K39" s="619"/>
      <c r="L39" s="1140"/>
      <c r="M39" s="1141"/>
      <c r="N39" s="1141"/>
      <c r="O39" s="1141"/>
      <c r="P39" s="3195" t="str">
        <f>A39</f>
        <v>估价对象XX用房的比较价值（楼面单价，元/平方米）</v>
      </c>
      <c r="Q39" s="3196"/>
      <c r="R39" s="3268" t="e">
        <f>IF(F1="售价",ROUND(AVERAGE(R38:V38),0),ROUND(AVERAGE(R38:V38),1))</f>
        <v>#DIV/0!</v>
      </c>
      <c r="S39" s="3268"/>
      <c r="T39" s="3268"/>
      <c r="U39" s="3268"/>
      <c r="V39" s="3268"/>
      <c r="W39" s="326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4.4">
      <c r="A48" s="503" t="s">
        <v>2726</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 thickBot="1">
      <c r="A50" s="513" t="s">
        <v>2583</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4.4">
      <c r="A51" s="519" t="s">
        <v>2548</v>
      </c>
      <c r="B51" s="508"/>
      <c r="C51" s="520" t="s">
        <v>2650</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4.4"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ht="14.4">
      <c r="A53" s="525" t="s">
        <v>2586</v>
      </c>
      <c r="B53" s="526" t="s">
        <v>2552</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4.4"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4.4"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4.4"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4.4"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4.4"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4.4"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4.4"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 thickTop="1">
      <c r="A65" s="532"/>
      <c r="B65" s="536" t="s">
        <v>2601</v>
      </c>
      <c r="C65" s="576" t="s">
        <v>2595</v>
      </c>
      <c r="D65" s="576" t="s">
        <v>2596</v>
      </c>
      <c r="E65" s="576" t="s">
        <v>2597</v>
      </c>
      <c r="F65" s="576" t="s">
        <v>2598</v>
      </c>
      <c r="G65" s="576" t="s">
        <v>2599</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 thickTop="1">
      <c r="A67" s="532"/>
      <c r="B67" s="544" t="s">
        <v>2687</v>
      </c>
      <c r="C67" s="658" t="s">
        <v>2673</v>
      </c>
      <c r="D67" s="658" t="s">
        <v>2674</v>
      </c>
      <c r="E67" s="658" t="s">
        <v>2675</v>
      </c>
      <c r="F67" s="658" t="s">
        <v>2676</v>
      </c>
      <c r="G67" s="658" t="s">
        <v>2677</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 thickTop="1">
      <c r="A69" s="532"/>
      <c r="B69" s="536" t="s">
        <v>2607</v>
      </c>
      <c r="C69" s="576" t="s">
        <v>2595</v>
      </c>
      <c r="D69" s="576" t="s">
        <v>2596</v>
      </c>
      <c r="E69" s="576" t="s">
        <v>2597</v>
      </c>
      <c r="F69" s="576" t="s">
        <v>2598</v>
      </c>
      <c r="G69" s="576" t="s">
        <v>2599</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 thickTop="1">
      <c r="A71" s="532"/>
      <c r="B71" s="536" t="s">
        <v>2727</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4.4"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4.4"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4.4"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4.4"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4.4"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4.4"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9.4" thickTop="1">
      <c r="A79" s="525" t="s">
        <v>2561</v>
      </c>
      <c r="B79" s="526" t="s">
        <v>2728</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2"/>
      <c r="B81" s="536" t="s">
        <v>2729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4.4"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2614</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2731</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4.4"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2733</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2734</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4.4"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4.4"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4.4"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4.4"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4.4"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4.4"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2705</v>
      </c>
      <c r="B1" s="1616"/>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IF(C2="——",ROUND(C37*D3/10000,0),ROUND(C37*D3/10000,0)-D2)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IF(C2="——",C37,ROUND(B2*10000/D3,0))</f>
        <v>#DIV/0!</v>
      </c>
      <c r="C3" s="398" t="s">
        <v>2642</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 thickBot="1">
      <c r="A7" s="406" t="s">
        <v>2546</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220" t="s">
        <v>2547</v>
      </c>
      <c r="Q7" s="3233"/>
      <c r="R7" s="767" t="s">
        <v>17</v>
      </c>
      <c r="S7" s="768">
        <f t="shared" ref="S7:S14" si="0">F7</f>
        <v>0</v>
      </c>
      <c r="T7" s="767" t="s">
        <v>17</v>
      </c>
      <c r="U7" s="768">
        <f t="shared" ref="U7:U14" si="1">H7</f>
        <v>0</v>
      </c>
      <c r="V7" s="767" t="s">
        <v>17</v>
      </c>
      <c r="W7" s="768">
        <f t="shared" ref="W7:W14" si="2">J7</f>
        <v>0</v>
      </c>
      <c r="X7" s="769"/>
      <c r="Y7" s="3220" t="s">
        <v>2547</v>
      </c>
      <c r="Z7" s="3221"/>
      <c r="AA7" s="770" t="e">
        <f>D7/F7</f>
        <v>#DIV/0!</v>
      </c>
      <c r="AB7" s="770" t="e">
        <f>D7/H7</f>
        <v>#DIV/0!</v>
      </c>
      <c r="AC7" s="770" t="e">
        <f>D7/J7</f>
        <v>#DIV/0!</v>
      </c>
    </row>
    <row r="8" spans="1:29" s="116"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34" si="3">D8/F8</f>
        <v>#DIV/0!</v>
      </c>
      <c r="AB8" s="770" t="e">
        <f t="shared" ref="AB8:AB34" si="4">D8/H8</f>
        <v>#DIV/0!</v>
      </c>
      <c r="AC8" s="770" t="e">
        <f t="shared" ref="AC8:AC34" si="5">D8/J8</f>
        <v>#DIV/0!</v>
      </c>
    </row>
    <row r="9" spans="1:29" s="116" customFormat="1" ht="14.4">
      <c r="A9" s="413" t="s">
        <v>2551</v>
      </c>
      <c r="B9" s="71" t="s">
        <v>2552</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8" t="s">
        <v>2553</v>
      </c>
      <c r="Q9" s="1784" t="str">
        <f t="shared" ref="Q9:Q14" si="6">B9</f>
        <v>用途</v>
      </c>
      <c r="R9" s="767" t="s">
        <v>17</v>
      </c>
      <c r="S9" s="768">
        <f t="shared" si="0"/>
        <v>100</v>
      </c>
      <c r="T9" s="767" t="s">
        <v>17</v>
      </c>
      <c r="U9" s="768">
        <f t="shared" si="1"/>
        <v>100</v>
      </c>
      <c r="V9" s="767" t="s">
        <v>17</v>
      </c>
      <c r="W9" s="768">
        <f t="shared" si="2"/>
        <v>100</v>
      </c>
      <c r="X9" s="769"/>
      <c r="Y9" s="3047" t="s">
        <v>2554</v>
      </c>
      <c r="Z9" s="55" t="str">
        <f t="shared" ref="Z9:Z14" si="7">Q9</f>
        <v>用途</v>
      </c>
      <c r="AA9" s="770">
        <f t="shared" si="3"/>
        <v>1</v>
      </c>
      <c r="AB9" s="770">
        <f t="shared" si="4"/>
        <v>1</v>
      </c>
      <c r="AC9" s="770">
        <f t="shared" si="5"/>
        <v>1</v>
      </c>
    </row>
    <row r="10" spans="1:29" s="425" customFormat="1" ht="28.8">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8"/>
      <c r="Q11" s="178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6"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96.6">
      <c r="A14" s="438" t="s">
        <v>2557</v>
      </c>
      <c r="B14" s="69" t="s">
        <v>2707</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01" t="s">
        <v>2558</v>
      </c>
      <c r="Q14" s="1799" t="str">
        <f t="shared" si="6"/>
        <v>交通便捷度</v>
      </c>
      <c r="R14" s="771" t="s">
        <v>17</v>
      </c>
      <c r="S14" s="772">
        <f t="shared" si="0"/>
        <v>100</v>
      </c>
      <c r="T14" s="771" t="s">
        <v>17</v>
      </c>
      <c r="U14" s="772">
        <f t="shared" si="1"/>
        <v>100</v>
      </c>
      <c r="V14" s="771" t="s">
        <v>17</v>
      </c>
      <c r="W14" s="772">
        <f t="shared" si="2"/>
        <v>100</v>
      </c>
      <c r="X14" s="1802"/>
      <c r="Y14" s="3201" t="s">
        <v>2558</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202"/>
      <c r="Q15" s="1799"/>
      <c r="R15" s="771"/>
      <c r="S15" s="772"/>
      <c r="T15" s="771"/>
      <c r="U15" s="772"/>
      <c r="V15" s="771"/>
      <c r="W15" s="772"/>
      <c r="X15" s="1802"/>
      <c r="Y15" s="3202"/>
      <c r="Z15" s="1803"/>
      <c r="AA15" s="1800">
        <v>1</v>
      </c>
      <c r="AB15" s="1800">
        <v>1</v>
      </c>
      <c r="AC15" s="1800">
        <v>1</v>
      </c>
    </row>
    <row r="16" spans="1:29" ht="41.4">
      <c r="A16" s="426"/>
      <c r="B16" s="449" t="s">
        <v>2686</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02"/>
      <c r="Q16" s="1799" t="str">
        <f>B16</f>
        <v>公共配套设施</v>
      </c>
      <c r="R16" s="771" t="s">
        <v>17</v>
      </c>
      <c r="S16" s="772">
        <f>F16</f>
        <v>100</v>
      </c>
      <c r="T16" s="771" t="s">
        <v>17</v>
      </c>
      <c r="U16" s="772">
        <f>H16</f>
        <v>100</v>
      </c>
      <c r="V16" s="771" t="s">
        <v>17</v>
      </c>
      <c r="W16" s="772">
        <f>J16</f>
        <v>100</v>
      </c>
      <c r="X16" s="1802"/>
      <c r="Y16" s="3202"/>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202"/>
      <c r="Q17" s="1799"/>
      <c r="R17" s="771"/>
      <c r="S17" s="772"/>
      <c r="T17" s="771"/>
      <c r="U17" s="772"/>
      <c r="V17" s="771"/>
      <c r="W17" s="772"/>
      <c r="X17" s="1802"/>
      <c r="Y17" s="3202"/>
      <c r="Z17" s="1803"/>
      <c r="AA17" s="1800">
        <v>1</v>
      </c>
      <c r="AB17" s="1800">
        <v>1</v>
      </c>
      <c r="AC17" s="1800">
        <v>1</v>
      </c>
    </row>
    <row r="18" spans="1:29" ht="41.4">
      <c r="A18" s="426"/>
      <c r="B18" s="1381" t="s">
        <v>2687</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02"/>
      <c r="Q18" s="1799" t="str">
        <f>B18</f>
        <v>基础设施水平</v>
      </c>
      <c r="R18" s="771" t="s">
        <v>17</v>
      </c>
      <c r="S18" s="772">
        <f>F18</f>
        <v>100</v>
      </c>
      <c r="T18" s="771" t="s">
        <v>17</v>
      </c>
      <c r="U18" s="772">
        <f>H18</f>
        <v>100</v>
      </c>
      <c r="V18" s="771" t="s">
        <v>17</v>
      </c>
      <c r="W18" s="772">
        <f>J18</f>
        <v>100</v>
      </c>
      <c r="X18" s="1802"/>
      <c r="Y18" s="3202"/>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202"/>
      <c r="Q19" s="1799"/>
      <c r="R19" s="771"/>
      <c r="S19" s="772"/>
      <c r="T19" s="771"/>
      <c r="U19" s="772"/>
      <c r="V19" s="771"/>
      <c r="W19" s="772"/>
      <c r="X19" s="1802"/>
      <c r="Y19" s="3202"/>
      <c r="Z19" s="1803"/>
      <c r="AA19" s="1800">
        <v>1</v>
      </c>
      <c r="AB19" s="1800">
        <v>1</v>
      </c>
      <c r="AC19" s="1800">
        <v>1</v>
      </c>
    </row>
    <row r="20" spans="1:29" ht="55.2">
      <c r="A20" s="426"/>
      <c r="B20" s="449" t="s">
        <v>2708</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02"/>
      <c r="Q20" s="1799" t="str">
        <f>B20</f>
        <v>自然及人文环境</v>
      </c>
      <c r="R20" s="771" t="s">
        <v>17</v>
      </c>
      <c r="S20" s="772">
        <f>F20</f>
        <v>100</v>
      </c>
      <c r="T20" s="771" t="s">
        <v>17</v>
      </c>
      <c r="U20" s="772">
        <f>H20</f>
        <v>100</v>
      </c>
      <c r="V20" s="771" t="s">
        <v>17</v>
      </c>
      <c r="W20" s="772">
        <f>J20</f>
        <v>100</v>
      </c>
      <c r="X20" s="1802"/>
      <c r="Y20" s="3202"/>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202"/>
      <c r="Q21" s="1799"/>
      <c r="R21" s="771"/>
      <c r="S21" s="772"/>
      <c r="T21" s="771"/>
      <c r="U21" s="772"/>
      <c r="V21" s="771"/>
      <c r="W21" s="772"/>
      <c r="X21" s="1802"/>
      <c r="Y21" s="3202"/>
      <c r="Z21" s="1803"/>
      <c r="AA21" s="1800">
        <v>1</v>
      </c>
      <c r="AB21" s="1800">
        <v>1</v>
      </c>
      <c r="AC21" s="180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02"/>
      <c r="Q22" s="1799" t="str">
        <f>B22</f>
        <v>楼层</v>
      </c>
      <c r="R22" s="771" t="s">
        <v>17</v>
      </c>
      <c r="S22" s="772">
        <f>F22</f>
        <v>100</v>
      </c>
      <c r="T22" s="771" t="s">
        <v>17</v>
      </c>
      <c r="U22" s="772">
        <f>H22</f>
        <v>100</v>
      </c>
      <c r="V22" s="771" t="s">
        <v>17</v>
      </c>
      <c r="W22" s="772">
        <f>J22</f>
        <v>100</v>
      </c>
      <c r="X22" s="1802"/>
      <c r="Y22" s="3202"/>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02"/>
      <c r="Q23" s="1799">
        <f>B23</f>
        <v>111</v>
      </c>
      <c r="R23" s="771" t="s">
        <v>17</v>
      </c>
      <c r="S23" s="772">
        <f>F23</f>
        <v>100</v>
      </c>
      <c r="T23" s="771" t="s">
        <v>17</v>
      </c>
      <c r="U23" s="772">
        <f>H23</f>
        <v>100</v>
      </c>
      <c r="V23" s="771" t="s">
        <v>17</v>
      </c>
      <c r="W23" s="772">
        <f>J23</f>
        <v>100</v>
      </c>
      <c r="X23" s="1802"/>
      <c r="Y23" s="3202"/>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02"/>
      <c r="Q24" s="1799">
        <f t="shared" ref="Q24:Q34" si="11">B24</f>
        <v>111</v>
      </c>
      <c r="R24" s="771" t="s">
        <v>17</v>
      </c>
      <c r="S24" s="772">
        <f>F24</f>
        <v>100</v>
      </c>
      <c r="T24" s="771" t="s">
        <v>17</v>
      </c>
      <c r="U24" s="772">
        <f>H24</f>
        <v>100</v>
      </c>
      <c r="V24" s="771" t="s">
        <v>17</v>
      </c>
      <c r="W24" s="772">
        <f>J24</f>
        <v>100</v>
      </c>
      <c r="X24" s="1802"/>
      <c r="Y24" s="3202"/>
      <c r="Z24" s="1803">
        <f>Q24</f>
        <v>111</v>
      </c>
      <c r="AA24" s="1800">
        <f t="shared" si="3"/>
        <v>1</v>
      </c>
      <c r="AB24" s="1800">
        <f t="shared" si="4"/>
        <v>1</v>
      </c>
      <c r="AC24" s="1800">
        <f t="shared" si="5"/>
        <v>1</v>
      </c>
    </row>
    <row r="25" spans="1:29" s="116" customFormat="1" ht="15.6"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202"/>
      <c r="Q25" s="1784">
        <f t="shared" si="11"/>
        <v>111</v>
      </c>
      <c r="R25" s="767" t="s">
        <v>17</v>
      </c>
      <c r="S25" s="768">
        <f>F25</f>
        <v>100</v>
      </c>
      <c r="T25" s="767" t="s">
        <v>17</v>
      </c>
      <c r="U25" s="768">
        <f>H25</f>
        <v>100</v>
      </c>
      <c r="V25" s="767" t="s">
        <v>17</v>
      </c>
      <c r="W25" s="768">
        <f>J25</f>
        <v>100</v>
      </c>
      <c r="X25" s="769"/>
      <c r="Y25" s="3202"/>
      <c r="Z25" s="55">
        <f>Q25</f>
        <v>111</v>
      </c>
      <c r="AA25" s="1800">
        <f>D25/F25</f>
        <v>1</v>
      </c>
      <c r="AB25" s="1800">
        <f>D25/H25</f>
        <v>1</v>
      </c>
      <c r="AC25" s="1800">
        <f>D25/J25</f>
        <v>1</v>
      </c>
    </row>
    <row r="26" spans="1:29" ht="30">
      <c r="A26" s="464" t="s">
        <v>2561</v>
      </c>
      <c r="B26" s="71" t="s">
        <v>2712</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03" t="s">
        <v>2563</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04" t="s">
        <v>2563</v>
      </c>
      <c r="Z26" s="1803" t="str">
        <f t="shared" ref="Z26:Z34" si="15">Q26</f>
        <v>公共部分装修</v>
      </c>
      <c r="AA26" s="1800">
        <f t="shared" si="3"/>
        <v>1</v>
      </c>
      <c r="AB26" s="1800">
        <f t="shared" si="4"/>
        <v>1</v>
      </c>
      <c r="AC26" s="180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04"/>
      <c r="Q27" s="773" t="str">
        <f t="shared" si="11"/>
        <v>成新率</v>
      </c>
      <c r="R27" s="774" t="s">
        <v>17</v>
      </c>
      <c r="S27" s="775" t="e">
        <f t="shared" si="12"/>
        <v>#N/A</v>
      </c>
      <c r="T27" s="774" t="s">
        <v>17</v>
      </c>
      <c r="U27" s="775" t="e">
        <f t="shared" si="13"/>
        <v>#N/A</v>
      </c>
      <c r="V27" s="774" t="s">
        <v>17</v>
      </c>
      <c r="W27" s="775" t="e">
        <f t="shared" si="14"/>
        <v>#N/A</v>
      </c>
      <c r="X27" s="776"/>
      <c r="Y27" s="3204"/>
      <c r="Z27" s="777" t="str">
        <f t="shared" si="15"/>
        <v>成新率</v>
      </c>
      <c r="AA27" s="1800" t="e">
        <f t="shared" si="3"/>
        <v>#N/A</v>
      </c>
      <c r="AB27" s="1800" t="e">
        <f t="shared" si="4"/>
        <v>#N/A</v>
      </c>
      <c r="AC27" s="180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04"/>
      <c r="Q28" s="1799" t="str">
        <f t="shared" si="11"/>
        <v>物业等级</v>
      </c>
      <c r="R28" s="771" t="s">
        <v>17</v>
      </c>
      <c r="S28" s="772">
        <f t="shared" si="12"/>
        <v>100</v>
      </c>
      <c r="T28" s="771" t="s">
        <v>17</v>
      </c>
      <c r="U28" s="772">
        <f t="shared" si="13"/>
        <v>100</v>
      </c>
      <c r="V28" s="771" t="s">
        <v>17</v>
      </c>
      <c r="W28" s="772">
        <f t="shared" si="14"/>
        <v>100</v>
      </c>
      <c r="X28" s="1802"/>
      <c r="Y28" s="3204"/>
      <c r="Z28" s="1803" t="str">
        <f t="shared" si="15"/>
        <v>物业等级</v>
      </c>
      <c r="AA28" s="1800">
        <f t="shared" si="3"/>
        <v>1</v>
      </c>
      <c r="AB28" s="1800">
        <f t="shared" si="4"/>
        <v>1</v>
      </c>
      <c r="AC28" s="180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04"/>
      <c r="Q29" s="1799" t="str">
        <f t="shared" si="11"/>
        <v>有无电梯</v>
      </c>
      <c r="R29" s="771" t="s">
        <v>17</v>
      </c>
      <c r="S29" s="772">
        <f t="shared" si="12"/>
        <v>100</v>
      </c>
      <c r="T29" s="771" t="s">
        <v>17</v>
      </c>
      <c r="U29" s="772">
        <f t="shared" si="13"/>
        <v>100</v>
      </c>
      <c r="V29" s="771" t="s">
        <v>17</v>
      </c>
      <c r="W29" s="772">
        <f t="shared" si="14"/>
        <v>100</v>
      </c>
      <c r="X29" s="1802"/>
      <c r="Y29" s="3204"/>
      <c r="Z29" s="1803" t="str">
        <f t="shared" si="15"/>
        <v>有无电梯</v>
      </c>
      <c r="AA29" s="1800">
        <f t="shared" si="3"/>
        <v>1</v>
      </c>
      <c r="AB29" s="1800">
        <f t="shared" si="4"/>
        <v>1</v>
      </c>
      <c r="AC29" s="180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04"/>
      <c r="Q30" s="1799" t="str">
        <f t="shared" si="11"/>
        <v>建筑面积</v>
      </c>
      <c r="R30" s="771" t="s">
        <v>17</v>
      </c>
      <c r="S30" s="772" t="e">
        <f t="shared" si="12"/>
        <v>#N/A</v>
      </c>
      <c r="T30" s="771" t="s">
        <v>17</v>
      </c>
      <c r="U30" s="772" t="e">
        <f t="shared" si="13"/>
        <v>#N/A</v>
      </c>
      <c r="V30" s="771" t="s">
        <v>17</v>
      </c>
      <c r="W30" s="772" t="e">
        <f t="shared" si="14"/>
        <v>#N/A</v>
      </c>
      <c r="X30" s="1802"/>
      <c r="Y30" s="3204"/>
      <c r="Z30" s="1803" t="str">
        <f t="shared" si="15"/>
        <v>建筑面积</v>
      </c>
      <c r="AA30" s="1800" t="e">
        <f t="shared" si="3"/>
        <v>#N/A</v>
      </c>
      <c r="AB30" s="1800" t="e">
        <f t="shared" si="4"/>
        <v>#N/A</v>
      </c>
      <c r="AC30" s="1800" t="e">
        <f t="shared" si="5"/>
        <v>#N/A</v>
      </c>
    </row>
    <row r="31" spans="1:29" s="116"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04"/>
      <c r="Q31" s="1784" t="str">
        <f t="shared" si="11"/>
        <v>是否封闭</v>
      </c>
      <c r="R31" s="767" t="s">
        <v>17</v>
      </c>
      <c r="S31" s="768">
        <f t="shared" si="12"/>
        <v>100</v>
      </c>
      <c r="T31" s="767" t="s">
        <v>17</v>
      </c>
      <c r="U31" s="768">
        <f t="shared" si="13"/>
        <v>100</v>
      </c>
      <c r="V31" s="767" t="s">
        <v>17</v>
      </c>
      <c r="W31" s="768">
        <f t="shared" si="14"/>
        <v>100</v>
      </c>
      <c r="X31" s="769"/>
      <c r="Y31" s="3204"/>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04" t="s">
        <v>2563</v>
      </c>
      <c r="Q32" s="1799">
        <f t="shared" si="11"/>
        <v>111</v>
      </c>
      <c r="R32" s="771" t="s">
        <v>17</v>
      </c>
      <c r="S32" s="772">
        <f t="shared" si="12"/>
        <v>100</v>
      </c>
      <c r="T32" s="771" t="s">
        <v>17</v>
      </c>
      <c r="U32" s="772">
        <f t="shared" si="13"/>
        <v>100</v>
      </c>
      <c r="V32" s="771" t="s">
        <v>17</v>
      </c>
      <c r="W32" s="772">
        <f t="shared" si="14"/>
        <v>100</v>
      </c>
      <c r="X32" s="1802"/>
      <c r="Y32" s="3204" t="s">
        <v>2563</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04"/>
      <c r="Q33" s="1799">
        <f t="shared" si="11"/>
        <v>111</v>
      </c>
      <c r="R33" s="771" t="s">
        <v>17</v>
      </c>
      <c r="S33" s="772">
        <f t="shared" si="12"/>
        <v>100</v>
      </c>
      <c r="T33" s="771" t="s">
        <v>17</v>
      </c>
      <c r="U33" s="772">
        <f t="shared" si="13"/>
        <v>100</v>
      </c>
      <c r="V33" s="771" t="s">
        <v>17</v>
      </c>
      <c r="W33" s="772">
        <f t="shared" si="14"/>
        <v>100</v>
      </c>
      <c r="X33" s="1802"/>
      <c r="Y33" s="3204"/>
      <c r="Z33" s="1803">
        <f t="shared" si="15"/>
        <v>111</v>
      </c>
      <c r="AA33" s="1800">
        <f t="shared" si="3"/>
        <v>1</v>
      </c>
      <c r="AB33" s="1800">
        <f t="shared" si="4"/>
        <v>1</v>
      </c>
      <c r="AC33" s="1800">
        <f t="shared" si="5"/>
        <v>1</v>
      </c>
    </row>
    <row r="34" spans="1:29" ht="15.6"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204"/>
      <c r="Q34" s="1799">
        <f t="shared" si="11"/>
        <v>111</v>
      </c>
      <c r="R34" s="771" t="s">
        <v>17</v>
      </c>
      <c r="S34" s="772">
        <f t="shared" si="12"/>
        <v>100</v>
      </c>
      <c r="T34" s="771" t="s">
        <v>17</v>
      </c>
      <c r="U34" s="772">
        <f t="shared" si="13"/>
        <v>100</v>
      </c>
      <c r="V34" s="771" t="s">
        <v>17</v>
      </c>
      <c r="W34" s="772">
        <f t="shared" si="14"/>
        <v>100</v>
      </c>
      <c r="X34" s="1802"/>
      <c r="Y34" s="3204"/>
      <c r="Z34" s="1803">
        <f t="shared" si="15"/>
        <v>111</v>
      </c>
      <c r="AA34" s="1800">
        <f t="shared" si="3"/>
        <v>1</v>
      </c>
      <c r="AB34" s="1800">
        <f t="shared" si="4"/>
        <v>1</v>
      </c>
      <c r="AC34" s="1800">
        <f t="shared" si="5"/>
        <v>1</v>
      </c>
    </row>
    <row r="35" spans="1:29" ht="14.4">
      <c r="A35" s="477" t="s">
        <v>2575</v>
      </c>
      <c r="B35" s="478"/>
      <c r="C35" s="1404" t="s">
        <v>1</v>
      </c>
      <c r="D35" s="1405"/>
      <c r="E35" s="1406"/>
      <c r="F35" s="1407"/>
      <c r="G35" s="1408"/>
      <c r="H35" s="1409"/>
      <c r="I35" s="1406"/>
      <c r="J35" s="1409"/>
      <c r="K35" s="780"/>
      <c r="L35" s="1140"/>
      <c r="M35" s="1141"/>
      <c r="N35" s="1128"/>
      <c r="O35" s="1141"/>
      <c r="P35" s="3198" t="str">
        <f>A35</f>
        <v>成交单价（元/平方米）</v>
      </c>
      <c r="Q35" s="3198"/>
      <c r="R35" s="3269">
        <f>E35</f>
        <v>0</v>
      </c>
      <c r="S35" s="3269"/>
      <c r="T35" s="3269">
        <f>G35</f>
        <v>0</v>
      </c>
      <c r="U35" s="3269"/>
      <c r="V35" s="3269">
        <f>I35</f>
        <v>0</v>
      </c>
      <c r="W35" s="3269"/>
      <c r="X35" s="756"/>
      <c r="Y35" s="778"/>
      <c r="Z35" s="756"/>
      <c r="AA35" s="756"/>
      <c r="AB35" s="756"/>
      <c r="AC35" s="756"/>
    </row>
    <row r="36" spans="1:29" ht="15" thickBot="1">
      <c r="A36" s="484" t="s">
        <v>2667</v>
      </c>
      <c r="B36" s="485"/>
      <c r="C36" s="1410" t="e">
        <f>R37</f>
        <v>#DIV/0!</v>
      </c>
      <c r="D36" s="1411"/>
      <c r="E36" s="1412" t="e">
        <f>R36</f>
        <v>#DIV/0!</v>
      </c>
      <c r="F36" s="1412"/>
      <c r="G36" s="1410" t="e">
        <f>T36</f>
        <v>#DIV/0!</v>
      </c>
      <c r="H36" s="1411"/>
      <c r="I36" s="1412" t="e">
        <f>V36</f>
        <v>#DIV/0!</v>
      </c>
      <c r="J36" s="1411"/>
      <c r="K36" s="781"/>
      <c r="L36" s="1140"/>
      <c r="M36" s="1141"/>
      <c r="N36" s="1128"/>
      <c r="O36" s="1141"/>
      <c r="P36" s="3198" t="str">
        <f>A36</f>
        <v>比较价值（元/平方米）</v>
      </c>
      <c r="Q36" s="319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6"/>
      <c r="Y36" s="756"/>
      <c r="Z36" s="756"/>
      <c r="AA36" s="756"/>
      <c r="AB36" s="756"/>
      <c r="AC36" s="756"/>
    </row>
    <row r="37" spans="1:29" ht="15" thickBot="1">
      <c r="A37" s="490" t="s">
        <v>2668</v>
      </c>
      <c r="B37" s="491"/>
      <c r="C37" s="1414" t="e">
        <f>R37</f>
        <v>#DIV/0!</v>
      </c>
      <c r="D37" s="1414"/>
      <c r="E37" s="1414"/>
      <c r="F37" s="1414"/>
      <c r="G37" s="1414"/>
      <c r="H37" s="1414"/>
      <c r="I37" s="1414"/>
      <c r="J37" s="1414"/>
      <c r="K37" s="782"/>
      <c r="L37" s="1140"/>
      <c r="M37" s="1141"/>
      <c r="N37" s="1141"/>
      <c r="O37" s="1141"/>
      <c r="P37" s="3195" t="str">
        <f>A37</f>
        <v>估价对象XX用房的比较价值（楼面单价，元/平方米）</v>
      </c>
      <c r="Q37" s="3196"/>
      <c r="R37" s="3268" t="e">
        <f>IF(F1="售价",ROUND(AVERAGE(R36:V36),0),ROUND(AVERAGE(R36:V36),1))</f>
        <v>#DIV/0!</v>
      </c>
      <c r="S37" s="3268"/>
      <c r="T37" s="3268"/>
      <c r="U37" s="3268"/>
      <c r="V37" s="3268"/>
      <c r="W37" s="326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2672</v>
      </c>
      <c r="B45" s="756"/>
      <c r="C45" s="761"/>
      <c r="D45" s="761"/>
      <c r="E45" s="761"/>
      <c r="F45" s="762"/>
      <c r="G45" s="762"/>
      <c r="H45" s="761"/>
      <c r="I45" s="761"/>
      <c r="J45" s="761"/>
      <c r="K45" s="763"/>
      <c r="L45" s="764"/>
      <c r="M45" s="761"/>
      <c r="N45" s="761"/>
      <c r="O45" s="761"/>
      <c r="P45" s="501"/>
      <c r="Q45" s="502"/>
    </row>
    <row r="46" spans="1:29" s="506" customFormat="1" ht="14.4">
      <c r="A46" s="503" t="s">
        <v>2546</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c r="A47" s="507"/>
      <c r="B47" s="508"/>
      <c r="C47" s="1570">
        <v>100</v>
      </c>
      <c r="D47" s="510"/>
      <c r="E47" s="510"/>
      <c r="F47" s="510"/>
      <c r="G47" s="510"/>
      <c r="H47" s="510"/>
      <c r="I47" s="510"/>
      <c r="J47" s="510"/>
      <c r="K47" s="510"/>
      <c r="L47" s="510"/>
      <c r="M47" s="511"/>
      <c r="N47" s="510"/>
      <c r="O47" s="512"/>
      <c r="P47" s="502"/>
    </row>
    <row r="48" spans="1:29" s="116" customFormat="1" ht="15" thickBot="1">
      <c r="A48" s="513" t="s">
        <v>2583</v>
      </c>
      <c r="B48" s="514"/>
      <c r="C48" s="515"/>
      <c r="D48" s="516"/>
      <c r="E48" s="516"/>
      <c r="F48" s="516"/>
      <c r="G48" s="516"/>
      <c r="H48" s="516"/>
      <c r="I48" s="516"/>
      <c r="J48" s="516"/>
      <c r="K48" s="516"/>
      <c r="L48" s="516"/>
      <c r="M48" s="517"/>
      <c r="N48" s="516"/>
      <c r="O48" s="518"/>
      <c r="P48" s="502"/>
      <c r="Q48" s="502"/>
    </row>
    <row r="49" spans="1:17" s="116" customFormat="1" ht="14.4">
      <c r="A49" s="519" t="s">
        <v>2548</v>
      </c>
      <c r="B49" s="508"/>
      <c r="C49" s="520" t="s">
        <v>2650</v>
      </c>
      <c r="D49" s="521"/>
      <c r="E49" s="521"/>
      <c r="F49" s="521"/>
      <c r="G49" s="521"/>
      <c r="H49" s="521"/>
      <c r="I49" s="521"/>
      <c r="J49" s="521"/>
      <c r="K49" s="521"/>
      <c r="L49" s="522"/>
      <c r="M49" s="523"/>
      <c r="N49" s="1148"/>
      <c r="O49" s="1148"/>
      <c r="P49" s="524"/>
      <c r="Q49" s="502"/>
    </row>
    <row r="50" spans="1:17" s="116" customFormat="1" ht="14.4" thickBot="1">
      <c r="A50" s="519"/>
      <c r="B50" s="508"/>
      <c r="C50" s="637">
        <v>100</v>
      </c>
      <c r="D50" s="510"/>
      <c r="E50" s="510"/>
      <c r="F50" s="510"/>
      <c r="G50" s="510"/>
      <c r="H50" s="510"/>
      <c r="I50" s="510"/>
      <c r="J50" s="510"/>
      <c r="K50" s="510"/>
      <c r="L50" s="510"/>
      <c r="M50" s="512"/>
      <c r="N50" s="1148"/>
      <c r="O50" s="1148"/>
      <c r="P50" s="502"/>
      <c r="Q50" s="502"/>
    </row>
    <row r="51" spans="1:17" ht="14.4">
      <c r="A51" s="525" t="s">
        <v>2586</v>
      </c>
      <c r="B51" s="526" t="s">
        <v>2552</v>
      </c>
      <c r="C51" s="527">
        <f>C9</f>
        <v>0</v>
      </c>
      <c r="D51" s="528"/>
      <c r="E51" s="528"/>
      <c r="F51" s="528"/>
      <c r="G51" s="528"/>
      <c r="H51" s="528"/>
      <c r="I51" s="528"/>
      <c r="J51" s="528"/>
      <c r="K51" s="529"/>
      <c r="L51" s="530"/>
      <c r="M51" s="531"/>
      <c r="N51" s="1149"/>
      <c r="O51" s="1149"/>
      <c r="P51" s="45"/>
      <c r="Q51" s="502"/>
    </row>
    <row r="52" spans="1:17" ht="14.4" thickBot="1">
      <c r="A52" s="532"/>
      <c r="B52" s="533"/>
      <c r="C52" s="534">
        <v>100</v>
      </c>
      <c r="D52" s="534"/>
      <c r="E52" s="534"/>
      <c r="F52" s="534"/>
      <c r="G52" s="534"/>
      <c r="H52" s="534"/>
      <c r="I52" s="534"/>
      <c r="J52" s="534"/>
      <c r="K52" s="534"/>
      <c r="L52" s="534"/>
      <c r="M52" s="535"/>
      <c r="N52" s="1150"/>
      <c r="O52" s="1150"/>
      <c r="P52" s="45"/>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49"/>
      <c r="O53" s="1149"/>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4.4" thickTop="1">
      <c r="A55" s="532"/>
      <c r="B55" s="658">
        <f>B11</f>
        <v>111</v>
      </c>
      <c r="C55" s="547"/>
      <c r="D55" s="547"/>
      <c r="E55" s="547"/>
      <c r="F55" s="547"/>
      <c r="G55" s="547"/>
      <c r="H55" s="547"/>
      <c r="I55" s="547"/>
      <c r="J55" s="547"/>
      <c r="K55" s="548"/>
      <c r="L55" s="549"/>
      <c r="M55" s="550"/>
      <c r="N55" s="1149"/>
      <c r="O55" s="1149"/>
      <c r="P55" s="45"/>
      <c r="Q55" s="502"/>
    </row>
    <row r="56" spans="1:17" ht="14.4" thickBot="1">
      <c r="A56" s="532"/>
      <c r="B56" s="533"/>
      <c r="C56" s="558"/>
      <c r="D56" s="534"/>
      <c r="E56" s="534"/>
      <c r="F56" s="534"/>
      <c r="G56" s="534"/>
      <c r="H56" s="534"/>
      <c r="I56" s="534"/>
      <c r="J56" s="534"/>
      <c r="K56" s="534"/>
      <c r="L56" s="534"/>
      <c r="M56" s="535"/>
      <c r="N56" s="1150"/>
      <c r="O56" s="1150"/>
      <c r="P56" s="45"/>
      <c r="Q56" s="502"/>
    </row>
    <row r="57" spans="1:17" s="469" customFormat="1" ht="14.4" thickTop="1">
      <c r="A57" s="551"/>
      <c r="B57" s="536">
        <f>B12</f>
        <v>111</v>
      </c>
      <c r="C57" s="547"/>
      <c r="D57" s="547"/>
      <c r="E57" s="547"/>
      <c r="F57" s="547"/>
      <c r="G57" s="552"/>
      <c r="H57" s="553"/>
      <c r="I57" s="553"/>
      <c r="J57" s="553"/>
      <c r="K57" s="553"/>
      <c r="L57" s="554"/>
      <c r="M57" s="555"/>
      <c r="N57" s="1151"/>
      <c r="O57" s="1151"/>
      <c r="P57" s="556"/>
      <c r="Q57" s="557"/>
    </row>
    <row r="58" spans="1:17" s="469" customFormat="1" ht="14.4" thickBot="1">
      <c r="A58" s="551"/>
      <c r="B58" s="541"/>
      <c r="C58" s="558"/>
      <c r="D58" s="534"/>
      <c r="E58" s="534"/>
      <c r="F58" s="534"/>
      <c r="G58" s="534"/>
      <c r="H58" s="534"/>
      <c r="I58" s="534"/>
      <c r="J58" s="534"/>
      <c r="K58" s="534"/>
      <c r="L58" s="534"/>
      <c r="M58" s="535"/>
      <c r="N58" s="1150"/>
      <c r="O58" s="1150"/>
      <c r="P58" s="556"/>
      <c r="Q58" s="557"/>
    </row>
    <row r="59" spans="1:17" s="469" customFormat="1" ht="14.4" thickTop="1">
      <c r="A59" s="551"/>
      <c r="B59" s="536">
        <f>B13</f>
        <v>111</v>
      </c>
      <c r="C59" s="547"/>
      <c r="D59" s="547"/>
      <c r="E59" s="547"/>
      <c r="F59" s="547"/>
      <c r="G59" s="552"/>
      <c r="H59" s="553"/>
      <c r="I59" s="553"/>
      <c r="J59" s="553"/>
      <c r="K59" s="553"/>
      <c r="L59" s="554"/>
      <c r="M59" s="555"/>
      <c r="N59" s="1151"/>
      <c r="O59" s="1151"/>
      <c r="P59" s="468"/>
      <c r="Q59" s="559"/>
    </row>
    <row r="60" spans="1:17" s="469" customFormat="1" ht="14.4" thickBot="1">
      <c r="A60" s="551"/>
      <c r="B60" s="541"/>
      <c r="C60" s="558"/>
      <c r="D60" s="558"/>
      <c r="E60" s="558"/>
      <c r="F60" s="558"/>
      <c r="G60" s="558"/>
      <c r="H60" s="560"/>
      <c r="I60" s="560"/>
      <c r="J60" s="560"/>
      <c r="K60" s="560"/>
      <c r="L60" s="560"/>
      <c r="M60" s="561"/>
      <c r="N60" s="1151"/>
      <c r="O60" s="1151"/>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49"/>
      <c r="O61" s="1149"/>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49"/>
      <c r="O63" s="1149"/>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 thickTop="1">
      <c r="A65" s="532"/>
      <c r="B65" s="544" t="s">
        <v>2687</v>
      </c>
      <c r="C65" s="658" t="s">
        <v>2673</v>
      </c>
      <c r="D65" s="658" t="s">
        <v>2674</v>
      </c>
      <c r="E65" s="658" t="s">
        <v>2675</v>
      </c>
      <c r="F65" s="658" t="s">
        <v>2676</v>
      </c>
      <c r="G65" s="658" t="s">
        <v>2677</v>
      </c>
      <c r="H65" s="537"/>
      <c r="I65" s="537"/>
      <c r="J65" s="537"/>
      <c r="K65" s="537"/>
      <c r="L65" s="537"/>
      <c r="M65" s="1379"/>
      <c r="N65" s="1150"/>
      <c r="O65" s="1150"/>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49"/>
      <c r="O67" s="1149"/>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 thickTop="1">
      <c r="A69" s="532"/>
      <c r="B69" s="536" t="s">
        <v>2727</v>
      </c>
      <c r="C69" s="552"/>
      <c r="D69" s="552"/>
      <c r="E69" s="552"/>
      <c r="F69" s="552"/>
      <c r="G69" s="552"/>
      <c r="H69" s="581"/>
      <c r="I69" s="581"/>
      <c r="J69" s="581"/>
      <c r="K69" s="582"/>
      <c r="L69" s="583"/>
      <c r="M69" s="584"/>
      <c r="N69" s="1149"/>
      <c r="O69" s="1149"/>
      <c r="P69" s="45"/>
      <c r="Q69" s="502"/>
    </row>
    <row r="70" spans="1:17" ht="14.4"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4.4" thickTop="1">
      <c r="A71" s="577"/>
      <c r="B71" s="536">
        <f>B23</f>
        <v>111</v>
      </c>
      <c r="C71" s="547"/>
      <c r="D71" s="547"/>
      <c r="E71" s="547"/>
      <c r="F71" s="547"/>
      <c r="G71" s="552"/>
      <c r="H71" s="552"/>
      <c r="I71" s="552"/>
      <c r="J71" s="552"/>
      <c r="K71" s="552"/>
      <c r="L71" s="578"/>
      <c r="M71" s="579"/>
      <c r="N71" s="1148"/>
      <c r="O71" s="1148"/>
      <c r="P71" s="45"/>
      <c r="Q71" s="502"/>
    </row>
    <row r="72" spans="1:17" s="116" customFormat="1" ht="14.4" thickBot="1">
      <c r="A72" s="577"/>
      <c r="B72" s="541"/>
      <c r="C72" s="558"/>
      <c r="D72" s="534"/>
      <c r="E72" s="534"/>
      <c r="F72" s="534"/>
      <c r="G72" s="534"/>
      <c r="H72" s="534"/>
      <c r="I72" s="534"/>
      <c r="J72" s="534"/>
      <c r="K72" s="534"/>
      <c r="L72" s="534"/>
      <c r="M72" s="535"/>
      <c r="N72" s="1150"/>
      <c r="O72" s="1150"/>
      <c r="P72" s="45"/>
      <c r="Q72" s="502"/>
    </row>
    <row r="73" spans="1:17" s="116" customFormat="1" ht="14.4" thickTop="1">
      <c r="A73" s="577"/>
      <c r="B73" s="536">
        <f>B24</f>
        <v>111</v>
      </c>
      <c r="C73" s="547"/>
      <c r="D73" s="547"/>
      <c r="E73" s="547"/>
      <c r="F73" s="547"/>
      <c r="G73" s="552"/>
      <c r="H73" s="552"/>
      <c r="I73" s="552"/>
      <c r="J73" s="552"/>
      <c r="K73" s="552"/>
      <c r="L73" s="552"/>
      <c r="M73" s="579"/>
      <c r="N73" s="1148"/>
      <c r="O73" s="1148"/>
      <c r="P73" s="45"/>
      <c r="Q73" s="502"/>
    </row>
    <row r="74" spans="1:17" s="116" customFormat="1" ht="14.4" thickBot="1">
      <c r="A74" s="577"/>
      <c r="B74" s="541"/>
      <c r="C74" s="558"/>
      <c r="D74" s="534"/>
      <c r="E74" s="534"/>
      <c r="F74" s="534"/>
      <c r="G74" s="534"/>
      <c r="H74" s="534"/>
      <c r="I74" s="534"/>
      <c r="J74" s="534"/>
      <c r="K74" s="534"/>
      <c r="L74" s="534"/>
      <c r="M74" s="535"/>
      <c r="N74" s="1150"/>
      <c r="O74" s="1150"/>
      <c r="P74" s="45"/>
      <c r="Q74" s="502"/>
    </row>
    <row r="75" spans="1:17" s="469" customFormat="1" ht="14.4" thickTop="1">
      <c r="A75" s="551"/>
      <c r="B75" s="536">
        <f>B25</f>
        <v>111</v>
      </c>
      <c r="C75" s="547"/>
      <c r="D75" s="547"/>
      <c r="E75" s="547"/>
      <c r="F75" s="547"/>
      <c r="G75" s="552"/>
      <c r="H75" s="553"/>
      <c r="I75" s="553"/>
      <c r="J75" s="553"/>
      <c r="K75" s="553"/>
      <c r="L75" s="554"/>
      <c r="M75" s="555"/>
      <c r="N75" s="1151"/>
      <c r="O75" s="1151"/>
      <c r="P75" s="556"/>
      <c r="Q75" s="557"/>
    </row>
    <row r="76" spans="1:17" s="469" customFormat="1" ht="14.4" thickBot="1">
      <c r="A76" s="551"/>
      <c r="B76" s="541"/>
      <c r="C76" s="558"/>
      <c r="D76" s="558"/>
      <c r="E76" s="558"/>
      <c r="F76" s="558"/>
      <c r="G76" s="534"/>
      <c r="H76" s="534"/>
      <c r="I76" s="534"/>
      <c r="J76" s="534"/>
      <c r="K76" s="534"/>
      <c r="L76" s="534"/>
      <c r="M76" s="535"/>
      <c r="N76" s="1151"/>
      <c r="O76" s="1151"/>
      <c r="P76" s="556"/>
      <c r="Q76" s="557"/>
    </row>
    <row r="77" spans="1:17" ht="15" thickTop="1">
      <c r="A77" s="525" t="s">
        <v>2561</v>
      </c>
      <c r="B77" s="526" t="s">
        <v>2614</v>
      </c>
      <c r="C77" s="552"/>
      <c r="D77" s="552"/>
      <c r="E77" s="528"/>
      <c r="F77" s="528"/>
      <c r="G77" s="528"/>
      <c r="H77" s="528"/>
      <c r="I77" s="528"/>
      <c r="J77" s="528"/>
      <c r="K77" s="529"/>
      <c r="L77" s="530"/>
      <c r="M77" s="531"/>
      <c r="N77" s="1149"/>
      <c r="O77" s="1149"/>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2731</v>
      </c>
      <c r="C82" s="552"/>
      <c r="D82" s="552"/>
      <c r="E82" s="581"/>
      <c r="F82" s="581"/>
      <c r="G82" s="581"/>
      <c r="H82" s="581"/>
      <c r="I82" s="581"/>
      <c r="J82" s="581"/>
      <c r="K82" s="582"/>
      <c r="L82" s="583"/>
      <c r="M82" s="584"/>
      <c r="N82" s="1149"/>
      <c r="O82" s="1149"/>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2739</v>
      </c>
      <c r="C84" s="552"/>
      <c r="D84" s="552"/>
      <c r="E84" s="552"/>
      <c r="F84" s="552"/>
      <c r="G84" s="552"/>
      <c r="H84" s="552"/>
      <c r="I84" s="581"/>
      <c r="J84" s="581"/>
      <c r="K84" s="582"/>
      <c r="L84" s="583"/>
      <c r="M84" s="584"/>
      <c r="N84" s="1149"/>
      <c r="O84" s="1149"/>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4.4"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2741</v>
      </c>
      <c r="C89" s="552"/>
      <c r="D89" s="552"/>
      <c r="E89" s="552"/>
      <c r="F89" s="552"/>
      <c r="G89" s="552"/>
      <c r="H89" s="552"/>
      <c r="I89" s="552"/>
      <c r="J89" s="552"/>
      <c r="K89" s="552"/>
      <c r="L89" s="552"/>
      <c r="M89" s="579"/>
      <c r="N89" s="1151"/>
      <c r="O89" s="1151"/>
      <c r="P89" s="556"/>
      <c r="Q89" s="557"/>
    </row>
    <row r="90" spans="1:17" s="469" customFormat="1" ht="14.4" thickBot="1">
      <c r="A90" s="551"/>
      <c r="B90" s="541"/>
      <c r="C90" s="558"/>
      <c r="D90" s="534"/>
      <c r="E90" s="534"/>
      <c r="F90" s="534"/>
      <c r="G90" s="534"/>
      <c r="H90" s="534"/>
      <c r="I90" s="534"/>
      <c r="J90" s="534"/>
      <c r="K90" s="534"/>
      <c r="L90" s="534"/>
      <c r="M90" s="535"/>
      <c r="N90" s="1151"/>
      <c r="O90" s="1151"/>
      <c r="P90" s="556"/>
      <c r="Q90" s="557"/>
    </row>
    <row r="91" spans="1:17" ht="14.4" thickTop="1">
      <c r="A91" s="597"/>
      <c r="B91" s="536">
        <f>B32</f>
        <v>111</v>
      </c>
      <c r="C91" s="547"/>
      <c r="D91" s="547"/>
      <c r="E91" s="547"/>
      <c r="F91" s="547"/>
      <c r="G91" s="552"/>
      <c r="H91" s="553"/>
      <c r="I91" s="553"/>
      <c r="J91" s="553"/>
      <c r="K91" s="553"/>
      <c r="L91" s="554"/>
      <c r="M91" s="555"/>
      <c r="N91" s="1149"/>
      <c r="O91" s="1149"/>
      <c r="P91" s="45"/>
      <c r="Q91" s="502"/>
    </row>
    <row r="92" spans="1:17" ht="14.4" thickBot="1">
      <c r="A92" s="532"/>
      <c r="B92" s="541"/>
      <c r="C92" s="558"/>
      <c r="D92" s="534"/>
      <c r="E92" s="534"/>
      <c r="F92" s="534"/>
      <c r="G92" s="558"/>
      <c r="H92" s="560"/>
      <c r="I92" s="560"/>
      <c r="J92" s="560"/>
      <c r="K92" s="560"/>
      <c r="L92" s="560"/>
      <c r="M92" s="561"/>
      <c r="N92" s="1150"/>
      <c r="O92" s="1150"/>
      <c r="P92" s="45"/>
      <c r="Q92" s="502"/>
    </row>
    <row r="93" spans="1:17" ht="14.4" thickTop="1">
      <c r="A93" s="597"/>
      <c r="B93" s="536">
        <f>B33</f>
        <v>111</v>
      </c>
      <c r="C93" s="547"/>
      <c r="D93" s="547"/>
      <c r="E93" s="547"/>
      <c r="F93" s="547"/>
      <c r="G93" s="552"/>
      <c r="H93" s="553"/>
      <c r="I93" s="553"/>
      <c r="J93" s="553"/>
      <c r="K93" s="553"/>
      <c r="L93" s="554"/>
      <c r="M93" s="555"/>
      <c r="N93" s="1149"/>
      <c r="O93" s="1149"/>
      <c r="P93" s="45"/>
      <c r="Q93" s="502"/>
    </row>
    <row r="94" spans="1:17" ht="14.4" thickBot="1">
      <c r="A94" s="532"/>
      <c r="B94" s="541"/>
      <c r="C94" s="558"/>
      <c r="D94" s="534"/>
      <c r="E94" s="534"/>
      <c r="F94" s="534"/>
      <c r="G94" s="558"/>
      <c r="H94" s="560"/>
      <c r="I94" s="560"/>
      <c r="J94" s="560"/>
      <c r="K94" s="560"/>
      <c r="L94" s="560"/>
      <c r="M94" s="561"/>
      <c r="N94" s="1150"/>
      <c r="O94" s="1150"/>
      <c r="P94" s="45"/>
      <c r="Q94" s="502"/>
    </row>
    <row r="95" spans="1:17" ht="14.4" thickTop="1">
      <c r="A95" s="597"/>
      <c r="B95" s="634">
        <f>B34</f>
        <v>111</v>
      </c>
      <c r="C95" s="547"/>
      <c r="D95" s="547"/>
      <c r="E95" s="547"/>
      <c r="F95" s="547"/>
      <c r="G95" s="552"/>
      <c r="H95" s="553"/>
      <c r="I95" s="553"/>
      <c r="J95" s="553"/>
      <c r="K95" s="553"/>
      <c r="L95" s="554"/>
      <c r="M95" s="555"/>
      <c r="N95" s="1150"/>
      <c r="O95" s="1150"/>
      <c r="P95" s="635"/>
      <c r="Q95" s="636"/>
    </row>
    <row r="96" spans="1:17" ht="14.4" thickBot="1">
      <c r="A96" s="532"/>
      <c r="B96" s="541"/>
      <c r="C96" s="558"/>
      <c r="D96" s="558"/>
      <c r="E96" s="558"/>
      <c r="F96" s="558"/>
      <c r="G96" s="558"/>
      <c r="H96" s="560"/>
      <c r="I96" s="560"/>
      <c r="J96" s="560"/>
      <c r="K96" s="560"/>
      <c r="L96" s="560"/>
      <c r="M96" s="561"/>
      <c r="N96" s="1150"/>
      <c r="O96" s="1150"/>
      <c r="P96" s="45"/>
      <c r="Q96" s="502"/>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2325</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2327</v>
      </c>
      <c r="B3" s="607" t="e">
        <f>ROUND(IF(D3="",B2*10000/'数据-汇总表'!E3,B2*10000/D3),0)</f>
        <v>#DIV/0!</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30">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30" ht="1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30" s="116" customFormat="1" ht="15" thickBot="1">
      <c r="A7" s="406" t="s">
        <v>2546</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220"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770" t="e">
        <f>D7/J7</f>
        <v>#DIV/0!</v>
      </c>
    </row>
    <row r="8" spans="1:30" s="116"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45" si="3">D8/F8</f>
        <v>#DIV/0!</v>
      </c>
      <c r="AB8" s="770" t="e">
        <f t="shared" ref="AB8:AB45" si="4">D8/H8</f>
        <v>#DIV/0!</v>
      </c>
      <c r="AC8" s="770" t="e">
        <f t="shared" ref="AC8:AC45" si="5">D8/J8</f>
        <v>#DIV/0!</v>
      </c>
    </row>
    <row r="9" spans="1:30" s="116" customFormat="1" ht="14.4">
      <c r="A9" s="413" t="s">
        <v>2551</v>
      </c>
      <c r="B9" s="71" t="s">
        <v>2552</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30" s="425" customFormat="1" ht="28.8">
      <c r="A10" s="419"/>
      <c r="B10" s="420" t="s">
        <v>2555</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47"/>
      <c r="Z10" s="55" t="str">
        <f t="shared" si="7"/>
        <v>土地使用年限（年）</v>
      </c>
      <c r="AA10" s="770">
        <f t="shared" ca="1" si="3"/>
        <v>0.86956521739130432</v>
      </c>
      <c r="AB10" s="770">
        <f t="shared" ca="1" si="4"/>
        <v>0.86956521739130432</v>
      </c>
      <c r="AC10" s="770">
        <f t="shared" ca="1" si="5"/>
        <v>0.86956521739130432</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30" s="116" customFormat="1" ht="15">
      <c r="A12" s="429"/>
      <c r="B12" s="2591" t="s">
        <v>2745</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8"/>
      <c r="Q12" s="1784" t="str">
        <f t="shared" si="6"/>
        <v>配建</v>
      </c>
      <c r="R12" s="767" t="s">
        <v>17</v>
      </c>
      <c r="S12" s="768">
        <f t="shared" si="0"/>
        <v>100</v>
      </c>
      <c r="T12" s="767" t="s">
        <v>17</v>
      </c>
      <c r="U12" s="768">
        <f t="shared" si="1"/>
        <v>100</v>
      </c>
      <c r="V12" s="767" t="s">
        <v>17</v>
      </c>
      <c r="W12" s="768">
        <f t="shared" si="2"/>
        <v>100</v>
      </c>
      <c r="X12" s="769"/>
      <c r="Y12" s="3047"/>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D13/F13</f>
        <v>1</v>
      </c>
      <c r="AB13" s="770">
        <f>D13/H13</f>
        <v>1</v>
      </c>
      <c r="AC13" s="770">
        <f>D13/J13</f>
        <v>1</v>
      </c>
    </row>
    <row r="14" spans="1:30" ht="15.6"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D14/F14</f>
        <v>1</v>
      </c>
      <c r="AB14" s="770">
        <f>D14/H14</f>
        <v>1</v>
      </c>
      <c r="AC14" s="770">
        <f>D14/J14</f>
        <v>1</v>
      </c>
    </row>
    <row r="15" spans="1:30" ht="96.6">
      <c r="A15" s="438" t="s">
        <v>2557</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01" t="s">
        <v>2558</v>
      </c>
      <c r="Q15" s="1799" t="str">
        <f t="shared" si="6"/>
        <v>居住社区成熟度</v>
      </c>
      <c r="R15" s="771" t="s">
        <v>17</v>
      </c>
      <c r="S15" s="772">
        <f t="shared" si="0"/>
        <v>100</v>
      </c>
      <c r="T15" s="771" t="s">
        <v>17</v>
      </c>
      <c r="U15" s="772">
        <f t="shared" si="1"/>
        <v>100</v>
      </c>
      <c r="V15" s="771" t="s">
        <v>17</v>
      </c>
      <c r="W15" s="772">
        <f t="shared" si="2"/>
        <v>100</v>
      </c>
      <c r="X15" s="1802"/>
      <c r="Y15" s="3201" t="s">
        <v>2558</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202"/>
      <c r="Q16" s="1799"/>
      <c r="R16" s="771"/>
      <c r="S16" s="772"/>
      <c r="T16" s="771"/>
      <c r="U16" s="772"/>
      <c r="V16" s="771"/>
      <c r="W16" s="772"/>
      <c r="X16" s="1802"/>
      <c r="Y16" s="3202"/>
      <c r="Z16" s="1803"/>
      <c r="AA16" s="1800">
        <v>1</v>
      </c>
      <c r="AB16" s="1800">
        <v>1</v>
      </c>
      <c r="AC16" s="1800">
        <v>1</v>
      </c>
    </row>
    <row r="17" spans="1:29" ht="82.8">
      <c r="A17" s="426"/>
      <c r="B17" s="449" t="s">
        <v>2651</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02"/>
      <c r="Q17" s="1799" t="str">
        <f>B17</f>
        <v>商业繁华度</v>
      </c>
      <c r="R17" s="771" t="s">
        <v>17</v>
      </c>
      <c r="S17" s="772">
        <f>F17</f>
        <v>100</v>
      </c>
      <c r="T17" s="771" t="s">
        <v>17</v>
      </c>
      <c r="U17" s="772">
        <f>H17</f>
        <v>100</v>
      </c>
      <c r="V17" s="771" t="s">
        <v>17</v>
      </c>
      <c r="W17" s="772">
        <f>J17</f>
        <v>100</v>
      </c>
      <c r="X17" s="1802"/>
      <c r="Y17" s="3202"/>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202"/>
      <c r="Q18" s="1799"/>
      <c r="R18" s="771"/>
      <c r="S18" s="772"/>
      <c r="T18" s="771"/>
      <c r="U18" s="772"/>
      <c r="V18" s="771"/>
      <c r="W18" s="772"/>
      <c r="X18" s="1802"/>
      <c r="Y18" s="3202"/>
      <c r="Z18" s="1803"/>
      <c r="AA18" s="1800">
        <v>1</v>
      </c>
      <c r="AB18" s="1800">
        <v>1</v>
      </c>
      <c r="AC18" s="1800">
        <v>1</v>
      </c>
    </row>
    <row r="19" spans="1:29" ht="82.8">
      <c r="A19" s="426"/>
      <c r="B19" s="449" t="s">
        <v>2685</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02"/>
      <c r="Q19" s="1799" t="str">
        <f>B19</f>
        <v>办公集聚程度</v>
      </c>
      <c r="R19" s="771" t="s">
        <v>17</v>
      </c>
      <c r="S19" s="772">
        <f>F19</f>
        <v>100</v>
      </c>
      <c r="T19" s="771" t="s">
        <v>17</v>
      </c>
      <c r="U19" s="772">
        <f>H19</f>
        <v>100</v>
      </c>
      <c r="V19" s="771" t="s">
        <v>17</v>
      </c>
      <c r="W19" s="772">
        <f>J19</f>
        <v>100</v>
      </c>
      <c r="X19" s="1802"/>
      <c r="Y19" s="3202"/>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202"/>
      <c r="Q20" s="1799"/>
      <c r="R20" s="771"/>
      <c r="S20" s="772"/>
      <c r="T20" s="771"/>
      <c r="U20" s="772"/>
      <c r="V20" s="771"/>
      <c r="W20" s="772"/>
      <c r="X20" s="1802"/>
      <c r="Y20" s="3202"/>
      <c r="Z20" s="1803"/>
      <c r="AA20" s="1800">
        <v>1</v>
      </c>
      <c r="AB20" s="1800">
        <v>1</v>
      </c>
      <c r="AC20" s="1800">
        <v>1</v>
      </c>
    </row>
    <row r="21" spans="1:29" ht="96.6">
      <c r="A21" s="426"/>
      <c r="B21" s="449" t="s">
        <v>2707</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02"/>
      <c r="Q21" s="1799" t="str">
        <f>B21</f>
        <v>交通便捷度</v>
      </c>
      <c r="R21" s="771" t="s">
        <v>17</v>
      </c>
      <c r="S21" s="772">
        <f>F21</f>
        <v>100</v>
      </c>
      <c r="T21" s="771" t="s">
        <v>17</v>
      </c>
      <c r="U21" s="772">
        <f>H21</f>
        <v>100</v>
      </c>
      <c r="V21" s="771" t="s">
        <v>17</v>
      </c>
      <c r="W21" s="772">
        <f>J21</f>
        <v>100</v>
      </c>
      <c r="X21" s="1802"/>
      <c r="Y21" s="3202"/>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202"/>
      <c r="Q22" s="1799"/>
      <c r="R22" s="771"/>
      <c r="S22" s="772"/>
      <c r="T22" s="771"/>
      <c r="U22" s="772"/>
      <c r="V22" s="771"/>
      <c r="W22" s="772"/>
      <c r="X22" s="1802"/>
      <c r="Y22" s="3202"/>
      <c r="Z22" s="1803"/>
      <c r="AA22" s="1800">
        <v>1</v>
      </c>
      <c r="AB22" s="1800">
        <v>1</v>
      </c>
      <c r="AC22" s="1800">
        <v>1</v>
      </c>
    </row>
    <row r="23" spans="1:29" ht="28.8">
      <c r="A23" s="402"/>
      <c r="B23" s="449" t="s">
        <v>2746</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02"/>
      <c r="Q23" s="1799" t="str">
        <f t="shared" ref="Q23:Q37" si="8">B23</f>
        <v>区域土地利用方向</v>
      </c>
      <c r="R23" s="771" t="s">
        <v>17</v>
      </c>
      <c r="S23" s="772">
        <f>F23</f>
        <v>100</v>
      </c>
      <c r="T23" s="771" t="s">
        <v>17</v>
      </c>
      <c r="U23" s="772">
        <f>H23</f>
        <v>100</v>
      </c>
      <c r="V23" s="771" t="s">
        <v>17</v>
      </c>
      <c r="W23" s="772">
        <f>J23</f>
        <v>100</v>
      </c>
      <c r="X23" s="1802"/>
      <c r="Y23" s="3202"/>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202"/>
      <c r="Q24" s="1799"/>
      <c r="R24" s="771"/>
      <c r="S24" s="772"/>
      <c r="T24" s="771"/>
      <c r="U24" s="772"/>
      <c r="V24" s="771"/>
      <c r="W24" s="772"/>
      <c r="X24" s="1802"/>
      <c r="Y24" s="3202"/>
      <c r="Z24" s="1803"/>
      <c r="AA24" s="1800"/>
      <c r="AB24" s="1800"/>
      <c r="AC24" s="1800"/>
    </row>
    <row r="25" spans="1:29" ht="55.2">
      <c r="A25" s="402"/>
      <c r="B25" s="1381" t="s">
        <v>2747</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02"/>
      <c r="Q25" s="1799" t="str">
        <f t="shared" si="8"/>
        <v>自然及人文环境状况</v>
      </c>
      <c r="R25" s="771" t="s">
        <v>17</v>
      </c>
      <c r="S25" s="772">
        <f>F25</f>
        <v>100</v>
      </c>
      <c r="T25" s="771" t="s">
        <v>17</v>
      </c>
      <c r="U25" s="772">
        <f>H25</f>
        <v>100</v>
      </c>
      <c r="V25" s="771" t="s">
        <v>17</v>
      </c>
      <c r="W25" s="772">
        <f>J25</f>
        <v>100</v>
      </c>
      <c r="X25" s="1802"/>
      <c r="Y25" s="3202"/>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202"/>
      <c r="Q26" s="1799"/>
      <c r="R26" s="771"/>
      <c r="S26" s="772"/>
      <c r="T26" s="771"/>
      <c r="U26" s="772"/>
      <c r="V26" s="771"/>
      <c r="W26" s="772"/>
      <c r="X26" s="1802"/>
      <c r="Y26" s="3202"/>
      <c r="Z26" s="1803"/>
      <c r="AA26" s="1800">
        <v>1</v>
      </c>
      <c r="AB26" s="1800">
        <v>1</v>
      </c>
      <c r="AC26" s="1800">
        <v>1</v>
      </c>
    </row>
    <row r="27" spans="1:29" s="116" customFormat="1" ht="41.4">
      <c r="A27" s="647"/>
      <c r="B27" s="1381" t="s">
        <v>2652</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02"/>
      <c r="Q27" s="1784" t="str">
        <f t="shared" si="8"/>
        <v>公共配套设施</v>
      </c>
      <c r="R27" s="767" t="s">
        <v>17</v>
      </c>
      <c r="S27" s="768">
        <f>F27</f>
        <v>100</v>
      </c>
      <c r="T27" s="767" t="s">
        <v>17</v>
      </c>
      <c r="U27" s="768">
        <f>H27</f>
        <v>100</v>
      </c>
      <c r="V27" s="767" t="s">
        <v>17</v>
      </c>
      <c r="W27" s="768">
        <f>J27</f>
        <v>100</v>
      </c>
      <c r="X27" s="769"/>
      <c r="Y27" s="3202"/>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202"/>
      <c r="Q28" s="1784"/>
      <c r="R28" s="767"/>
      <c r="S28" s="768"/>
      <c r="T28" s="767"/>
      <c r="U28" s="768"/>
      <c r="V28" s="767"/>
      <c r="W28" s="768"/>
      <c r="X28" s="769"/>
      <c r="Y28" s="3202"/>
      <c r="Z28" s="55"/>
      <c r="AA28" s="1800">
        <v>1</v>
      </c>
      <c r="AB28" s="1800">
        <v>1</v>
      </c>
      <c r="AC28" s="1800">
        <v>1</v>
      </c>
    </row>
    <row r="29" spans="1:29" s="116" customFormat="1" ht="41.4">
      <c r="A29" s="647"/>
      <c r="B29" s="1381" t="s">
        <v>2653</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02"/>
      <c r="Q29" s="1784" t="str">
        <f t="shared" ref="Q29" si="9">B29</f>
        <v>基础设施水平</v>
      </c>
      <c r="R29" s="767" t="s">
        <v>17</v>
      </c>
      <c r="S29" s="768">
        <f>F29</f>
        <v>100</v>
      </c>
      <c r="T29" s="767" t="s">
        <v>17</v>
      </c>
      <c r="U29" s="768">
        <f>H29</f>
        <v>100</v>
      </c>
      <c r="V29" s="767" t="s">
        <v>17</v>
      </c>
      <c r="W29" s="768">
        <f>J29</f>
        <v>100</v>
      </c>
      <c r="X29" s="769"/>
      <c r="Y29" s="3202"/>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202"/>
      <c r="Q30" s="1784"/>
      <c r="R30" s="767"/>
      <c r="S30" s="768"/>
      <c r="T30" s="767"/>
      <c r="U30" s="768"/>
      <c r="V30" s="767"/>
      <c r="W30" s="768"/>
      <c r="X30" s="769"/>
      <c r="Y30" s="3202"/>
      <c r="Z30" s="55"/>
      <c r="AA30" s="1800">
        <v>1</v>
      </c>
      <c r="AB30" s="1800">
        <v>1</v>
      </c>
      <c r="AC30" s="180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02"/>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02"/>
      <c r="Z31" s="1803" t="str">
        <f t="shared" ref="Z31:Z45" si="13">Q31</f>
        <v>临街状况</v>
      </c>
      <c r="AA31" s="1800">
        <f t="shared" si="3"/>
        <v>1</v>
      </c>
      <c r="AB31" s="1800">
        <f t="shared" si="4"/>
        <v>1</v>
      </c>
      <c r="AC31" s="1800">
        <f t="shared" si="5"/>
        <v>1</v>
      </c>
    </row>
    <row r="32" spans="1:29" ht="28.8">
      <c r="A32" s="426"/>
      <c r="B32" s="1381"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02"/>
      <c r="Q32" s="1799" t="str">
        <f t="shared" si="8"/>
        <v>毗邻道路的类型与等级</v>
      </c>
      <c r="R32" s="771" t="s">
        <v>17</v>
      </c>
      <c r="S32" s="772">
        <f t="shared" si="10"/>
        <v>100</v>
      </c>
      <c r="T32" s="771" t="s">
        <v>17</v>
      </c>
      <c r="U32" s="772">
        <f t="shared" si="11"/>
        <v>100</v>
      </c>
      <c r="V32" s="771" t="s">
        <v>17</v>
      </c>
      <c r="W32" s="772">
        <f t="shared" si="12"/>
        <v>100</v>
      </c>
      <c r="X32" s="1802"/>
      <c r="Y32" s="3202"/>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202"/>
      <c r="Q33" s="1799"/>
      <c r="R33" s="771"/>
      <c r="S33" s="772"/>
      <c r="T33" s="771"/>
      <c r="U33" s="772"/>
      <c r="V33" s="771"/>
      <c r="W33" s="772"/>
      <c r="X33" s="1802"/>
      <c r="Y33" s="3202"/>
      <c r="Z33" s="1803"/>
      <c r="AA33" s="1800">
        <v>1</v>
      </c>
      <c r="AB33" s="1800">
        <v>1</v>
      </c>
      <c r="AC33" s="180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02"/>
      <c r="Q34" s="1799" t="str">
        <f t="shared" si="8"/>
        <v>土地级别</v>
      </c>
      <c r="R34" s="771" t="s">
        <v>17</v>
      </c>
      <c r="S34" s="772">
        <f t="shared" si="10"/>
        <v>100</v>
      </c>
      <c r="T34" s="771" t="s">
        <v>17</v>
      </c>
      <c r="U34" s="772">
        <f t="shared" si="11"/>
        <v>100</v>
      </c>
      <c r="V34" s="771" t="s">
        <v>17</v>
      </c>
      <c r="W34" s="772">
        <f t="shared" si="12"/>
        <v>100</v>
      </c>
      <c r="X34" s="1802"/>
      <c r="Y34" s="3202"/>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02"/>
      <c r="Q35" s="1799">
        <f t="shared" si="8"/>
        <v>111</v>
      </c>
      <c r="R35" s="771" t="s">
        <v>17</v>
      </c>
      <c r="S35" s="772">
        <f t="shared" si="10"/>
        <v>100</v>
      </c>
      <c r="T35" s="771" t="s">
        <v>17</v>
      </c>
      <c r="U35" s="772">
        <f t="shared" si="11"/>
        <v>100</v>
      </c>
      <c r="V35" s="771" t="s">
        <v>17</v>
      </c>
      <c r="W35" s="772">
        <f t="shared" si="12"/>
        <v>100</v>
      </c>
      <c r="X35" s="1802"/>
      <c r="Y35" s="3202"/>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03" t="s">
        <v>2563</v>
      </c>
      <c r="Q36" s="1799">
        <f t="shared" si="8"/>
        <v>111</v>
      </c>
      <c r="R36" s="771" t="s">
        <v>17</v>
      </c>
      <c r="S36" s="772">
        <f t="shared" si="10"/>
        <v>100</v>
      </c>
      <c r="T36" s="771" t="s">
        <v>17</v>
      </c>
      <c r="U36" s="772">
        <f t="shared" si="11"/>
        <v>100</v>
      </c>
      <c r="V36" s="771" t="s">
        <v>17</v>
      </c>
      <c r="W36" s="772">
        <f t="shared" si="12"/>
        <v>100</v>
      </c>
      <c r="X36" s="1802"/>
      <c r="Y36" s="3204" t="s">
        <v>2563</v>
      </c>
      <c r="Z36" s="1803">
        <f t="shared" si="13"/>
        <v>111</v>
      </c>
      <c r="AA36" s="1800">
        <f t="shared" si="3"/>
        <v>1</v>
      </c>
      <c r="AB36" s="1800">
        <f t="shared" si="4"/>
        <v>1</v>
      </c>
      <c r="AC36" s="1800">
        <f t="shared" si="5"/>
        <v>1</v>
      </c>
    </row>
    <row r="37" spans="1:29" s="469" customFormat="1" ht="15.6"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04"/>
      <c r="Q37" s="1799">
        <f t="shared" si="8"/>
        <v>111</v>
      </c>
      <c r="R37" s="774" t="s">
        <v>17</v>
      </c>
      <c r="S37" s="775">
        <f t="shared" si="10"/>
        <v>100</v>
      </c>
      <c r="T37" s="774" t="s">
        <v>17</v>
      </c>
      <c r="U37" s="775">
        <f t="shared" si="11"/>
        <v>100</v>
      </c>
      <c r="V37" s="774" t="s">
        <v>17</v>
      </c>
      <c r="W37" s="775">
        <f t="shared" si="12"/>
        <v>100</v>
      </c>
      <c r="X37" s="776"/>
      <c r="Y37" s="3204"/>
      <c r="Z37" s="777">
        <f t="shared" si="13"/>
        <v>111</v>
      </c>
      <c r="AA37" s="1800">
        <f t="shared" si="3"/>
        <v>1</v>
      </c>
      <c r="AB37" s="1800">
        <f t="shared" si="4"/>
        <v>1</v>
      </c>
      <c r="AC37" s="1800">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04"/>
      <c r="Q38" s="1799" t="str">
        <f>B38</f>
        <v>宗地面积</v>
      </c>
      <c r="R38" s="771" t="s">
        <v>17</v>
      </c>
      <c r="S38" s="772" t="e">
        <f t="shared" si="10"/>
        <v>#N/A</v>
      </c>
      <c r="T38" s="771" t="s">
        <v>17</v>
      </c>
      <c r="U38" s="772" t="e">
        <f t="shared" si="11"/>
        <v>#N/A</v>
      </c>
      <c r="V38" s="771" t="s">
        <v>17</v>
      </c>
      <c r="W38" s="772" t="e">
        <f t="shared" si="12"/>
        <v>#N/A</v>
      </c>
      <c r="X38" s="1802"/>
      <c r="Y38" s="3204"/>
      <c r="Z38" s="1803" t="str">
        <f t="shared" si="13"/>
        <v>宗地面积</v>
      </c>
      <c r="AA38" s="1800" t="e">
        <f t="shared" si="3"/>
        <v>#N/A</v>
      </c>
      <c r="AB38" s="1800" t="e">
        <f t="shared" si="4"/>
        <v>#N/A</v>
      </c>
      <c r="AC38" s="1800" t="e">
        <f t="shared" si="5"/>
        <v>#N/A</v>
      </c>
    </row>
    <row r="39" spans="1:29" ht="15">
      <c r="A39" s="470"/>
      <c r="B39" s="420" t="s">
        <v>2750</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204"/>
      <c r="Q39" s="1799" t="str">
        <f t="shared" ref="Q39:Q45" si="14">B39</f>
        <v>宗地形状</v>
      </c>
      <c r="R39" s="771" t="s">
        <v>17</v>
      </c>
      <c r="S39" s="772">
        <f t="shared" si="10"/>
        <v>100</v>
      </c>
      <c r="T39" s="771" t="s">
        <v>17</v>
      </c>
      <c r="U39" s="772">
        <f t="shared" si="11"/>
        <v>100</v>
      </c>
      <c r="V39" s="771" t="s">
        <v>17</v>
      </c>
      <c r="W39" s="772">
        <f t="shared" si="12"/>
        <v>100</v>
      </c>
      <c r="X39" s="1802"/>
      <c r="Y39" s="3204"/>
      <c r="Z39" s="1803" t="str">
        <f t="shared" si="13"/>
        <v>宗地形状</v>
      </c>
      <c r="AA39" s="1800">
        <f t="shared" si="3"/>
        <v>1</v>
      </c>
      <c r="AB39" s="1800">
        <f t="shared" si="4"/>
        <v>1</v>
      </c>
      <c r="AC39" s="1800">
        <f t="shared" si="5"/>
        <v>1</v>
      </c>
    </row>
    <row r="40" spans="1:29" ht="15">
      <c r="A40" s="470"/>
      <c r="B40" s="420" t="s">
        <v>2751</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204"/>
      <c r="Q40" s="1799" t="str">
        <f t="shared" si="14"/>
        <v>临街宽度及深度</v>
      </c>
      <c r="R40" s="771" t="s">
        <v>17</v>
      </c>
      <c r="S40" s="772">
        <f t="shared" si="10"/>
        <v>100</v>
      </c>
      <c r="T40" s="771" t="s">
        <v>17</v>
      </c>
      <c r="U40" s="772">
        <f t="shared" si="11"/>
        <v>100</v>
      </c>
      <c r="V40" s="771" t="s">
        <v>17</v>
      </c>
      <c r="W40" s="772">
        <f t="shared" si="12"/>
        <v>100</v>
      </c>
      <c r="X40" s="1802"/>
      <c r="Y40" s="3204"/>
      <c r="Z40" s="1803" t="str">
        <f t="shared" si="13"/>
        <v>临街宽度及深度</v>
      </c>
      <c r="AA40" s="1800">
        <f t="shared" si="3"/>
        <v>1</v>
      </c>
      <c r="AB40" s="1800">
        <f t="shared" si="4"/>
        <v>1</v>
      </c>
      <c r="AC40" s="1800">
        <f t="shared" si="5"/>
        <v>1</v>
      </c>
    </row>
    <row r="41" spans="1:29" s="116" customFormat="1" ht="15">
      <c r="A41" s="471"/>
      <c r="B41" s="420" t="s">
        <v>2752</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204"/>
      <c r="Q41" s="1799" t="str">
        <f t="shared" si="14"/>
        <v>宗地开发程度</v>
      </c>
      <c r="R41" s="767" t="s">
        <v>17</v>
      </c>
      <c r="S41" s="768">
        <f t="shared" si="10"/>
        <v>100</v>
      </c>
      <c r="T41" s="767" t="s">
        <v>17</v>
      </c>
      <c r="U41" s="768">
        <f t="shared" si="11"/>
        <v>100</v>
      </c>
      <c r="V41" s="767" t="s">
        <v>17</v>
      </c>
      <c r="W41" s="768">
        <f t="shared" si="12"/>
        <v>100</v>
      </c>
      <c r="X41" s="769"/>
      <c r="Y41" s="3204"/>
      <c r="Z41" s="55" t="str">
        <f t="shared" si="13"/>
        <v>宗地开发程度</v>
      </c>
      <c r="AA41" s="770">
        <f t="shared" si="3"/>
        <v>1</v>
      </c>
      <c r="AB41" s="770">
        <f t="shared" si="4"/>
        <v>1</v>
      </c>
      <c r="AC41" s="770">
        <f t="shared" si="5"/>
        <v>1</v>
      </c>
    </row>
    <row r="42" spans="1:29" ht="15">
      <c r="A42" s="470"/>
      <c r="B42" s="420" t="s">
        <v>2753</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204" t="s">
        <v>2563</v>
      </c>
      <c r="Q42" s="1799" t="str">
        <f t="shared" si="14"/>
        <v>工程地质条件</v>
      </c>
      <c r="R42" s="771" t="s">
        <v>17</v>
      </c>
      <c r="S42" s="772">
        <f t="shared" si="10"/>
        <v>100</v>
      </c>
      <c r="T42" s="771" t="s">
        <v>17</v>
      </c>
      <c r="U42" s="772">
        <f t="shared" si="11"/>
        <v>100</v>
      </c>
      <c r="V42" s="771" t="s">
        <v>17</v>
      </c>
      <c r="W42" s="772">
        <f t="shared" si="12"/>
        <v>100</v>
      </c>
      <c r="X42" s="1802"/>
      <c r="Y42" s="3204" t="s">
        <v>2563</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04"/>
      <c r="Q43" s="1799">
        <f t="shared" si="14"/>
        <v>111</v>
      </c>
      <c r="R43" s="771" t="s">
        <v>17</v>
      </c>
      <c r="S43" s="772">
        <f t="shared" si="10"/>
        <v>100</v>
      </c>
      <c r="T43" s="771" t="s">
        <v>17</v>
      </c>
      <c r="U43" s="772">
        <f t="shared" si="11"/>
        <v>100</v>
      </c>
      <c r="V43" s="771" t="s">
        <v>17</v>
      </c>
      <c r="W43" s="772">
        <f t="shared" si="12"/>
        <v>100</v>
      </c>
      <c r="X43" s="1802"/>
      <c r="Y43" s="3204"/>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04"/>
      <c r="Q44" s="1799">
        <f t="shared" si="14"/>
        <v>111</v>
      </c>
      <c r="R44" s="771" t="s">
        <v>17</v>
      </c>
      <c r="S44" s="772">
        <f t="shared" si="10"/>
        <v>100</v>
      </c>
      <c r="T44" s="771" t="s">
        <v>17</v>
      </c>
      <c r="U44" s="772">
        <f t="shared" si="11"/>
        <v>100</v>
      </c>
      <c r="V44" s="771" t="s">
        <v>17</v>
      </c>
      <c r="W44" s="772">
        <f t="shared" si="12"/>
        <v>100</v>
      </c>
      <c r="X44" s="1802"/>
      <c r="Y44" s="3204"/>
      <c r="Z44" s="1803">
        <f t="shared" si="13"/>
        <v>111</v>
      </c>
      <c r="AA44" s="1800">
        <f t="shared" si="3"/>
        <v>1</v>
      </c>
      <c r="AB44" s="1800">
        <f t="shared" si="4"/>
        <v>1</v>
      </c>
      <c r="AC44" s="1800">
        <f t="shared" si="5"/>
        <v>1</v>
      </c>
    </row>
    <row r="45" spans="1:29" s="469" customFormat="1" ht="15.6"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04"/>
      <c r="Q45" s="1799">
        <f t="shared" si="14"/>
        <v>111</v>
      </c>
      <c r="R45" s="774" t="s">
        <v>17</v>
      </c>
      <c r="S45" s="775">
        <f t="shared" si="10"/>
        <v>100</v>
      </c>
      <c r="T45" s="774" t="s">
        <v>17</v>
      </c>
      <c r="U45" s="775">
        <f t="shared" si="11"/>
        <v>100</v>
      </c>
      <c r="V45" s="774" t="s">
        <v>17</v>
      </c>
      <c r="W45" s="775">
        <f t="shared" si="12"/>
        <v>100</v>
      </c>
      <c r="X45" s="776"/>
      <c r="Y45" s="3204"/>
      <c r="Z45" s="777">
        <f t="shared" si="13"/>
        <v>111</v>
      </c>
      <c r="AA45" s="1800">
        <f t="shared" si="3"/>
        <v>1</v>
      </c>
      <c r="AB45" s="1800">
        <f t="shared" si="4"/>
        <v>1</v>
      </c>
      <c r="AC45" s="1800">
        <f t="shared" si="5"/>
        <v>1</v>
      </c>
    </row>
    <row r="46" spans="1:29" ht="14.4">
      <c r="A46" s="477" t="s">
        <v>2718</v>
      </c>
      <c r="B46" s="2695" t="s">
        <v>2754</v>
      </c>
      <c r="C46" s="680" t="s">
        <v>1</v>
      </c>
      <c r="D46" s="479"/>
      <c r="E46" s="480"/>
      <c r="F46" s="481"/>
      <c r="G46" s="482"/>
      <c r="H46" s="483"/>
      <c r="I46" s="480"/>
      <c r="J46" s="483"/>
      <c r="K46" s="780"/>
      <c r="L46" s="1140"/>
      <c r="M46" s="1141"/>
      <c r="N46" s="1128"/>
      <c r="O46" s="1141"/>
      <c r="P46" s="3198" t="str">
        <f>A46</f>
        <v>成交单价</v>
      </c>
      <c r="Q46" s="3198"/>
      <c r="R46" s="3200">
        <f>E46</f>
        <v>0</v>
      </c>
      <c r="S46" s="3200"/>
      <c r="T46" s="3200">
        <f>G46</f>
        <v>0</v>
      </c>
      <c r="U46" s="3200"/>
      <c r="V46" s="3200">
        <f>I46</f>
        <v>0</v>
      </c>
      <c r="W46" s="3200"/>
      <c r="X46" s="756"/>
      <c r="Y46" s="778"/>
      <c r="Z46" s="756"/>
      <c r="AA46" s="756"/>
      <c r="AB46" s="756"/>
      <c r="AC46" s="756"/>
    </row>
    <row r="47" spans="1:29" ht="15" thickBot="1">
      <c r="A47" s="484" t="s">
        <v>2667</v>
      </c>
      <c r="B47" s="681"/>
      <c r="C47" s="488" t="e">
        <f>R48</f>
        <v>#DIV/0!</v>
      </c>
      <c r="D47" s="487"/>
      <c r="E47" s="488" t="e">
        <f>R47</f>
        <v>#DIV/0!</v>
      </c>
      <c r="F47" s="489"/>
      <c r="G47" s="486" t="e">
        <f>T47</f>
        <v>#DIV/0!</v>
      </c>
      <c r="H47" s="487"/>
      <c r="I47" s="488" t="e">
        <f>V47</f>
        <v>#DIV/0!</v>
      </c>
      <c r="J47" s="487"/>
      <c r="K47" s="781"/>
      <c r="L47" s="1140"/>
      <c r="M47" s="1141"/>
      <c r="N47" s="1141"/>
      <c r="O47" s="1141"/>
      <c r="P47" s="3198" t="str">
        <f>A47</f>
        <v>比较价值（元/平方米）</v>
      </c>
      <c r="Q47" s="3198"/>
      <c r="R47" s="3199" t="e">
        <f>ROUND(PRODUCT(R46,AA7:AA45),0)</f>
        <v>#DIV/0!</v>
      </c>
      <c r="S47" s="3199"/>
      <c r="T47" s="3199" t="e">
        <f>ROUND(PRODUCT(T46,AB7:AB45),0)</f>
        <v>#DIV/0!</v>
      </c>
      <c r="U47" s="3199"/>
      <c r="V47" s="3199" t="e">
        <f>ROUND(PRODUCT(V46,AC7:AC45),0)</f>
        <v>#DIV/0!</v>
      </c>
      <c r="W47" s="3199"/>
      <c r="X47" s="756"/>
      <c r="Y47" s="756"/>
      <c r="Z47" s="756"/>
      <c r="AA47" s="756"/>
      <c r="AB47" s="756"/>
      <c r="AC47" s="756"/>
    </row>
    <row r="48" spans="1:29" ht="15" thickBot="1">
      <c r="A48" s="490" t="s">
        <v>2755</v>
      </c>
      <c r="B48" s="491"/>
      <c r="C48" s="492" t="e">
        <f>R48</f>
        <v>#DIV/0!</v>
      </c>
      <c r="D48" s="492"/>
      <c r="E48" s="492"/>
      <c r="F48" s="492"/>
      <c r="G48" s="492"/>
      <c r="H48" s="492"/>
      <c r="I48" s="492"/>
      <c r="J48" s="492"/>
      <c r="K48" s="782"/>
      <c r="L48" s="1140"/>
      <c r="M48" s="1141"/>
      <c r="N48" s="1141"/>
      <c r="O48" s="1141"/>
      <c r="P48" s="3195" t="str">
        <f>A48</f>
        <v>估价对象XX用房的比较价值（楼面单价，元/平方米）</v>
      </c>
      <c r="Q48" s="3196"/>
      <c r="R48" s="3197" t="e">
        <f>ROUND(AVERAGE(R47:V47),0)</f>
        <v>#DIV/0!</v>
      </c>
      <c r="S48" s="3197"/>
      <c r="T48" s="3197"/>
      <c r="U48" s="3197"/>
      <c r="V48" s="3197"/>
      <c r="W48" s="3197"/>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4.4" thickBot="1">
      <c r="A54" s="1142"/>
      <c r="B54" s="1143"/>
      <c r="C54" s="759"/>
      <c r="D54" s="757"/>
      <c r="E54" s="757"/>
      <c r="F54" s="757"/>
      <c r="G54" s="757"/>
      <c r="H54" s="757"/>
      <c r="I54" s="757"/>
      <c r="J54" s="757"/>
      <c r="K54" s="1145"/>
      <c r="L54" s="1146"/>
      <c r="M54" s="1142"/>
      <c r="N54" s="1142"/>
      <c r="O54" s="1142"/>
    </row>
    <row r="55" spans="1:15" ht="27" customHeight="1">
      <c r="A55" s="682" t="s">
        <v>2756</v>
      </c>
      <c r="B55" s="683" t="s">
        <v>2757</v>
      </c>
      <c r="C55" s="2696" t="s">
        <v>2758</v>
      </c>
      <c r="D55" s="2697" t="s">
        <v>2759</v>
      </c>
      <c r="E55" s="684" t="s">
        <v>2760</v>
      </c>
      <c r="F55" s="1104" t="s">
        <v>2761</v>
      </c>
      <c r="G55" s="3208" t="s">
        <v>2762</v>
      </c>
      <c r="H55" s="3222"/>
      <c r="I55" s="142" t="s">
        <v>2763</v>
      </c>
      <c r="J55" s="2698">
        <f>项目基本情况!F35</f>
        <v>0</v>
      </c>
      <c r="K55" s="2699" t="s">
        <v>2764</v>
      </c>
      <c r="L55" s="1103"/>
      <c r="M55" s="1141"/>
      <c r="N55" s="1141"/>
      <c r="O55" s="1141"/>
    </row>
    <row r="56" spans="1:15" s="690" customFormat="1">
      <c r="A56" s="686" t="s">
        <v>2765</v>
      </c>
      <c r="B56" s="687" t="e">
        <f>C48</f>
        <v>#DIV/0!</v>
      </c>
      <c r="C56" s="688">
        <v>1</v>
      </c>
      <c r="D56" s="1160">
        <v>1</v>
      </c>
      <c r="E56" s="688">
        <f>'数据-汇总表'!E8+'数据-汇总表'!E9</f>
        <v>65627.570000000007</v>
      </c>
      <c r="F56" s="1100" t="e">
        <f t="shared" ref="F56:F65" si="15">ROUND(B56*E56/10000,0)</f>
        <v>#DIV/0!</v>
      </c>
      <c r="G56" s="3223"/>
      <c r="H56" s="3198"/>
      <c r="I56" s="1105">
        <v>1</v>
      </c>
      <c r="J56" s="1108">
        <v>1</v>
      </c>
      <c r="K56" s="1142"/>
      <c r="L56" s="938"/>
      <c r="M56" s="938"/>
      <c r="N56" s="938"/>
      <c r="O56" s="938"/>
    </row>
    <row r="57" spans="1:15" s="690" customFormat="1">
      <c r="A57" s="691" t="s">
        <v>2766</v>
      </c>
      <c r="B57" s="260" t="e">
        <f>ROUND($C$48*C57*D57,0)</f>
        <v>#DIV/0!</v>
      </c>
      <c r="C57" s="198">
        <f t="shared" ref="C57:C65" si="16">IF($C$55="北京市系数",I57,J57)</f>
        <v>0</v>
      </c>
      <c r="D57" s="1161">
        <v>0.25</v>
      </c>
      <c r="E57" s="692"/>
      <c r="F57" s="1100" t="e">
        <f t="shared" si="15"/>
        <v>#DIV/0!</v>
      </c>
      <c r="G57" s="3224" t="s">
        <v>2767</v>
      </c>
      <c r="H57" s="1101">
        <f>项目基本情况!B37</f>
        <v>0</v>
      </c>
      <c r="I57" s="1105">
        <f>SUMIF(修正!A45:A56,H57,修正!B45:B56)</f>
        <v>0</v>
      </c>
      <c r="J57" s="1109"/>
      <c r="K57" s="1141"/>
      <c r="L57" s="938"/>
      <c r="M57" s="938"/>
      <c r="N57" s="938"/>
      <c r="O57" s="938"/>
    </row>
    <row r="58" spans="1:15" s="690" customFormat="1">
      <c r="A58" s="691" t="s">
        <v>2768</v>
      </c>
      <c r="B58" s="260" t="e">
        <f t="shared" ref="B58:B65" si="17">ROUND($C$48*C58*D58,0)</f>
        <v>#DIV/0!</v>
      </c>
      <c r="C58" s="198">
        <f t="shared" si="16"/>
        <v>0</v>
      </c>
      <c r="D58" s="1161">
        <v>0.25</v>
      </c>
      <c r="E58" s="692"/>
      <c r="F58" s="1100" t="e">
        <f t="shared" si="15"/>
        <v>#DIV/0!</v>
      </c>
      <c r="G58" s="3224"/>
      <c r="H58" s="1101">
        <f>项目基本情况!B37</f>
        <v>0</v>
      </c>
      <c r="I58" s="1105">
        <f>SUMIF(修正!A45:A56,H58,修正!C45:C56)</f>
        <v>0</v>
      </c>
      <c r="J58" s="1109"/>
      <c r="K58" s="1142"/>
      <c r="L58" s="938"/>
      <c r="M58" s="938"/>
      <c r="N58" s="938"/>
      <c r="O58" s="938"/>
    </row>
    <row r="59" spans="1:15" s="690" customFormat="1">
      <c r="A59" s="691" t="s">
        <v>2769</v>
      </c>
      <c r="B59" s="260" t="e">
        <f t="shared" si="17"/>
        <v>#DIV/0!</v>
      </c>
      <c r="C59" s="198">
        <f t="shared" si="16"/>
        <v>0</v>
      </c>
      <c r="D59" s="1161">
        <v>0.25</v>
      </c>
      <c r="E59" s="692"/>
      <c r="F59" s="1100" t="e">
        <f t="shared" si="15"/>
        <v>#DIV/0!</v>
      </c>
      <c r="G59" s="3224"/>
      <c r="H59" s="1101">
        <f>项目基本情况!B37</f>
        <v>0</v>
      </c>
      <c r="I59" s="1105">
        <f>SUMIF(修正!A45:A56,H59,修正!D45:D56)</f>
        <v>0</v>
      </c>
      <c r="J59" s="1109"/>
      <c r="K59" s="1141"/>
      <c r="L59" s="938"/>
      <c r="M59" s="938"/>
      <c r="N59" s="938"/>
      <c r="O59" s="938"/>
    </row>
    <row r="60" spans="1:15" s="690" customFormat="1">
      <c r="A60" s="691" t="s">
        <v>2770</v>
      </c>
      <c r="B60" s="260" t="e">
        <f t="shared" si="17"/>
        <v>#DIV/0!</v>
      </c>
      <c r="C60" s="198">
        <f t="shared" si="16"/>
        <v>0</v>
      </c>
      <c r="D60" s="1161">
        <v>0.25</v>
      </c>
      <c r="E60" s="692"/>
      <c r="F60" s="1100" t="e">
        <f t="shared" si="15"/>
        <v>#DIV/0!</v>
      </c>
      <c r="G60" s="3224"/>
      <c r="H60" s="1101">
        <f>项目基本情况!B37</f>
        <v>0</v>
      </c>
      <c r="I60" s="1105">
        <f>SUMIF(修正!A45:A56,H60,修正!E45:E56)</f>
        <v>0</v>
      </c>
      <c r="J60" s="1109"/>
      <c r="K60" s="1142"/>
      <c r="L60" s="938"/>
      <c r="M60" s="938"/>
      <c r="N60" s="938"/>
      <c r="O60" s="938"/>
    </row>
    <row r="61" spans="1:15" s="690" customFormat="1">
      <c r="A61" s="691" t="s">
        <v>2771</v>
      </c>
      <c r="B61" s="260" t="e">
        <f t="shared" si="17"/>
        <v>#DIV/0!</v>
      </c>
      <c r="C61" s="198">
        <f t="shared" si="16"/>
        <v>0</v>
      </c>
      <c r="D61" s="1161">
        <v>0.25</v>
      </c>
      <c r="E61" s="259">
        <f>'数据-汇总表'!E11</f>
        <v>0</v>
      </c>
      <c r="F61" s="1100" t="e">
        <f t="shared" si="15"/>
        <v>#DIV/0!</v>
      </c>
      <c r="G61" s="2700" t="s">
        <v>2772</v>
      </c>
      <c r="H61" s="1101">
        <f>项目基本情况!C37</f>
        <v>0</v>
      </c>
      <c r="I61" s="1105">
        <f>SUMIF(修正!A45:A56,H61,修正!F45:F56)</f>
        <v>0</v>
      </c>
      <c r="J61" s="1109"/>
      <c r="K61" s="1141"/>
      <c r="L61" s="938"/>
      <c r="M61" s="938"/>
      <c r="N61" s="938"/>
      <c r="O61" s="938"/>
    </row>
    <row r="62" spans="1:15" s="690" customFormat="1">
      <c r="A62" s="691" t="s">
        <v>2773</v>
      </c>
      <c r="B62" s="260" t="e">
        <f t="shared" si="17"/>
        <v>#DIV/0!</v>
      </c>
      <c r="C62" s="198">
        <f t="shared" si="16"/>
        <v>0</v>
      </c>
      <c r="D62" s="1161">
        <v>0.25</v>
      </c>
      <c r="E62" s="259">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2775</v>
      </c>
      <c r="B63" s="260" t="e">
        <f t="shared" si="17"/>
        <v>#DIV/0!</v>
      </c>
      <c r="C63" s="198">
        <f t="shared" si="16"/>
        <v>0</v>
      </c>
      <c r="D63" s="1161">
        <v>0.25</v>
      </c>
      <c r="E63" s="259">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2777</v>
      </c>
      <c r="B64" s="260" t="e">
        <f t="shared" si="17"/>
        <v>#DIV/0!</v>
      </c>
      <c r="C64" s="198">
        <f t="shared" si="16"/>
        <v>0</v>
      </c>
      <c r="D64" s="1161">
        <v>0.25</v>
      </c>
      <c r="E64" s="259">
        <f>'数据-汇总表'!E14</f>
        <v>0</v>
      </c>
      <c r="F64" s="1100" t="e">
        <f t="shared" si="15"/>
        <v>#DIV/0!</v>
      </c>
      <c r="G64" s="2700" t="s">
        <v>2767</v>
      </c>
      <c r="H64" s="1101">
        <f>项目基本情况!B37</f>
        <v>0</v>
      </c>
      <c r="I64" s="1105">
        <f>SUMIF(修正!A45:A56,H64,修正!H45:H56)</f>
        <v>0</v>
      </c>
      <c r="J64" s="1109"/>
      <c r="K64" s="1142"/>
      <c r="L64" s="938"/>
      <c r="M64" s="938"/>
      <c r="N64" s="938"/>
      <c r="O64" s="938"/>
    </row>
    <row r="65" spans="1:17" s="690" customFormat="1" ht="14.4" thickBot="1">
      <c r="A65" s="691" t="s">
        <v>2778</v>
      </c>
      <c r="B65" s="260" t="e">
        <f t="shared" si="17"/>
        <v>#DIV/0!</v>
      </c>
      <c r="C65" s="198">
        <f t="shared" si="16"/>
        <v>0</v>
      </c>
      <c r="D65" s="1161">
        <v>0.25</v>
      </c>
      <c r="E65" s="259">
        <f>'数据-汇总表'!E15</f>
        <v>0</v>
      </c>
      <c r="F65" s="1100" t="e">
        <f t="shared" si="15"/>
        <v>#DIV/0!</v>
      </c>
      <c r="G65" s="2701" t="s">
        <v>2772</v>
      </c>
      <c r="H65" s="1111">
        <f>项目基本情况!C37</f>
        <v>0</v>
      </c>
      <c r="I65" s="1107">
        <f>SUMIF(修正!A45:A56,H65,修正!H45:H56)</f>
        <v>0</v>
      </c>
      <c r="J65" s="1110"/>
      <c r="K65" s="1141"/>
      <c r="L65" s="938"/>
      <c r="M65" s="938"/>
      <c r="N65" s="938"/>
      <c r="O65" s="938"/>
    </row>
    <row r="66" spans="1:17" s="690" customFormat="1" thickBot="1">
      <c r="A66" s="693" t="s">
        <v>2779</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2.2" thickBot="1">
      <c r="A69" s="760" t="s">
        <v>2672</v>
      </c>
      <c r="B69" s="756"/>
      <c r="C69" s="761"/>
      <c r="D69" s="761"/>
      <c r="E69" s="761"/>
      <c r="F69" s="762"/>
      <c r="G69" s="762"/>
      <c r="H69" s="761"/>
      <c r="I69" s="761"/>
      <c r="J69" s="1156"/>
      <c r="K69" s="1157"/>
      <c r="L69" s="1158"/>
      <c r="M69" s="1156"/>
      <c r="N69" s="1156"/>
      <c r="O69" s="1156"/>
      <c r="P69" s="501"/>
      <c r="Q69" s="502"/>
    </row>
    <row r="70" spans="1:17" s="506" customFormat="1" ht="14.4">
      <c r="A70" s="2702" t="s">
        <v>2780</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2781</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 thickBot="1">
      <c r="A72" s="513" t="s">
        <v>2583</v>
      </c>
      <c r="B72" s="514"/>
      <c r="C72" s="515"/>
      <c r="D72" s="516"/>
      <c r="E72" s="516"/>
      <c r="F72" s="516"/>
      <c r="G72" s="516"/>
      <c r="H72" s="516"/>
      <c r="I72" s="516"/>
      <c r="J72" s="516"/>
      <c r="K72" s="516"/>
      <c r="L72" s="516"/>
      <c r="M72" s="517"/>
      <c r="N72" s="516"/>
      <c r="O72" s="1159"/>
      <c r="P72" s="502"/>
      <c r="Q72" s="502"/>
    </row>
    <row r="73" spans="1:17" s="116" customFormat="1" ht="14.4">
      <c r="A73" s="519" t="s">
        <v>2548</v>
      </c>
      <c r="B73" s="508"/>
      <c r="C73" s="520" t="s">
        <v>2650</v>
      </c>
      <c r="D73" s="521"/>
      <c r="E73" s="521"/>
      <c r="F73" s="521"/>
      <c r="G73" s="521"/>
      <c r="H73" s="521"/>
      <c r="I73" s="521"/>
      <c r="J73" s="521"/>
      <c r="K73" s="521"/>
      <c r="L73" s="522"/>
      <c r="M73" s="523"/>
      <c r="N73" s="1148"/>
      <c r="O73" s="1148"/>
      <c r="P73" s="524"/>
      <c r="Q73" s="502"/>
    </row>
    <row r="74" spans="1:17" s="116" customFormat="1" ht="14.4" thickBot="1">
      <c r="A74" s="519"/>
      <c r="B74" s="508"/>
      <c r="C74" s="637">
        <v>100</v>
      </c>
      <c r="D74" s="510"/>
      <c r="E74" s="510"/>
      <c r="F74" s="510"/>
      <c r="G74" s="510"/>
      <c r="H74" s="510"/>
      <c r="I74" s="510"/>
      <c r="J74" s="510"/>
      <c r="K74" s="510"/>
      <c r="L74" s="510"/>
      <c r="M74" s="512"/>
      <c r="N74" s="1148"/>
      <c r="O74" s="1148"/>
      <c r="P74" s="502"/>
      <c r="Q74" s="502"/>
    </row>
    <row r="75" spans="1:17" ht="14.4">
      <c r="A75" s="525" t="s">
        <v>2586</v>
      </c>
      <c r="B75" s="526" t="s">
        <v>2552</v>
      </c>
      <c r="C75" s="528"/>
      <c r="D75" s="528"/>
      <c r="E75" s="528"/>
      <c r="F75" s="528"/>
      <c r="G75" s="528"/>
      <c r="H75" s="528"/>
      <c r="I75" s="528"/>
      <c r="J75" s="528"/>
      <c r="K75" s="529"/>
      <c r="L75" s="530"/>
      <c r="M75" s="531"/>
      <c r="N75" s="1149"/>
      <c r="O75" s="1149"/>
      <c r="P75" s="45"/>
      <c r="Q75" s="502"/>
    </row>
    <row r="76" spans="1:17" ht="14.4" thickBot="1">
      <c r="A76" s="532"/>
      <c r="B76" s="533"/>
      <c r="C76" s="534"/>
      <c r="D76" s="534"/>
      <c r="E76" s="534"/>
      <c r="F76" s="534"/>
      <c r="G76" s="534"/>
      <c r="H76" s="534"/>
      <c r="I76" s="534"/>
      <c r="J76" s="534"/>
      <c r="K76" s="534"/>
      <c r="L76" s="534"/>
      <c r="M76" s="535"/>
      <c r="N76" s="1150"/>
      <c r="O76" s="1150"/>
      <c r="P76" s="45"/>
      <c r="Q76" s="502"/>
    </row>
    <row r="77" spans="1:17" ht="29.4" thickTop="1">
      <c r="A77" s="532"/>
      <c r="B77" s="536" t="s">
        <v>2555</v>
      </c>
      <c r="C77" s="537"/>
      <c r="D77" s="537"/>
      <c r="E77" s="537"/>
      <c r="F77" s="537"/>
      <c r="G77" s="537"/>
      <c r="H77" s="537"/>
      <c r="I77" s="537"/>
      <c r="J77" s="537"/>
      <c r="K77" s="538"/>
      <c r="L77" s="539"/>
      <c r="M77" s="540"/>
      <c r="N77" s="1149"/>
      <c r="O77" s="1149"/>
      <c r="P77" s="45"/>
      <c r="Q77" s="502"/>
    </row>
    <row r="78" spans="1:17" ht="14.4" thickBot="1">
      <c r="A78" s="532"/>
      <c r="B78" s="541"/>
      <c r="C78" s="542"/>
      <c r="D78" s="542"/>
      <c r="E78" s="542"/>
      <c r="F78" s="542"/>
      <c r="G78" s="542"/>
      <c r="H78" s="542"/>
      <c r="I78" s="542"/>
      <c r="J78" s="542"/>
      <c r="K78" s="542"/>
      <c r="L78" s="542"/>
      <c r="M78" s="543"/>
      <c r="N78" s="1150"/>
      <c r="O78" s="1150"/>
      <c r="P78" s="45"/>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c r="A80" s="532"/>
      <c r="B80" s="546"/>
      <c r="C80" s="547"/>
      <c r="D80" s="547"/>
      <c r="E80" s="547"/>
      <c r="F80" s="547"/>
      <c r="G80" s="547"/>
      <c r="H80" s="547"/>
      <c r="I80" s="547"/>
      <c r="J80" s="547"/>
      <c r="K80" s="548"/>
      <c r="L80" s="549"/>
      <c r="M80" s="550"/>
      <c r="N80" s="1149"/>
      <c r="O80" s="1149"/>
      <c r="P80" s="45"/>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4.4"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4.4" thickBot="1">
      <c r="A83" s="551"/>
      <c r="B83" s="541"/>
      <c r="C83" s="558"/>
      <c r="D83" s="534"/>
      <c r="E83" s="534"/>
      <c r="F83" s="534"/>
      <c r="G83" s="534"/>
      <c r="H83" s="534"/>
      <c r="I83" s="534"/>
      <c r="J83" s="534"/>
      <c r="K83" s="534"/>
      <c r="L83" s="534"/>
      <c r="M83" s="535"/>
      <c r="N83" s="1150"/>
      <c r="O83" s="1150"/>
      <c r="P83" s="556"/>
      <c r="Q83" s="557"/>
    </row>
    <row r="84" spans="1:17" s="469" customFormat="1" ht="14.4" thickTop="1">
      <c r="A84" s="551"/>
      <c r="B84" s="536">
        <f>B13</f>
        <v>111</v>
      </c>
      <c r="C84" s="552"/>
      <c r="D84" s="552"/>
      <c r="E84" s="552"/>
      <c r="F84" s="552"/>
      <c r="G84" s="552"/>
      <c r="H84" s="553"/>
      <c r="I84" s="553"/>
      <c r="J84" s="553"/>
      <c r="K84" s="553"/>
      <c r="L84" s="554"/>
      <c r="M84" s="555"/>
      <c r="N84" s="1151"/>
      <c r="O84" s="1151"/>
      <c r="P84" s="468"/>
      <c r="Q84" s="559"/>
    </row>
    <row r="85" spans="1:17" s="469" customFormat="1" ht="14.4" thickBot="1">
      <c r="A85" s="551"/>
      <c r="B85" s="541"/>
      <c r="C85" s="558"/>
      <c r="D85" s="558"/>
      <c r="E85" s="558"/>
      <c r="F85" s="558"/>
      <c r="G85" s="558"/>
      <c r="H85" s="560"/>
      <c r="I85" s="560"/>
      <c r="J85" s="560"/>
      <c r="K85" s="560"/>
      <c r="L85" s="560"/>
      <c r="M85" s="561"/>
      <c r="N85" s="1151"/>
      <c r="O85" s="1151"/>
      <c r="P85" s="556"/>
      <c r="Q85" s="557"/>
    </row>
    <row r="86" spans="1:17" s="469" customFormat="1" ht="14.4" thickTop="1">
      <c r="A86" s="551"/>
      <c r="B86" s="544">
        <f>B14</f>
        <v>111</v>
      </c>
      <c r="C86" s="521"/>
      <c r="D86" s="521"/>
      <c r="E86" s="521"/>
      <c r="F86" s="521"/>
      <c r="G86" s="521"/>
      <c r="H86" s="562"/>
      <c r="I86" s="562"/>
      <c r="J86" s="562"/>
      <c r="K86" s="562"/>
      <c r="L86" s="563"/>
      <c r="M86" s="564"/>
      <c r="N86" s="1151"/>
      <c r="O86" s="1151"/>
      <c r="P86" s="565"/>
      <c r="Q86" s="557"/>
    </row>
    <row r="87" spans="1:17" s="469" customFormat="1" ht="14.4" thickBot="1">
      <c r="A87" s="566"/>
      <c r="B87" s="567"/>
      <c r="C87" s="568"/>
      <c r="D87" s="568"/>
      <c r="E87" s="568"/>
      <c r="F87" s="568"/>
      <c r="G87" s="568"/>
      <c r="H87" s="569"/>
      <c r="I87" s="569"/>
      <c r="J87" s="569"/>
      <c r="K87" s="569"/>
      <c r="L87" s="569"/>
      <c r="M87" s="570"/>
      <c r="N87" s="1151"/>
      <c r="O87" s="1151"/>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49"/>
      <c r="O88" s="1149"/>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49"/>
      <c r="O90" s="1149"/>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49"/>
      <c r="O92" s="1149"/>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49"/>
      <c r="O94" s="1149"/>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29.4" thickTop="1">
      <c r="A96" s="577"/>
      <c r="B96" s="536" t="s">
        <v>2783</v>
      </c>
      <c r="C96" s="576" t="s">
        <v>2595</v>
      </c>
      <c r="D96" s="576" t="s">
        <v>2596</v>
      </c>
      <c r="E96" s="576" t="s">
        <v>2597</v>
      </c>
      <c r="F96" s="576" t="s">
        <v>2598</v>
      </c>
      <c r="G96" s="576" t="s">
        <v>2599</v>
      </c>
      <c r="H96" s="576"/>
      <c r="I96" s="576"/>
      <c r="J96" s="576"/>
      <c r="K96" s="576"/>
      <c r="L96" s="696"/>
      <c r="M96" s="620"/>
      <c r="N96" s="1148"/>
      <c r="O96" s="1148"/>
      <c r="P96" s="45"/>
      <c r="Q96" s="502"/>
    </row>
    <row r="97" spans="1:17" s="116" customFormat="1" ht="14.4"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9.4" thickTop="1">
      <c r="A98" s="577"/>
      <c r="B98" s="536" t="s">
        <v>2784</v>
      </c>
      <c r="C98" s="571" t="s">
        <v>2595</v>
      </c>
      <c r="D98" s="571" t="s">
        <v>2596</v>
      </c>
      <c r="E98" s="571" t="s">
        <v>2597</v>
      </c>
      <c r="F98" s="571" t="s">
        <v>2598</v>
      </c>
      <c r="G98" s="571" t="s">
        <v>2599</v>
      </c>
      <c r="H98" s="576"/>
      <c r="I98" s="576"/>
      <c r="J98" s="576"/>
      <c r="K98" s="576"/>
      <c r="L98" s="576"/>
      <c r="M98" s="620"/>
      <c r="N98" s="1148"/>
      <c r="O98" s="1148"/>
      <c r="P98" s="45"/>
      <c r="Q98" s="502"/>
    </row>
    <row r="99" spans="1:17" s="116" customFormat="1" ht="14.4"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1"/>
      <c r="O100" s="1151"/>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2"/>
      <c r="N102" s="1151"/>
      <c r="O102" s="1151"/>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49"/>
      <c r="O104" s="1149"/>
      <c r="P104" s="45"/>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9.4" thickTop="1">
      <c r="A106" s="532"/>
      <c r="B106" s="536" t="s">
        <v>2689</v>
      </c>
      <c r="C106" s="552"/>
      <c r="D106" s="552"/>
      <c r="E106" s="552"/>
      <c r="F106" s="552"/>
      <c r="G106" s="552"/>
      <c r="H106" s="581"/>
      <c r="I106" s="581"/>
      <c r="J106" s="581"/>
      <c r="K106" s="582"/>
      <c r="L106" s="583"/>
      <c r="M106" s="584"/>
      <c r="N106" s="1149"/>
      <c r="O106" s="1149"/>
      <c r="P106" s="45"/>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 thickTop="1">
      <c r="A108" s="532"/>
      <c r="B108" s="536" t="s">
        <v>2748</v>
      </c>
      <c r="C108" s="581"/>
      <c r="D108" s="581"/>
      <c r="E108" s="581"/>
      <c r="F108" s="581"/>
      <c r="G108" s="581"/>
      <c r="H108" s="581"/>
      <c r="I108" s="581"/>
      <c r="J108" s="581"/>
      <c r="K108" s="582"/>
      <c r="L108" s="583"/>
      <c r="M108" s="584"/>
      <c r="N108" s="1149"/>
      <c r="O108" s="1149"/>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4.4" thickTop="1">
      <c r="A110" s="532"/>
      <c r="B110" s="544">
        <f>B35</f>
        <v>111</v>
      </c>
      <c r="C110" s="552"/>
      <c r="D110" s="552"/>
      <c r="E110" s="552"/>
      <c r="F110" s="552"/>
      <c r="G110" s="585"/>
      <c r="H110" s="585"/>
      <c r="I110" s="585"/>
      <c r="J110" s="585"/>
      <c r="K110" s="586"/>
      <c r="L110" s="587"/>
      <c r="M110" s="588"/>
      <c r="N110" s="1149"/>
      <c r="O110" s="1149"/>
      <c r="P110" s="45"/>
      <c r="Q110" s="502"/>
    </row>
    <row r="111" spans="1:17" ht="14.4" thickBot="1">
      <c r="A111" s="532"/>
      <c r="B111" s="567"/>
      <c r="C111" s="558"/>
      <c r="D111" s="558"/>
      <c r="E111" s="558"/>
      <c r="F111" s="558"/>
      <c r="G111" s="589"/>
      <c r="H111" s="589"/>
      <c r="I111" s="589"/>
      <c r="J111" s="589"/>
      <c r="K111" s="589"/>
      <c r="L111" s="589"/>
      <c r="M111" s="590"/>
      <c r="N111" s="1150"/>
      <c r="O111" s="1150"/>
      <c r="P111" s="45"/>
      <c r="Q111" s="502"/>
    </row>
    <row r="112" spans="1:17" ht="14.4" thickTop="1">
      <c r="A112" s="673"/>
      <c r="B112" s="536">
        <f>B36</f>
        <v>111</v>
      </c>
      <c r="C112" s="521"/>
      <c r="D112" s="521"/>
      <c r="E112" s="521"/>
      <c r="F112" s="521"/>
      <c r="G112" s="581"/>
      <c r="H112" s="581"/>
      <c r="I112" s="581"/>
      <c r="J112" s="581"/>
      <c r="K112" s="582"/>
      <c r="L112" s="583"/>
      <c r="M112" s="584"/>
      <c r="N112" s="1149"/>
      <c r="O112" s="1149"/>
      <c r="P112" s="45"/>
      <c r="Q112" s="502"/>
    </row>
    <row r="113" spans="1:17" ht="14.4" thickBot="1">
      <c r="A113" s="532"/>
      <c r="B113" s="541"/>
      <c r="C113" s="568"/>
      <c r="D113" s="568"/>
      <c r="E113" s="568"/>
      <c r="F113" s="568"/>
      <c r="G113" s="534"/>
      <c r="H113" s="534"/>
      <c r="I113" s="534"/>
      <c r="J113" s="534"/>
      <c r="K113" s="534"/>
      <c r="L113" s="534"/>
      <c r="M113" s="535"/>
      <c r="N113" s="1150"/>
      <c r="O113" s="1150"/>
      <c r="P113" s="45"/>
      <c r="Q113" s="502"/>
    </row>
    <row r="114" spans="1:17" s="469" customFormat="1" ht="14.4"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4.4" thickBot="1">
      <c r="A115" s="551"/>
      <c r="B115" s="544"/>
      <c r="C115" s="510"/>
      <c r="D115" s="675"/>
      <c r="E115" s="675"/>
      <c r="F115" s="675"/>
      <c r="G115" s="675"/>
      <c r="H115" s="675"/>
      <c r="I115" s="675"/>
      <c r="J115" s="675"/>
      <c r="K115" s="675"/>
      <c r="L115" s="675"/>
      <c r="M115" s="697"/>
      <c r="N115" s="1150"/>
      <c r="O115" s="1150"/>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c r="A117" s="532"/>
      <c r="B117" s="544"/>
      <c r="C117" s="593"/>
      <c r="D117" s="593"/>
      <c r="E117" s="593"/>
      <c r="F117" s="593"/>
      <c r="G117" s="593"/>
      <c r="H117" s="593"/>
      <c r="I117" s="593"/>
      <c r="J117" s="594"/>
      <c r="K117" s="594"/>
      <c r="L117" s="595"/>
      <c r="M117" s="596"/>
      <c r="N117" s="1149"/>
      <c r="O117" s="1149"/>
      <c r="P117" s="45"/>
      <c r="Q117" s="502"/>
    </row>
    <row r="118" spans="1:17" ht="14.4"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2790</v>
      </c>
      <c r="C119" s="581"/>
      <c r="D119" s="581"/>
      <c r="E119" s="581"/>
      <c r="F119" s="581"/>
      <c r="G119" s="581"/>
      <c r="H119" s="581"/>
      <c r="I119" s="581"/>
      <c r="J119" s="581"/>
      <c r="K119" s="582"/>
      <c r="L119" s="583"/>
      <c r="M119" s="584"/>
      <c r="N119" s="1149"/>
      <c r="O119" s="1149"/>
      <c r="P119" s="45"/>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2791</v>
      </c>
      <c r="C121" s="552"/>
      <c r="D121" s="552"/>
      <c r="E121" s="552"/>
      <c r="F121" s="581"/>
      <c r="G121" s="581"/>
      <c r="H121" s="581"/>
      <c r="I121" s="581"/>
      <c r="J121" s="581"/>
      <c r="K121" s="582"/>
      <c r="L121" s="583"/>
      <c r="M121" s="584"/>
      <c r="N121" s="1149"/>
      <c r="O121" s="1149"/>
      <c r="P121" s="45"/>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2792</v>
      </c>
      <c r="C123" s="552"/>
      <c r="D123" s="552"/>
      <c r="E123" s="552"/>
      <c r="F123" s="552"/>
      <c r="G123" s="552"/>
      <c r="H123" s="581"/>
      <c r="I123" s="581"/>
      <c r="J123" s="581"/>
      <c r="K123" s="582"/>
      <c r="L123" s="583"/>
      <c r="M123" s="584"/>
      <c r="N123" s="1151"/>
      <c r="O123" s="1151"/>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2793</v>
      </c>
      <c r="C125" s="552"/>
      <c r="D125" s="552"/>
      <c r="E125" s="581"/>
      <c r="F125" s="581"/>
      <c r="G125" s="581"/>
      <c r="H125" s="581"/>
      <c r="I125" s="581"/>
      <c r="J125" s="581"/>
      <c r="K125" s="582"/>
      <c r="L125" s="583"/>
      <c r="M125" s="584"/>
      <c r="N125" s="1149"/>
      <c r="O125" s="1149"/>
      <c r="P125" s="45"/>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4.4" thickTop="1">
      <c r="A127" s="597"/>
      <c r="B127" s="536">
        <f>B43</f>
        <v>111</v>
      </c>
      <c r="C127" s="552"/>
      <c r="D127" s="552"/>
      <c r="E127" s="552"/>
      <c r="F127" s="552"/>
      <c r="G127" s="552"/>
      <c r="H127" s="581"/>
      <c r="I127" s="581"/>
      <c r="J127" s="581"/>
      <c r="K127" s="582"/>
      <c r="L127" s="583"/>
      <c r="M127" s="584"/>
      <c r="N127" s="1149"/>
      <c r="O127" s="1149"/>
      <c r="P127" s="45"/>
      <c r="Q127" s="502"/>
    </row>
    <row r="128" spans="1:17" ht="14.4" thickBot="1">
      <c r="A128" s="532"/>
      <c r="B128" s="541"/>
      <c r="C128" s="558"/>
      <c r="D128" s="558"/>
      <c r="E128" s="558"/>
      <c r="F128" s="558"/>
      <c r="G128" s="534"/>
      <c r="H128" s="534"/>
      <c r="I128" s="534"/>
      <c r="J128" s="534"/>
      <c r="K128" s="534"/>
      <c r="L128" s="534"/>
      <c r="M128" s="535"/>
      <c r="N128" s="1150"/>
      <c r="O128" s="1150"/>
      <c r="P128" s="45"/>
      <c r="Q128" s="502"/>
    </row>
    <row r="129" spans="1:17" ht="14.4" thickTop="1">
      <c r="A129" s="597"/>
      <c r="B129" s="536">
        <f>B44</f>
        <v>111</v>
      </c>
      <c r="C129" s="521"/>
      <c r="D129" s="521"/>
      <c r="E129" s="521"/>
      <c r="F129" s="521"/>
      <c r="G129" s="581"/>
      <c r="H129" s="581"/>
      <c r="I129" s="581"/>
      <c r="J129" s="581"/>
      <c r="K129" s="582"/>
      <c r="L129" s="583"/>
      <c r="M129" s="584"/>
      <c r="N129" s="1149"/>
      <c r="O129" s="1149"/>
      <c r="P129" s="45"/>
      <c r="Q129" s="502"/>
    </row>
    <row r="130" spans="1:17" ht="14.4" thickBot="1">
      <c r="A130" s="532"/>
      <c r="B130" s="541"/>
      <c r="C130" s="568"/>
      <c r="D130" s="568"/>
      <c r="E130" s="568"/>
      <c r="F130" s="568"/>
      <c r="G130" s="534"/>
      <c r="H130" s="534"/>
      <c r="I130" s="534"/>
      <c r="J130" s="534"/>
      <c r="K130" s="534"/>
      <c r="L130" s="534"/>
      <c r="M130" s="535"/>
      <c r="N130" s="1150"/>
      <c r="O130" s="1150"/>
      <c r="P130" s="45"/>
      <c r="Q130" s="502"/>
    </row>
    <row r="131" spans="1:17" s="469" customFormat="1" ht="14.4"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4.4"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3" t="s">
        <v>183</v>
      </c>
      <c r="B18" s="879" t="s">
        <v>560</v>
      </c>
      <c r="C18" s="880" t="s">
        <v>561</v>
      </c>
      <c r="D18" s="881"/>
      <c r="E18" s="879">
        <v>1</v>
      </c>
      <c r="F18" s="882" t="s">
        <v>562</v>
      </c>
      <c r="G18" s="883"/>
      <c r="H18" s="875"/>
      <c r="I18" s="875"/>
    </row>
    <row r="19" spans="1:9" s="884" customFormat="1" ht="19.5" customHeight="1">
      <c r="A19" s="3293"/>
      <c r="B19" s="3293" t="s">
        <v>563</v>
      </c>
      <c r="C19" s="880" t="s">
        <v>564</v>
      </c>
      <c r="D19" s="881"/>
      <c r="E19" s="879">
        <v>0.9</v>
      </c>
      <c r="F19" s="882" t="s">
        <v>565</v>
      </c>
      <c r="G19" s="883"/>
      <c r="H19" s="875"/>
      <c r="I19" s="875"/>
    </row>
    <row r="20" spans="1:9" s="884" customFormat="1" ht="19.5" customHeight="1">
      <c r="A20" s="3293"/>
      <c r="B20" s="3293"/>
      <c r="C20" s="880" t="s">
        <v>566</v>
      </c>
      <c r="D20" s="881"/>
      <c r="E20" s="879">
        <v>1.1000000000000001</v>
      </c>
      <c r="F20" s="882" t="s">
        <v>567</v>
      </c>
      <c r="G20" s="883"/>
      <c r="H20" s="875"/>
      <c r="I20" s="875"/>
    </row>
    <row r="21" spans="1:9" s="884" customFormat="1" ht="19.5" customHeight="1">
      <c r="A21" s="3293"/>
      <c r="B21" s="3293"/>
      <c r="C21" s="880" t="s">
        <v>568</v>
      </c>
      <c r="D21" s="881"/>
      <c r="E21" s="879">
        <v>0.8</v>
      </c>
      <c r="F21" s="882" t="s">
        <v>569</v>
      </c>
      <c r="G21" s="883"/>
      <c r="H21" s="875"/>
      <c r="I21" s="875"/>
    </row>
    <row r="22" spans="1:9" s="884" customFormat="1" ht="19.5" customHeight="1">
      <c r="A22" s="3293"/>
      <c r="B22" s="3293"/>
      <c r="C22" s="880" t="s">
        <v>570</v>
      </c>
      <c r="D22" s="881"/>
      <c r="E22" s="879">
        <v>0.5</v>
      </c>
      <c r="F22" s="882"/>
      <c r="G22" s="883"/>
      <c r="H22" s="875"/>
      <c r="I22" s="875"/>
    </row>
    <row r="23" spans="1:9" s="884" customFormat="1" ht="19.5" customHeight="1">
      <c r="A23" s="3293" t="s">
        <v>184</v>
      </c>
      <c r="B23" s="879" t="s">
        <v>560</v>
      </c>
      <c r="C23" s="880" t="s">
        <v>571</v>
      </c>
      <c r="D23" s="881"/>
      <c r="E23" s="879">
        <v>1</v>
      </c>
      <c r="F23" s="882" t="s">
        <v>572</v>
      </c>
      <c r="G23" s="883"/>
      <c r="H23" s="875"/>
      <c r="I23" s="875"/>
    </row>
    <row r="24" spans="1:9" s="884" customFormat="1" ht="19.5" customHeight="1">
      <c r="A24" s="3293"/>
      <c r="B24" s="3293" t="s">
        <v>563</v>
      </c>
      <c r="C24" s="880" t="s">
        <v>573</v>
      </c>
      <c r="D24" s="881"/>
      <c r="E24" s="879">
        <v>0.5</v>
      </c>
      <c r="F24" s="882"/>
      <c r="G24" s="883"/>
      <c r="H24" s="875"/>
      <c r="I24" s="875"/>
    </row>
    <row r="25" spans="1:9" s="884" customFormat="1" ht="19.5" customHeight="1">
      <c r="A25" s="3293"/>
      <c r="B25" s="3293"/>
      <c r="C25" s="880" t="s">
        <v>574</v>
      </c>
      <c r="D25" s="881"/>
      <c r="E25" s="879">
        <v>1.1000000000000001</v>
      </c>
      <c r="F25" s="882"/>
      <c r="G25" s="883"/>
      <c r="H25" s="875"/>
      <c r="I25" s="875"/>
    </row>
    <row r="26" spans="1:9" s="884" customFormat="1" ht="19.5" customHeight="1">
      <c r="A26" s="3293"/>
      <c r="B26" s="3293"/>
      <c r="C26" s="880" t="s">
        <v>575</v>
      </c>
      <c r="D26" s="881"/>
      <c r="E26" s="879">
        <v>1.1000000000000001</v>
      </c>
      <c r="F26" s="882"/>
      <c r="G26" s="883"/>
      <c r="H26" s="875"/>
      <c r="I26" s="875"/>
    </row>
    <row r="27" spans="1:9" s="884" customFormat="1" ht="19.5" customHeight="1">
      <c r="A27" s="3293"/>
      <c r="B27" s="3293"/>
      <c r="C27" s="880" t="s">
        <v>576</v>
      </c>
      <c r="D27" s="881"/>
      <c r="E27" s="879">
        <v>0.9</v>
      </c>
      <c r="F27" s="882" t="s">
        <v>577</v>
      </c>
      <c r="G27" s="883"/>
      <c r="H27" s="875"/>
      <c r="I27" s="875"/>
    </row>
    <row r="28" spans="1:9" s="884" customFormat="1" ht="19.5" customHeight="1">
      <c r="A28" s="3293"/>
      <c r="B28" s="3293"/>
      <c r="C28" s="880" t="s">
        <v>578</v>
      </c>
      <c r="D28" s="881"/>
      <c r="E28" s="879">
        <v>0.9</v>
      </c>
      <c r="F28" s="882" t="s">
        <v>579</v>
      </c>
      <c r="G28" s="883"/>
      <c r="H28" s="875"/>
      <c r="I28" s="875"/>
    </row>
    <row r="29" spans="1:9" s="884" customFormat="1" ht="19.5" customHeight="1">
      <c r="A29" s="3293"/>
      <c r="B29" s="3293"/>
      <c r="C29" s="880" t="s">
        <v>580</v>
      </c>
      <c r="D29" s="881"/>
      <c r="E29" s="879">
        <v>0.9</v>
      </c>
      <c r="F29" s="882" t="s">
        <v>581</v>
      </c>
      <c r="G29" s="883"/>
      <c r="H29" s="875"/>
      <c r="I29" s="875"/>
    </row>
    <row r="30" spans="1:9" s="884" customFormat="1" ht="19.5" customHeight="1">
      <c r="A30" s="3293"/>
      <c r="B30" s="3293"/>
      <c r="C30" s="880" t="s">
        <v>582</v>
      </c>
      <c r="D30" s="881"/>
      <c r="E30" s="879">
        <v>0.9</v>
      </c>
      <c r="F30" s="882" t="s">
        <v>583</v>
      </c>
      <c r="G30" s="883"/>
      <c r="H30" s="875"/>
      <c r="I30" s="875"/>
    </row>
    <row r="31" spans="1:9" s="884" customFormat="1" ht="19.5" customHeight="1">
      <c r="A31" s="3293"/>
      <c r="B31" s="3293"/>
      <c r="C31" s="880" t="s">
        <v>584</v>
      </c>
      <c r="D31" s="881"/>
      <c r="E31" s="879">
        <v>0.8</v>
      </c>
      <c r="F31" s="882" t="s">
        <v>585</v>
      </c>
      <c r="G31" s="883"/>
      <c r="H31" s="875"/>
      <c r="I31" s="875"/>
    </row>
    <row r="32" spans="1:9" s="884" customFormat="1" ht="19.5" customHeight="1">
      <c r="A32" s="3293"/>
      <c r="B32" s="3293"/>
      <c r="C32" s="880" t="s">
        <v>586</v>
      </c>
      <c r="D32" s="881"/>
      <c r="E32" s="879">
        <v>0.8</v>
      </c>
      <c r="F32" s="882" t="s">
        <v>587</v>
      </c>
      <c r="G32" s="883"/>
      <c r="H32" s="875"/>
      <c r="I32" s="875"/>
    </row>
    <row r="33" spans="1:9" s="884" customFormat="1" ht="19.5" customHeight="1">
      <c r="A33" s="3293" t="s">
        <v>185</v>
      </c>
      <c r="B33" s="879" t="s">
        <v>560</v>
      </c>
      <c r="C33" s="880" t="s">
        <v>588</v>
      </c>
      <c r="D33" s="881"/>
      <c r="E33" s="879">
        <v>1</v>
      </c>
      <c r="F33" s="882" t="s">
        <v>589</v>
      </c>
      <c r="G33" s="883"/>
      <c r="H33" s="875"/>
      <c r="I33" s="875"/>
    </row>
    <row r="34" spans="1:9" s="884" customFormat="1" ht="19.5" customHeight="1">
      <c r="A34" s="3293"/>
      <c r="B34" s="879" t="s">
        <v>563</v>
      </c>
      <c r="C34" s="880" t="s">
        <v>590</v>
      </c>
      <c r="D34" s="881"/>
      <c r="E34" s="879">
        <v>1.5</v>
      </c>
      <c r="F34" s="882" t="s">
        <v>591</v>
      </c>
      <c r="G34" s="883"/>
      <c r="H34" s="875"/>
      <c r="I34" s="875"/>
    </row>
    <row r="35" spans="1:9" s="884" customFormat="1" ht="19.5" customHeight="1">
      <c r="A35" s="3293" t="s">
        <v>186</v>
      </c>
      <c r="B35" s="879" t="s">
        <v>560</v>
      </c>
      <c r="C35" s="880" t="s">
        <v>592</v>
      </c>
      <c r="D35" s="881"/>
      <c r="E35" s="879">
        <v>1</v>
      </c>
      <c r="F35" s="882" t="s">
        <v>593</v>
      </c>
      <c r="G35" s="883"/>
      <c r="H35" s="875"/>
      <c r="I35" s="875"/>
    </row>
    <row r="36" spans="1:9" s="884" customFormat="1" ht="19.5" customHeight="1">
      <c r="A36" s="3293"/>
      <c r="B36" s="3293" t="s">
        <v>563</v>
      </c>
      <c r="C36" s="880" t="s">
        <v>594</v>
      </c>
      <c r="D36" s="881"/>
      <c r="E36" s="879">
        <v>1</v>
      </c>
      <c r="F36" s="882" t="s">
        <v>595</v>
      </c>
      <c r="G36" s="883"/>
      <c r="H36" s="875"/>
      <c r="I36" s="875"/>
    </row>
    <row r="37" spans="1:9" s="884" customFormat="1" ht="19.5" customHeight="1">
      <c r="A37" s="3293"/>
      <c r="B37" s="3293"/>
      <c r="C37" s="880" t="s">
        <v>596</v>
      </c>
      <c r="D37" s="881"/>
      <c r="E37" s="879">
        <v>1.5</v>
      </c>
      <c r="F37" s="882" t="s">
        <v>597</v>
      </c>
      <c r="G37" s="883"/>
      <c r="H37" s="875"/>
      <c r="I37" s="875"/>
    </row>
    <row r="38" spans="1:9" s="884" customFormat="1" ht="19.5" customHeight="1">
      <c r="A38" s="3293"/>
      <c r="B38" s="3293"/>
      <c r="C38" s="880" t="s">
        <v>598</v>
      </c>
      <c r="D38" s="881"/>
      <c r="E38" s="879">
        <v>1</v>
      </c>
      <c r="F38" s="882" t="s">
        <v>599</v>
      </c>
      <c r="G38" s="883"/>
      <c r="H38" s="875"/>
      <c r="I38" s="875"/>
    </row>
    <row r="39" spans="1:9" s="884" customFormat="1" ht="19.5" customHeight="1">
      <c r="A39" s="3293"/>
      <c r="B39" s="32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93" t="s">
        <v>614</v>
      </c>
      <c r="C61" s="815" t="s">
        <v>615</v>
      </c>
      <c r="D61" s="815" t="s">
        <v>616</v>
      </c>
      <c r="E61" s="892">
        <v>0.5</v>
      </c>
      <c r="F61" s="879">
        <v>80</v>
      </c>
    </row>
    <row r="62" spans="1:8" s="875" customFormat="1" ht="36">
      <c r="A62" s="879">
        <v>2</v>
      </c>
      <c r="B62" s="3293"/>
      <c r="C62" s="815" t="s">
        <v>617</v>
      </c>
      <c r="D62" s="815" t="s">
        <v>618</v>
      </c>
      <c r="E62" s="892">
        <v>0.5</v>
      </c>
      <c r="F62" s="879">
        <v>80</v>
      </c>
    </row>
    <row r="63" spans="1:8" s="875" customFormat="1" ht="48">
      <c r="A63" s="879">
        <v>3</v>
      </c>
      <c r="B63" s="3293"/>
      <c r="C63" s="815" t="s">
        <v>619</v>
      </c>
      <c r="D63" s="815" t="s">
        <v>620</v>
      </c>
      <c r="E63" s="892">
        <v>0.5</v>
      </c>
      <c r="F63" s="879">
        <v>80</v>
      </c>
    </row>
    <row r="64" spans="1:8" s="875" customFormat="1" ht="48">
      <c r="A64" s="879">
        <v>4</v>
      </c>
      <c r="B64" s="3293"/>
      <c r="C64" s="815" t="s">
        <v>621</v>
      </c>
      <c r="D64" s="815" t="s">
        <v>622</v>
      </c>
      <c r="E64" s="892">
        <v>0.4</v>
      </c>
      <c r="F64" s="879">
        <v>60</v>
      </c>
    </row>
    <row r="65" spans="1:6" s="875" customFormat="1" ht="48">
      <c r="A65" s="879">
        <v>5</v>
      </c>
      <c r="B65" s="3293"/>
      <c r="C65" s="815" t="s">
        <v>623</v>
      </c>
      <c r="D65" s="815" t="s">
        <v>624</v>
      </c>
      <c r="E65" s="892">
        <v>0.2</v>
      </c>
      <c r="F65" s="879">
        <v>30</v>
      </c>
    </row>
    <row r="66" spans="1:6" s="875" customFormat="1" ht="48">
      <c r="A66" s="879">
        <v>6</v>
      </c>
      <c r="B66" s="3293"/>
      <c r="C66" s="815" t="s">
        <v>625</v>
      </c>
      <c r="D66" s="815" t="s">
        <v>626</v>
      </c>
      <c r="E66" s="892">
        <v>0.3</v>
      </c>
      <c r="F66" s="879">
        <v>50</v>
      </c>
    </row>
    <row r="67" spans="1:6" s="875" customFormat="1" ht="48">
      <c r="A67" s="879">
        <v>7</v>
      </c>
      <c r="B67" s="3293"/>
      <c r="C67" s="815" t="s">
        <v>627</v>
      </c>
      <c r="D67" s="815" t="s">
        <v>628</v>
      </c>
      <c r="E67" s="892">
        <v>0.2</v>
      </c>
      <c r="F67" s="879">
        <v>30</v>
      </c>
    </row>
    <row r="68" spans="1:6" s="875" customFormat="1" ht="48">
      <c r="A68" s="879">
        <v>8</v>
      </c>
      <c r="B68" s="3293"/>
      <c r="C68" s="815" t="s">
        <v>629</v>
      </c>
      <c r="D68" s="815" t="s">
        <v>630</v>
      </c>
      <c r="E68" s="892">
        <v>0.2</v>
      </c>
      <c r="F68" s="879">
        <v>30</v>
      </c>
    </row>
    <row r="69" spans="1:6" s="875" customFormat="1" ht="48">
      <c r="A69" s="879">
        <v>9</v>
      </c>
      <c r="B69" s="3293"/>
      <c r="C69" s="815" t="s">
        <v>631</v>
      </c>
      <c r="D69" s="815" t="s">
        <v>632</v>
      </c>
      <c r="E69" s="892">
        <v>0.2</v>
      </c>
      <c r="F69" s="879">
        <v>30</v>
      </c>
    </row>
    <row r="70" spans="1:6" s="875" customFormat="1" ht="60">
      <c r="A70" s="879">
        <v>10</v>
      </c>
      <c r="B70" s="3293"/>
      <c r="C70" s="815" t="s">
        <v>633</v>
      </c>
      <c r="D70" s="815" t="s">
        <v>634</v>
      </c>
      <c r="E70" s="892">
        <v>0.2</v>
      </c>
      <c r="F70" s="879">
        <v>30</v>
      </c>
    </row>
    <row r="71" spans="1:6" s="875" customFormat="1" ht="60">
      <c r="A71" s="879">
        <v>11</v>
      </c>
      <c r="B71" s="3293"/>
      <c r="C71" s="815" t="s">
        <v>635</v>
      </c>
      <c r="D71" s="815" t="s">
        <v>636</v>
      </c>
      <c r="E71" s="892">
        <v>0.2</v>
      </c>
      <c r="F71" s="879">
        <v>30</v>
      </c>
    </row>
    <row r="72" spans="1:6" s="875" customFormat="1" ht="36">
      <c r="A72" s="879">
        <v>12</v>
      </c>
      <c r="B72" s="3293"/>
      <c r="C72" s="815" t="s">
        <v>637</v>
      </c>
      <c r="D72" s="815" t="s">
        <v>638</v>
      </c>
      <c r="E72" s="892">
        <v>0.5</v>
      </c>
      <c r="F72" s="879">
        <v>80</v>
      </c>
    </row>
    <row r="73" spans="1:6" s="875" customFormat="1" ht="36">
      <c r="A73" s="879">
        <v>13</v>
      </c>
      <c r="B73" s="3293"/>
      <c r="C73" s="815" t="s">
        <v>639</v>
      </c>
      <c r="D73" s="815" t="s">
        <v>640</v>
      </c>
      <c r="E73" s="892">
        <v>0.4</v>
      </c>
      <c r="F73" s="879">
        <v>60</v>
      </c>
    </row>
    <row r="74" spans="1:6" s="875" customFormat="1" ht="36">
      <c r="A74" s="879">
        <v>14</v>
      </c>
      <c r="B74" s="3293"/>
      <c r="C74" s="815" t="s">
        <v>641</v>
      </c>
      <c r="D74" s="815" t="s">
        <v>642</v>
      </c>
      <c r="E74" s="892">
        <v>0.2</v>
      </c>
      <c r="F74" s="879">
        <v>30</v>
      </c>
    </row>
    <row r="75" spans="1:6" s="875" customFormat="1" ht="36">
      <c r="A75" s="879">
        <v>15</v>
      </c>
      <c r="B75" s="3293"/>
      <c r="C75" s="815" t="s">
        <v>643</v>
      </c>
      <c r="D75" s="815" t="s">
        <v>644</v>
      </c>
      <c r="E75" s="892">
        <v>0.2</v>
      </c>
      <c r="F75" s="879">
        <v>30</v>
      </c>
    </row>
    <row r="76" spans="1:6" s="875" customFormat="1" ht="36">
      <c r="A76" s="879">
        <v>16</v>
      </c>
      <c r="B76" s="3293" t="s">
        <v>645</v>
      </c>
      <c r="C76" s="815" t="s">
        <v>646</v>
      </c>
      <c r="D76" s="815" t="s">
        <v>647</v>
      </c>
      <c r="E76" s="892">
        <v>0.5</v>
      </c>
      <c r="F76" s="879">
        <v>80</v>
      </c>
    </row>
    <row r="77" spans="1:6" s="875" customFormat="1" ht="36">
      <c r="A77" s="879">
        <v>17</v>
      </c>
      <c r="B77" s="3293"/>
      <c r="C77" s="815" t="s">
        <v>648</v>
      </c>
      <c r="D77" s="815" t="s">
        <v>649</v>
      </c>
      <c r="E77" s="892">
        <v>0.5</v>
      </c>
      <c r="F77" s="879">
        <v>80</v>
      </c>
    </row>
    <row r="78" spans="1:6" s="875" customFormat="1" ht="36">
      <c r="A78" s="879">
        <v>18</v>
      </c>
      <c r="B78" s="3293"/>
      <c r="C78" s="815" t="s">
        <v>650</v>
      </c>
      <c r="D78" s="815" t="s">
        <v>651</v>
      </c>
      <c r="E78" s="892">
        <v>0.2</v>
      </c>
      <c r="F78" s="879">
        <v>30</v>
      </c>
    </row>
    <row r="79" spans="1:6" s="875" customFormat="1" ht="36">
      <c r="A79" s="879">
        <v>19</v>
      </c>
      <c r="B79" s="3293"/>
      <c r="C79" s="815" t="s">
        <v>652</v>
      </c>
      <c r="D79" s="815" t="s">
        <v>653</v>
      </c>
      <c r="E79" s="892">
        <v>0.5</v>
      </c>
      <c r="F79" s="879">
        <v>80</v>
      </c>
    </row>
    <row r="80" spans="1:6" s="875" customFormat="1" ht="36">
      <c r="A80" s="879">
        <v>20</v>
      </c>
      <c r="B80" s="3293"/>
      <c r="C80" s="815" t="s">
        <v>654</v>
      </c>
      <c r="D80" s="815" t="s">
        <v>655</v>
      </c>
      <c r="E80" s="892">
        <v>0.2</v>
      </c>
      <c r="F80" s="879">
        <v>30</v>
      </c>
    </row>
    <row r="81" spans="1:6" s="875" customFormat="1" ht="36">
      <c r="A81" s="879">
        <v>21</v>
      </c>
      <c r="B81" s="3293"/>
      <c r="C81" s="815" t="s">
        <v>656</v>
      </c>
      <c r="D81" s="815" t="s">
        <v>657</v>
      </c>
      <c r="E81" s="892">
        <v>0.2</v>
      </c>
      <c r="F81" s="879">
        <v>30</v>
      </c>
    </row>
    <row r="82" spans="1:6" s="875" customFormat="1" ht="60">
      <c r="A82" s="879">
        <v>22</v>
      </c>
      <c r="B82" s="3293"/>
      <c r="C82" s="815" t="s">
        <v>658</v>
      </c>
      <c r="D82" s="815" t="s">
        <v>659</v>
      </c>
      <c r="E82" s="892">
        <v>0.2</v>
      </c>
      <c r="F82" s="879">
        <v>30</v>
      </c>
    </row>
    <row r="83" spans="1:6" s="875" customFormat="1" ht="60">
      <c r="A83" s="879">
        <v>23</v>
      </c>
      <c r="B83" s="3293"/>
      <c r="C83" s="815" t="s">
        <v>660</v>
      </c>
      <c r="D83" s="815" t="s">
        <v>661</v>
      </c>
      <c r="E83" s="892">
        <v>0.2</v>
      </c>
      <c r="F83" s="879">
        <v>30</v>
      </c>
    </row>
    <row r="84" spans="1:6" s="875" customFormat="1" ht="48">
      <c r="A84" s="879">
        <v>24</v>
      </c>
      <c r="B84" s="3293"/>
      <c r="C84" s="815" t="s">
        <v>662</v>
      </c>
      <c r="D84" s="815" t="s">
        <v>663</v>
      </c>
      <c r="E84" s="892">
        <v>0.2</v>
      </c>
      <c r="F84" s="879">
        <v>30</v>
      </c>
    </row>
    <row r="85" spans="1:6" s="875" customFormat="1" ht="36">
      <c r="A85" s="879">
        <v>25</v>
      </c>
      <c r="B85" s="3293"/>
      <c r="C85" s="815" t="s">
        <v>664</v>
      </c>
      <c r="D85" s="815" t="s">
        <v>665</v>
      </c>
      <c r="E85" s="892">
        <v>0.5</v>
      </c>
      <c r="F85" s="879">
        <v>80</v>
      </c>
    </row>
    <row r="86" spans="1:6" s="875" customFormat="1" ht="36">
      <c r="A86" s="879">
        <v>26</v>
      </c>
      <c r="B86" s="3293"/>
      <c r="C86" s="815" t="s">
        <v>666</v>
      </c>
      <c r="D86" s="815" t="s">
        <v>667</v>
      </c>
      <c r="E86" s="892">
        <v>0.2</v>
      </c>
      <c r="F86" s="879">
        <v>30</v>
      </c>
    </row>
    <row r="87" spans="1:6" s="875" customFormat="1" ht="36">
      <c r="A87" s="879">
        <v>27</v>
      </c>
      <c r="B87" s="3293"/>
      <c r="C87" s="815" t="s">
        <v>668</v>
      </c>
      <c r="D87" s="815" t="s">
        <v>669</v>
      </c>
      <c r="E87" s="892">
        <v>0.2</v>
      </c>
      <c r="F87" s="879">
        <v>30</v>
      </c>
    </row>
    <row r="88" spans="1:6" s="875" customFormat="1" ht="36">
      <c r="A88" s="879">
        <v>28</v>
      </c>
      <c r="B88" s="3293"/>
      <c r="C88" s="815" t="s">
        <v>670</v>
      </c>
      <c r="D88" s="815" t="s">
        <v>671</v>
      </c>
      <c r="E88" s="892">
        <v>0.2</v>
      </c>
      <c r="F88" s="879">
        <v>30</v>
      </c>
    </row>
    <row r="89" spans="1:6" s="875" customFormat="1" ht="36">
      <c r="A89" s="879">
        <v>29</v>
      </c>
      <c r="B89" s="3293"/>
      <c r="C89" s="815" t="s">
        <v>672</v>
      </c>
      <c r="D89" s="815" t="s">
        <v>673</v>
      </c>
      <c r="E89" s="892">
        <v>0.2</v>
      </c>
      <c r="F89" s="879">
        <v>30</v>
      </c>
    </row>
    <row r="90" spans="1:6" s="875" customFormat="1" ht="36">
      <c r="A90" s="879">
        <v>30</v>
      </c>
      <c r="B90" s="3293"/>
      <c r="C90" s="815" t="s">
        <v>674</v>
      </c>
      <c r="D90" s="815" t="s">
        <v>675</v>
      </c>
      <c r="E90" s="892">
        <v>0.2</v>
      </c>
      <c r="F90" s="879">
        <v>30</v>
      </c>
    </row>
    <row r="91" spans="1:6" s="875" customFormat="1" ht="48">
      <c r="A91" s="879">
        <v>31</v>
      </c>
      <c r="B91" s="3293"/>
      <c r="C91" s="815" t="s">
        <v>676</v>
      </c>
      <c r="D91" s="815" t="s">
        <v>677</v>
      </c>
      <c r="E91" s="892">
        <v>0.2</v>
      </c>
      <c r="F91" s="879">
        <v>30</v>
      </c>
    </row>
    <row r="92" spans="1:6" s="875" customFormat="1" ht="36">
      <c r="A92" s="879">
        <v>32</v>
      </c>
      <c r="B92" s="3293" t="s">
        <v>678</v>
      </c>
      <c r="C92" s="879" t="s">
        <v>679</v>
      </c>
      <c r="D92" s="815" t="s">
        <v>680</v>
      </c>
      <c r="E92" s="892">
        <v>0.2</v>
      </c>
      <c r="F92" s="879">
        <v>30</v>
      </c>
    </row>
    <row r="93" spans="1:6" s="875" customFormat="1" ht="36">
      <c r="A93" s="879">
        <v>33</v>
      </c>
      <c r="B93" s="3293"/>
      <c r="C93" s="879" t="s">
        <v>681</v>
      </c>
      <c r="D93" s="815" t="s">
        <v>682</v>
      </c>
      <c r="E93" s="892">
        <v>0.2</v>
      </c>
      <c r="F93" s="879">
        <v>30</v>
      </c>
    </row>
    <row r="94" spans="1:6" s="875" customFormat="1" ht="60">
      <c r="A94" s="879">
        <v>34</v>
      </c>
      <c r="B94" s="3293"/>
      <c r="C94" s="879" t="s">
        <v>683</v>
      </c>
      <c r="D94" s="815" t="s">
        <v>684</v>
      </c>
      <c r="E94" s="892">
        <v>0.2</v>
      </c>
      <c r="F94" s="879">
        <v>30</v>
      </c>
    </row>
    <row r="95" spans="1:6" s="875" customFormat="1" ht="48">
      <c r="A95" s="879">
        <v>35</v>
      </c>
      <c r="B95" s="3293"/>
      <c r="C95" s="879" t="s">
        <v>685</v>
      </c>
      <c r="D95" s="815" t="s">
        <v>686</v>
      </c>
      <c r="E95" s="892">
        <v>0.2</v>
      </c>
      <c r="F95" s="879">
        <v>30</v>
      </c>
    </row>
    <row r="96" spans="1:6" s="875" customFormat="1" ht="72">
      <c r="A96" s="879">
        <v>36</v>
      </c>
      <c r="B96" s="3293"/>
      <c r="C96" s="815" t="s">
        <v>687</v>
      </c>
      <c r="D96" s="815" t="s">
        <v>688</v>
      </c>
      <c r="E96" s="892">
        <v>0.2</v>
      </c>
      <c r="F96" s="879">
        <v>30</v>
      </c>
    </row>
    <row r="97" spans="1:6" s="875" customFormat="1" ht="36">
      <c r="A97" s="879">
        <v>37</v>
      </c>
      <c r="B97" s="3293"/>
      <c r="C97" s="879" t="s">
        <v>689</v>
      </c>
      <c r="D97" s="815" t="s">
        <v>690</v>
      </c>
      <c r="E97" s="892">
        <v>0.2</v>
      </c>
      <c r="F97" s="879">
        <v>30</v>
      </c>
    </row>
    <row r="98" spans="1:6" s="875" customFormat="1" ht="36">
      <c r="A98" s="879">
        <v>38</v>
      </c>
      <c r="B98" s="3293"/>
      <c r="C98" s="879" t="s">
        <v>691</v>
      </c>
      <c r="D98" s="815" t="s">
        <v>692</v>
      </c>
      <c r="E98" s="892">
        <v>0.2</v>
      </c>
      <c r="F98" s="879">
        <v>30</v>
      </c>
    </row>
    <row r="99" spans="1:6" s="875" customFormat="1" ht="36">
      <c r="A99" s="879">
        <v>39</v>
      </c>
      <c r="B99" s="3293" t="s">
        <v>693</v>
      </c>
      <c r="C99" s="879" t="s">
        <v>694</v>
      </c>
      <c r="D99" s="815" t="s">
        <v>695</v>
      </c>
      <c r="E99" s="892">
        <v>0.3</v>
      </c>
      <c r="F99" s="879">
        <v>50</v>
      </c>
    </row>
    <row r="100" spans="1:6" s="875" customFormat="1" ht="36">
      <c r="A100" s="879">
        <v>40</v>
      </c>
      <c r="B100" s="3293"/>
      <c r="C100" s="879" t="s">
        <v>696</v>
      </c>
      <c r="D100" s="815" t="s">
        <v>697</v>
      </c>
      <c r="E100" s="892">
        <v>0.2</v>
      </c>
      <c r="F100" s="879">
        <v>30</v>
      </c>
    </row>
    <row r="101" spans="1:6" s="875" customFormat="1" ht="36">
      <c r="A101" s="879">
        <v>41</v>
      </c>
      <c r="B101" s="329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3" t="s">
        <v>708</v>
      </c>
      <c r="C105" s="879" t="s">
        <v>709</v>
      </c>
      <c r="D105" s="815" t="s">
        <v>710</v>
      </c>
      <c r="E105" s="892">
        <v>0.2</v>
      </c>
      <c r="F105" s="879">
        <v>30</v>
      </c>
    </row>
    <row r="106" spans="1:6" s="875" customFormat="1" ht="48">
      <c r="A106" s="879">
        <v>46</v>
      </c>
      <c r="B106" s="3293"/>
      <c r="C106" s="879" t="s">
        <v>711</v>
      </c>
      <c r="D106" s="815" t="s">
        <v>712</v>
      </c>
      <c r="E106" s="892">
        <v>0.2</v>
      </c>
      <c r="F106" s="879">
        <v>30</v>
      </c>
    </row>
    <row r="107" spans="1:6" s="875" customFormat="1" ht="36">
      <c r="A107" s="879">
        <v>47</v>
      </c>
      <c r="B107" s="3293" t="s">
        <v>713</v>
      </c>
      <c r="C107" s="879" t="s">
        <v>714</v>
      </c>
      <c r="D107" s="815" t="s">
        <v>715</v>
      </c>
      <c r="E107" s="892">
        <v>0.3</v>
      </c>
      <c r="F107" s="879">
        <v>50</v>
      </c>
    </row>
    <row r="108" spans="1:6" s="875" customFormat="1" ht="48">
      <c r="A108" s="879">
        <v>48</v>
      </c>
      <c r="B108" s="32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3" t="s">
        <v>724</v>
      </c>
      <c r="C111" s="879" t="s">
        <v>725</v>
      </c>
      <c r="D111" s="815" t="s">
        <v>726</v>
      </c>
      <c r="E111" s="892">
        <v>0.2</v>
      </c>
      <c r="F111" s="879">
        <v>30</v>
      </c>
    </row>
    <row r="112" spans="1:6" s="875" customFormat="1" ht="36">
      <c r="A112" s="879">
        <v>52</v>
      </c>
      <c r="B112" s="3293"/>
      <c r="C112" s="879" t="s">
        <v>727</v>
      </c>
      <c r="D112" s="815" t="s">
        <v>728</v>
      </c>
      <c r="E112" s="892">
        <v>0.2</v>
      </c>
      <c r="F112" s="879">
        <v>30</v>
      </c>
    </row>
    <row r="113" spans="1:6" s="875" customFormat="1" ht="36">
      <c r="A113" s="879">
        <v>53</v>
      </c>
      <c r="B113" s="329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3" t="s">
        <v>737</v>
      </c>
      <c r="C116" s="879" t="s">
        <v>738</v>
      </c>
      <c r="D116" s="815" t="s">
        <v>739</v>
      </c>
      <c r="E116" s="892">
        <v>0.2</v>
      </c>
      <c r="F116" s="879">
        <v>30</v>
      </c>
    </row>
    <row r="117" spans="1:6" ht="36">
      <c r="A117" s="879">
        <v>57</v>
      </c>
      <c r="B117" s="329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8" customWidth="1"/>
    <col min="2" max="2" width="37.21875" style="1948" customWidth="1"/>
    <col min="3" max="3" width="11.33203125" style="1948" customWidth="1"/>
    <col min="4" max="4" width="31.77734375" style="1948" customWidth="1"/>
    <col min="5" max="5" width="0.44140625" style="1948" customWidth="1"/>
    <col min="6" max="7" width="13" style="1948" customWidth="1"/>
    <col min="8" max="16384" width="9" style="1948"/>
  </cols>
  <sheetData>
    <row r="1" spans="1:5" ht="17.399999999999999">
      <c r="A1" s="1946" t="s">
        <v>1615</v>
      </c>
      <c r="B1" s="1947"/>
      <c r="C1" s="1947"/>
      <c r="D1" s="1947"/>
      <c r="E1" s="1947"/>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49"/>
      <c r="B4" s="2985" t="s">
        <v>1624</v>
      </c>
      <c r="C4" s="2985"/>
      <c r="D4" s="2985"/>
      <c r="E4" s="1949"/>
    </row>
    <row r="5" spans="1:5" ht="16.2" thickTop="1">
      <c r="A5" s="1947"/>
      <c r="B5" s="2983" t="s">
        <v>1616</v>
      </c>
      <c r="C5" s="1950" t="s">
        <v>1617</v>
      </c>
      <c r="D5" s="1037">
        <f ca="1">结果表!H101</f>
        <v>37886</v>
      </c>
      <c r="E5" s="1947"/>
    </row>
    <row r="6" spans="1:5" ht="15.6">
      <c r="A6" s="1947"/>
      <c r="B6" s="2983"/>
      <c r="C6" s="1950" t="s">
        <v>1618</v>
      </c>
      <c r="D6" s="1037" t="str">
        <f ca="1">NUMBERSTRING(INT(D5*10000),2)&amp;"元整"</f>
        <v>叁亿柒仟捌佰捌拾陆万元整</v>
      </c>
      <c r="E6" s="1947"/>
    </row>
    <row r="7" spans="1:5" ht="15.6">
      <c r="A7" s="1947"/>
      <c r="B7" s="2988"/>
      <c r="C7" s="1951" t="s">
        <v>1619</v>
      </c>
      <c r="D7" s="1038">
        <f ca="1">结果表!H102</f>
        <v>5656</v>
      </c>
      <c r="E7" s="1947"/>
    </row>
    <row r="8" spans="1:5" ht="15.6">
      <c r="A8" s="1947"/>
      <c r="B8" s="2989" t="str">
        <f>结果表!E103</f>
        <v>2.估价师知悉的法定优先受偿款</v>
      </c>
      <c r="C8" s="1952" t="s">
        <v>1620</v>
      </c>
      <c r="D8" s="1038">
        <f>结果表!H103</f>
        <v>0</v>
      </c>
      <c r="E8" s="1947"/>
    </row>
    <row r="9" spans="1:5" ht="15.6">
      <c r="A9" s="1947"/>
      <c r="B9" s="2991"/>
      <c r="C9" s="1950" t="s">
        <v>1618</v>
      </c>
      <c r="D9" s="1037" t="str">
        <f>NUMBERSTRING(INT(D8*10000),2)&amp;"元整"</f>
        <v>零元整</v>
      </c>
      <c r="E9" s="1947"/>
    </row>
    <row r="10" spans="1:5" ht="15.6">
      <c r="A10" s="1947"/>
      <c r="B10" s="1953" t="s">
        <v>1623</v>
      </c>
      <c r="C10" s="1954" t="s">
        <v>1621</v>
      </c>
      <c r="D10" s="1039">
        <f>结果表!H104</f>
        <v>0</v>
      </c>
      <c r="E10" s="1947"/>
    </row>
    <row r="11" spans="1:5" ht="15.6">
      <c r="A11" s="1947"/>
      <c r="B11" s="1953" t="s">
        <v>1625</v>
      </c>
      <c r="C11" s="1954" t="s">
        <v>1626</v>
      </c>
      <c r="D11" s="1039">
        <f>结果表!H105</f>
        <v>0</v>
      </c>
      <c r="E11" s="1947"/>
    </row>
    <row r="12" spans="1:5" ht="15.6">
      <c r="A12" s="1947"/>
      <c r="B12" s="1953" t="s">
        <v>1627</v>
      </c>
      <c r="C12" s="1954" t="s">
        <v>1626</v>
      </c>
      <c r="D12" s="1039">
        <f>结果表!H106</f>
        <v>0</v>
      </c>
      <c r="E12" s="1947"/>
    </row>
    <row r="13" spans="1:5" ht="15.6">
      <c r="A13" s="1947"/>
      <c r="B13" s="2982" t="str">
        <f>结果表!E107</f>
        <v>3.房地产抵押价值</v>
      </c>
      <c r="C13" s="1955" t="s">
        <v>1617</v>
      </c>
      <c r="D13" s="1040">
        <f ca="1">结果表!H107</f>
        <v>37886</v>
      </c>
      <c r="E13" s="1947"/>
    </row>
    <row r="14" spans="1:5" ht="15.6">
      <c r="A14" s="1947"/>
      <c r="B14" s="2983"/>
      <c r="C14" s="1950" t="s">
        <v>1618</v>
      </c>
      <c r="D14" s="1037" t="str">
        <f ca="1">NUMBERSTRING(INT(D13*10000),2)&amp;"元整"</f>
        <v>叁亿柒仟捌佰捌拾陆万元整</v>
      </c>
      <c r="E14" s="1947"/>
    </row>
    <row r="15" spans="1:5" ht="15.6">
      <c r="A15" s="1947"/>
      <c r="B15" s="2988"/>
      <c r="C15" s="1951" t="s">
        <v>1628</v>
      </c>
      <c r="D15" s="1049">
        <f ca="1">结果表!H108</f>
        <v>5656</v>
      </c>
      <c r="E15" s="1947"/>
    </row>
    <row r="16" spans="1:5" ht="15.6">
      <c r="A16" s="1947"/>
      <c r="B16" s="2989" t="str">
        <f>结果表!E109</f>
        <v>——</v>
      </c>
      <c r="C16" s="1955" t="s">
        <v>1629</v>
      </c>
      <c r="D16" s="1956" t="str">
        <f>结果表!H109</f>
        <v>——</v>
      </c>
      <c r="E16" s="1947"/>
    </row>
    <row r="17" spans="1:5" ht="15.6">
      <c r="A17" s="1947"/>
      <c r="B17" s="2990"/>
      <c r="C17" s="1950" t="s">
        <v>1630</v>
      </c>
      <c r="D17" s="1037" t="e">
        <f>NUMBERSTRING(INT(D16*10000),2)&amp;"元整"</f>
        <v>#VALUE!</v>
      </c>
      <c r="E17" s="1947"/>
    </row>
    <row r="18" spans="1:5" ht="15.6">
      <c r="A18" s="1947"/>
      <c r="B18" s="2991"/>
      <c r="C18" s="1951" t="s">
        <v>1619</v>
      </c>
      <c r="D18" s="1049" t="str">
        <f>结果表!H110</f>
        <v>——</v>
      </c>
      <c r="E18" s="1947"/>
    </row>
    <row r="19" spans="1:5" ht="15.6">
      <c r="A19" s="1947"/>
      <c r="B19" s="2982" t="str">
        <f>结果表!E111</f>
        <v>——</v>
      </c>
      <c r="C19" s="1955" t="s">
        <v>1617</v>
      </c>
      <c r="D19" s="1038" t="str">
        <f>结果表!H111</f>
        <v>——</v>
      </c>
      <c r="E19" s="1947"/>
    </row>
    <row r="20" spans="1:5" ht="15.6">
      <c r="A20" s="1947"/>
      <c r="B20" s="2983"/>
      <c r="C20" s="1950" t="s">
        <v>1630</v>
      </c>
      <c r="D20" s="1037" t="e">
        <f>NUMBERSTRING(INT(D19*10000),2)&amp;"元整"</f>
        <v>#VALUE!</v>
      </c>
      <c r="E20" s="1947"/>
    </row>
    <row r="21" spans="1:5" ht="16.2" thickBot="1">
      <c r="A21" s="1947"/>
      <c r="B21" s="2984"/>
      <c r="C21" s="1957" t="s">
        <v>1628</v>
      </c>
      <c r="D21" s="1050" t="str">
        <f>结果表!H112</f>
        <v>——</v>
      </c>
      <c r="E21" s="1947"/>
    </row>
    <row r="22" spans="1:5" ht="14.4" thickTop="1">
      <c r="A22" s="1947"/>
      <c r="B22" s="1958" t="s">
        <v>1631</v>
      </c>
      <c r="C22" s="1947"/>
      <c r="D22" s="1947"/>
      <c r="E22" s="1947"/>
    </row>
    <row r="23" spans="1:5">
      <c r="A23" s="1947"/>
      <c r="B23" s="1947"/>
      <c r="C23" s="1947"/>
      <c r="D23" s="1947"/>
      <c r="E23" s="1947"/>
    </row>
    <row r="24" spans="1:5" ht="17.399999999999999">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3" customWidth="1"/>
    <col min="2" max="2" width="12.44140625" style="1933" customWidth="1"/>
    <col min="3" max="3" width="12.109375" style="1933" customWidth="1"/>
    <col min="4" max="4" width="14.109375" style="1933" customWidth="1"/>
    <col min="5" max="5" width="12.44140625" style="1933" customWidth="1"/>
    <col min="6" max="16384" width="9" style="1933"/>
  </cols>
  <sheetData>
    <row r="1" spans="1:5" ht="21.6">
      <c r="A1" s="2552" t="s">
        <v>2999</v>
      </c>
    </row>
    <row r="2" spans="1:5" ht="15.6">
      <c r="A2" s="2893" t="s">
        <v>2991</v>
      </c>
      <c r="B2" s="2894">
        <f ca="1">SUMIF(B6:B13,"&lt;&gt;#ref!",B6:B13)</f>
        <v>16463</v>
      </c>
      <c r="C2" s="2893" t="s">
        <v>2992</v>
      </c>
      <c r="D2" s="2893" t="s">
        <v>2993</v>
      </c>
      <c r="E2" s="2894">
        <f ca="1">SUMIF(E6:E13,"&lt;&gt;#ref!",E6:E13)</f>
        <v>66988.94</v>
      </c>
    </row>
    <row r="3" spans="1:5" ht="15.6">
      <c r="A3" s="2893" t="s">
        <v>2994</v>
      </c>
      <c r="B3" s="2894">
        <f ca="1">ROUND(B2*10000/E2,0)</f>
        <v>2458</v>
      </c>
      <c r="C3" s="2893" t="s">
        <v>3000</v>
      </c>
      <c r="D3" s="2895"/>
      <c r="E3" s="2895"/>
    </row>
    <row r="4" spans="1:5" ht="15.6">
      <c r="A4" s="2896"/>
      <c r="B4" s="2895"/>
      <c r="C4" s="2895"/>
      <c r="D4" s="2895"/>
      <c r="E4" s="2895"/>
    </row>
    <row r="5" spans="1:5" ht="31.2">
      <c r="A5" s="2897" t="s">
        <v>2995</v>
      </c>
      <c r="B5" s="2893" t="s">
        <v>2996</v>
      </c>
      <c r="C5" s="2894"/>
      <c r="D5" s="2895"/>
      <c r="E5" s="2893" t="s">
        <v>2997</v>
      </c>
    </row>
    <row r="6" spans="1:5" ht="15.6">
      <c r="A6" s="2898" t="s">
        <v>2998</v>
      </c>
      <c r="B6" s="2894">
        <f ca="1">SUMIF(INDIRECT("'"&amp;A6&amp;"'"&amp;"!A:A"),"总价",INDIRECT("'"&amp;A6&amp;"'"&amp;"!B:B"))</f>
        <v>16463</v>
      </c>
      <c r="C6" s="2893" t="s">
        <v>2992</v>
      </c>
      <c r="D6" s="2895"/>
      <c r="E6" s="2566">
        <f ca="1">SUMIF(INDIRECT("'"&amp;A6&amp;"'"&amp;"!C:C"),"建筑面积",INDIRECT("'"&amp;A6&amp;"'"&amp;"!D:D"))</f>
        <v>66988.94</v>
      </c>
    </row>
    <row r="7" spans="1:5" ht="15.6">
      <c r="A7" s="2898"/>
      <c r="B7" s="2894" t="e">
        <f ca="1">SUMIF(INDIRECT("'"&amp;A7&amp;"'"&amp;"!A:A"),"总价",INDIRECT("'"&amp;A7&amp;"'"&amp;"!B:B"))</f>
        <v>#REF!</v>
      </c>
      <c r="C7" s="2893" t="s">
        <v>2992</v>
      </c>
      <c r="D7" s="2895"/>
      <c r="E7" s="2566" t="e">
        <f t="shared" ref="E7:E13" ca="1" si="0">SUMIF(INDIRECT("'"&amp;A7&amp;"'"&amp;"!C:C"),"建筑面积",INDIRECT("'"&amp;A7&amp;"'"&amp;"!D:D"))</f>
        <v>#REF!</v>
      </c>
    </row>
    <row r="8" spans="1:5" ht="15.6">
      <c r="A8" s="2898"/>
      <c r="B8" s="2894" t="e">
        <f t="shared" ref="B8:B13" ca="1" si="1">SUMIF(INDIRECT("'"&amp;A8&amp;"'"&amp;"!A:A"),"总价",INDIRECT("'"&amp;A8&amp;"'"&amp;"!B:B"))</f>
        <v>#REF!</v>
      </c>
      <c r="C8" s="2893" t="s">
        <v>2992</v>
      </c>
      <c r="D8" s="2895"/>
      <c r="E8" s="2566" t="e">
        <f t="shared" ca="1" si="0"/>
        <v>#REF!</v>
      </c>
    </row>
    <row r="9" spans="1:5" ht="15.6">
      <c r="A9" s="2898"/>
      <c r="B9" s="2894" t="e">
        <f t="shared" ca="1" si="1"/>
        <v>#REF!</v>
      </c>
      <c r="C9" s="2893" t="s">
        <v>2992</v>
      </c>
      <c r="D9" s="2895"/>
      <c r="E9" s="2566" t="e">
        <f t="shared" ca="1" si="0"/>
        <v>#REF!</v>
      </c>
    </row>
    <row r="10" spans="1:5" ht="15.6">
      <c r="A10" s="2898"/>
      <c r="B10" s="2894" t="e">
        <f t="shared" ca="1" si="1"/>
        <v>#REF!</v>
      </c>
      <c r="C10" s="2893" t="s">
        <v>2992</v>
      </c>
      <c r="D10" s="2895"/>
      <c r="E10" s="2566" t="e">
        <f t="shared" ca="1" si="0"/>
        <v>#REF!</v>
      </c>
    </row>
    <row r="11" spans="1:5" ht="15.6">
      <c r="A11" s="2898"/>
      <c r="B11" s="2894" t="e">
        <f t="shared" ca="1" si="1"/>
        <v>#REF!</v>
      </c>
      <c r="C11" s="2893" t="s">
        <v>2992</v>
      </c>
      <c r="D11" s="2895"/>
      <c r="E11" s="2566" t="e">
        <f t="shared" ca="1" si="0"/>
        <v>#REF!</v>
      </c>
    </row>
    <row r="12" spans="1:5" ht="15.6">
      <c r="A12" s="2898"/>
      <c r="B12" s="2894" t="e">
        <f t="shared" ca="1" si="1"/>
        <v>#REF!</v>
      </c>
      <c r="C12" s="2893" t="s">
        <v>2992</v>
      </c>
      <c r="D12" s="2895"/>
      <c r="E12" s="2566" t="e">
        <f t="shared" ca="1" si="0"/>
        <v>#REF!</v>
      </c>
    </row>
    <row r="13" spans="1:5" ht="15.6">
      <c r="A13" s="2898"/>
      <c r="B13" s="2894" t="e">
        <f t="shared" ca="1" si="1"/>
        <v>#REF!</v>
      </c>
      <c r="C13" s="2893" t="s">
        <v>2992</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99" t="s">
        <v>1145</v>
      </c>
      <c r="C1" s="3299"/>
      <c r="D1" s="3299"/>
      <c r="E1" s="3299"/>
      <c r="F1" s="3299"/>
      <c r="G1" s="3295" t="s">
        <v>1146</v>
      </c>
      <c r="H1" s="3295"/>
      <c r="I1" s="3295"/>
      <c r="J1" s="3295"/>
      <c r="K1" s="3295"/>
      <c r="L1" s="3295"/>
      <c r="N1" s="3295" t="s">
        <v>1147</v>
      </c>
      <c r="O1" s="3295"/>
      <c r="P1" s="3295"/>
      <c r="Q1" s="3295"/>
      <c r="R1" s="1443"/>
      <c r="S1" s="3295" t="s">
        <v>1148</v>
      </c>
      <c r="T1" s="3295"/>
      <c r="U1" s="3295"/>
      <c r="V1" s="3295"/>
      <c r="X1" s="3294" t="s">
        <v>1149</v>
      </c>
      <c r="Y1" s="3295"/>
      <c r="Z1" s="3295"/>
      <c r="AA1" s="3295"/>
      <c r="AB1" s="3295"/>
      <c r="AD1" s="3294" t="s">
        <v>1150</v>
      </c>
      <c r="AE1" s="3295"/>
      <c r="AF1" s="3295"/>
      <c r="AG1" s="3295"/>
      <c r="AH1" s="3295"/>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4">
      <c r="A3" s="2918" t="s">
        <v>3034</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4">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3035</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3053</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3052</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8" thickBot="1">
      <c r="A8" s="1458" t="s">
        <v>3048</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3046</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8" thickBot="1">
      <c r="A10" s="1458" t="s">
        <v>3044</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3047</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 customHeight="1">
      <c r="A12" s="1458" t="s">
        <v>3041</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 customHeight="1">
      <c r="A13" s="1458" t="s">
        <v>3040</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3033</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3030</v>
      </c>
      <c r="B15" s="1466">
        <v>439</v>
      </c>
      <c r="C15" s="1466">
        <v>327</v>
      </c>
      <c r="D15" s="1466">
        <f>C15</f>
        <v>327</v>
      </c>
      <c r="E15" s="1466">
        <v>627</v>
      </c>
      <c r="F15" s="1467">
        <v>283</v>
      </c>
      <c r="G15" s="330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 customHeight="1">
      <c r="A16" s="1458" t="s">
        <v>3031</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0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8"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8" thickBot="1">
      <c r="A23" s="1458" t="s">
        <v>151</v>
      </c>
      <c r="B23" s="1466">
        <v>333</v>
      </c>
      <c r="C23" s="1466">
        <v>277</v>
      </c>
      <c r="D23" s="1466">
        <f t="shared" si="133"/>
        <v>277</v>
      </c>
      <c r="E23" s="1466">
        <v>459</v>
      </c>
      <c r="F23" s="1467">
        <v>249</v>
      </c>
      <c r="G23" s="329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8" thickBot="1">
      <c r="A27" s="1458" t="s">
        <v>147</v>
      </c>
      <c r="B27" s="1487">
        <v>318</v>
      </c>
      <c r="C27" s="1487">
        <v>268</v>
      </c>
      <c r="D27" s="1487">
        <f t="shared" si="133"/>
        <v>268</v>
      </c>
      <c r="E27" s="1487">
        <v>437</v>
      </c>
      <c r="F27" s="1488">
        <v>237</v>
      </c>
      <c r="G27" s="329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8"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8"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8" thickBot="1">
      <c r="A31" s="1458" t="s">
        <v>1158</v>
      </c>
      <c r="B31" s="1466">
        <v>299</v>
      </c>
      <c r="C31" s="1466">
        <v>252</v>
      </c>
      <c r="D31" s="1466">
        <f t="shared" si="133"/>
        <v>252</v>
      </c>
      <c r="E31" s="1466">
        <v>409</v>
      </c>
      <c r="F31" s="1467">
        <v>227</v>
      </c>
      <c r="G31" s="330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0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0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8" thickBot="1">
      <c r="A35" s="1458" t="s">
        <v>1162</v>
      </c>
      <c r="B35" s="1508">
        <v>278</v>
      </c>
      <c r="C35" s="1508">
        <v>234</v>
      </c>
      <c r="D35" s="1508">
        <f t="shared" si="133"/>
        <v>234</v>
      </c>
      <c r="E35" s="1508">
        <v>379</v>
      </c>
      <c r="F35" s="1509">
        <v>220</v>
      </c>
      <c r="G35" s="329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8" thickBot="1">
      <c r="A38" s="1458" t="s">
        <v>1165</v>
      </c>
      <c r="B38" s="1474">
        <f>B37/(1+N37)</f>
        <v>275.19025476197027</v>
      </c>
      <c r="C38" s="1510">
        <v>232</v>
      </c>
      <c r="D38" s="1510">
        <f t="shared" si="133"/>
        <v>232</v>
      </c>
      <c r="E38" s="1474">
        <f t="shared" si="144"/>
        <v>375.65990977608692</v>
      </c>
      <c r="F38" s="1474">
        <f t="shared" si="144"/>
        <v>214.12518283971252</v>
      </c>
      <c r="G38" s="329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8" thickBot="1">
      <c r="A39" s="1458" t="s">
        <v>1166</v>
      </c>
      <c r="B39" s="1466">
        <v>275</v>
      </c>
      <c r="C39" s="1466">
        <v>232</v>
      </c>
      <c r="D39" s="1466">
        <f t="shared" si="133"/>
        <v>232</v>
      </c>
      <c r="E39" s="1466">
        <v>376</v>
      </c>
      <c r="F39" s="1467">
        <v>213</v>
      </c>
      <c r="G39" s="329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8"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8" thickBot="1">
      <c r="A43" s="1458" t="s">
        <v>1170</v>
      </c>
      <c r="B43" s="1466">
        <v>269</v>
      </c>
      <c r="C43" s="1466">
        <v>221</v>
      </c>
      <c r="D43" s="1466">
        <f t="shared" si="133"/>
        <v>221</v>
      </c>
      <c r="E43" s="1466">
        <v>373</v>
      </c>
      <c r="F43" s="1467">
        <v>196</v>
      </c>
      <c r="G43" s="329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8"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8" thickBot="1">
      <c r="A47" s="1458" t="s">
        <v>1174</v>
      </c>
      <c r="B47" s="1466">
        <v>220</v>
      </c>
      <c r="C47" s="1466">
        <v>187</v>
      </c>
      <c r="D47" s="1466">
        <f t="shared" si="133"/>
        <v>187</v>
      </c>
      <c r="E47" s="1466">
        <v>301</v>
      </c>
      <c r="F47" s="1467">
        <v>168</v>
      </c>
      <c r="G47" s="329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8" thickBot="1">
      <c r="A51" s="1458" t="s">
        <v>1178</v>
      </c>
      <c r="B51" s="1508">
        <v>214</v>
      </c>
      <c r="C51" s="1508">
        <v>188</v>
      </c>
      <c r="D51" s="1508">
        <f t="shared" si="133"/>
        <v>188</v>
      </c>
      <c r="E51" s="1508">
        <v>289</v>
      </c>
      <c r="F51" s="1509">
        <v>166</v>
      </c>
      <c r="G51" s="329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8"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8" thickBot="1">
      <c r="A55" s="1458" t="s">
        <v>1182</v>
      </c>
      <c r="B55" s="1466">
        <v>188</v>
      </c>
      <c r="C55" s="1466">
        <v>165</v>
      </c>
      <c r="D55" s="1466">
        <f t="shared" si="133"/>
        <v>165</v>
      </c>
      <c r="E55" s="1466">
        <v>254</v>
      </c>
      <c r="F55" s="1467">
        <v>148</v>
      </c>
      <c r="G55" s="329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8" thickBot="1">
      <c r="A59" s="1458" t="s">
        <v>1186</v>
      </c>
      <c r="B59" s="1487">
        <v>159</v>
      </c>
      <c r="C59" s="1487">
        <v>141</v>
      </c>
      <c r="D59" s="1487">
        <f t="shared" si="133"/>
        <v>141</v>
      </c>
      <c r="E59" s="1487">
        <v>195</v>
      </c>
      <c r="F59" s="1488">
        <v>122</v>
      </c>
      <c r="G59" s="329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8" thickBot="1">
      <c r="A63" s="1458" t="s">
        <v>1190</v>
      </c>
      <c r="B63" s="1487">
        <v>138</v>
      </c>
      <c r="C63" s="1487">
        <v>131</v>
      </c>
      <c r="D63" s="1487">
        <f t="shared" si="133"/>
        <v>131</v>
      </c>
      <c r="E63" s="1487">
        <v>155</v>
      </c>
      <c r="F63" s="1488">
        <v>114</v>
      </c>
      <c r="G63" s="329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8" thickBot="1">
      <c r="A67" s="1458" t="s">
        <v>1194</v>
      </c>
      <c r="B67" s="1508">
        <v>121</v>
      </c>
      <c r="C67" s="1508">
        <v>122</v>
      </c>
      <c r="D67" s="1508">
        <f t="shared" si="133"/>
        <v>122</v>
      </c>
      <c r="E67" s="1508">
        <v>124</v>
      </c>
      <c r="F67" s="1509">
        <v>107</v>
      </c>
      <c r="G67" s="329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8"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8" thickBot="1">
      <c r="A71" s="1458" t="s">
        <v>1198</v>
      </c>
      <c r="B71" s="1529">
        <v>111</v>
      </c>
      <c r="C71" s="1529">
        <v>114</v>
      </c>
      <c r="D71" s="1529">
        <f t="shared" si="133"/>
        <v>114</v>
      </c>
      <c r="E71" s="1529">
        <v>108</v>
      </c>
      <c r="F71" s="1530">
        <v>104</v>
      </c>
      <c r="G71" s="329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7">
        <v>2003</v>
      </c>
      <c r="H73" s="1462">
        <v>2</v>
      </c>
      <c r="I73" s="1531"/>
      <c r="J73" s="1531"/>
      <c r="K73" s="1531"/>
      <c r="L73" s="1531"/>
      <c r="X73" s="1523"/>
      <c r="Y73" s="1523"/>
      <c r="Z73" s="1523"/>
    </row>
    <row r="74" spans="1:26" ht="13.8" thickBot="1">
      <c r="A74" s="1458" t="s">
        <v>1201</v>
      </c>
      <c r="B74" s="1533">
        <f t="shared" si="169"/>
        <v>107.25</v>
      </c>
      <c r="C74" s="1533">
        <f t="shared" si="169"/>
        <v>108.75</v>
      </c>
      <c r="D74" s="1533">
        <f t="shared" si="133"/>
        <v>108.75</v>
      </c>
      <c r="E74" s="1533">
        <f t="shared" si="170"/>
        <v>105.75</v>
      </c>
      <c r="F74" s="1533">
        <f t="shared" si="170"/>
        <v>102.5</v>
      </c>
      <c r="G74" s="3298">
        <v>2003</v>
      </c>
      <c r="H74" s="1534">
        <v>1</v>
      </c>
      <c r="I74" s="1531"/>
      <c r="J74" s="1531"/>
      <c r="K74" s="1531"/>
      <c r="L74" s="1531"/>
      <c r="S74" s="1469"/>
      <c r="T74" s="1470"/>
      <c r="U74" s="1470"/>
      <c r="X74" s="1523"/>
      <c r="Y74" s="1523"/>
      <c r="Z74" s="1523"/>
    </row>
    <row r="75" spans="1:26" ht="13.8" thickBot="1">
      <c r="A75" s="1458" t="s">
        <v>1202</v>
      </c>
      <c r="B75" s="1535">
        <v>106</v>
      </c>
      <c r="C75" s="1535">
        <v>107</v>
      </c>
      <c r="D75" s="1535">
        <f t="shared" si="133"/>
        <v>107</v>
      </c>
      <c r="E75" s="1535">
        <v>105</v>
      </c>
      <c r="F75" s="1536">
        <v>102</v>
      </c>
      <c r="G75" s="329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7">
        <v>2002</v>
      </c>
      <c r="H77" s="1462">
        <v>2</v>
      </c>
      <c r="I77" s="1531"/>
      <c r="J77" s="1531"/>
      <c r="K77" s="1531"/>
      <c r="L77" s="1531"/>
      <c r="X77" s="1523"/>
      <c r="Y77" s="1523"/>
      <c r="Z77" s="1523"/>
    </row>
    <row r="78" spans="1:26" s="1495" customFormat="1" ht="13.8" thickBot="1">
      <c r="A78" s="1491" t="s">
        <v>1205</v>
      </c>
      <c r="B78" s="1537">
        <f t="shared" si="171"/>
        <v>103</v>
      </c>
      <c r="C78" s="1537">
        <f t="shared" si="171"/>
        <v>104</v>
      </c>
      <c r="D78" s="1537">
        <f t="shared" si="133"/>
        <v>104</v>
      </c>
      <c r="E78" s="1537">
        <f t="shared" si="172"/>
        <v>103.5</v>
      </c>
      <c r="F78" s="1537">
        <f t="shared" si="172"/>
        <v>100.5</v>
      </c>
      <c r="G78" s="3298">
        <v>2002</v>
      </c>
      <c r="H78" s="1538">
        <v>1</v>
      </c>
      <c r="I78" s="1539"/>
      <c r="J78" s="1539"/>
      <c r="K78" s="1539"/>
      <c r="L78" s="1539"/>
      <c r="N78" s="1540"/>
      <c r="S78" s="1540"/>
      <c r="X78" s="1541"/>
      <c r="Y78" s="1541"/>
      <c r="Z78" s="1541"/>
    </row>
    <row r="79" spans="1:26" ht="13.8"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8"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8"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3001</v>
      </c>
      <c r="C1" s="3306" t="s">
        <v>3002</v>
      </c>
      <c r="D1" s="3307"/>
      <c r="E1" s="3307"/>
      <c r="F1" s="3307"/>
      <c r="G1" s="3307"/>
      <c r="H1" s="3307"/>
      <c r="I1" s="3307"/>
      <c r="J1" s="3307"/>
      <c r="K1" s="3307"/>
      <c r="L1" s="3307"/>
      <c r="M1" s="3307"/>
      <c r="N1" s="3307"/>
      <c r="O1" s="3307"/>
      <c r="P1" s="3307"/>
      <c r="Q1" s="3307"/>
      <c r="R1" s="3307"/>
      <c r="S1" s="3308"/>
      <c r="T1" s="1201" t="s">
        <v>3003</v>
      </c>
    </row>
    <row r="2" spans="1:45" s="705" customFormat="1">
      <c r="A2" s="1202"/>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3006</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3007</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3011</v>
      </c>
      <c r="B17" s="2900"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3013</v>
      </c>
      <c r="E19" s="1781"/>
      <c r="F19" s="1781"/>
      <c r="G19" s="1781"/>
      <c r="H19" s="1277"/>
      <c r="I19" s="166"/>
      <c r="J19" s="166"/>
      <c r="K19" s="166"/>
      <c r="L19" s="166"/>
      <c r="M19" s="166"/>
      <c r="N19" s="166"/>
      <c r="O19" s="166"/>
      <c r="P19" s="166"/>
      <c r="Q19" s="166"/>
      <c r="R19" s="785"/>
      <c r="S19" s="136"/>
    </row>
    <row r="20" spans="1:45" ht="16.2" thickBot="1">
      <c r="A20" s="713" t="s">
        <v>3014</v>
      </c>
      <c r="B20" s="336" t="e">
        <f ca="1">IF(D20="——",S22,S22-F20)</f>
        <v>#REF!</v>
      </c>
      <c r="C20" s="166"/>
      <c r="D20" s="2902" t="s">
        <v>3015</v>
      </c>
      <c r="E20" s="1782"/>
      <c r="F20" s="1201" t="e">
        <f ca="1">SUMIF(INDIRECT("'"&amp;H20&amp;"'"&amp;"!A:A"),"承租人权益价值",INDIRECT("'"&amp;H20&amp;"'"&amp;"!c:c"))</f>
        <v>#REF!</v>
      </c>
      <c r="G20" s="1201" t="s">
        <v>3016</v>
      </c>
      <c r="H20" s="2903"/>
      <c r="I20" s="166"/>
      <c r="J20" s="166"/>
      <c r="K20" s="166"/>
      <c r="L20" s="166"/>
      <c r="M20" s="166"/>
      <c r="N20" s="166"/>
      <c r="O20" s="166"/>
      <c r="P20" s="166"/>
      <c r="Q20" s="166"/>
      <c r="R20" s="785"/>
      <c r="S20" s="136"/>
    </row>
    <row r="21" spans="1:45" ht="15.6">
      <c r="A21" s="713" t="s">
        <v>3017</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100</v>
      </c>
      <c r="C22" s="3082" t="s">
        <v>33</v>
      </c>
      <c r="D22" s="3083"/>
      <c r="E22" s="3083"/>
      <c r="F22" s="3083"/>
      <c r="G22" s="3083"/>
      <c r="H22" s="3083"/>
      <c r="I22" s="3083"/>
      <c r="J22" s="3083"/>
      <c r="K22" s="3083"/>
      <c r="L22" s="3083"/>
      <c r="M22" s="3083"/>
      <c r="N22" s="3083"/>
      <c r="O22" s="3083"/>
      <c r="P22" s="3083"/>
      <c r="Q22" s="3305"/>
      <c r="R22" s="714">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50243</v>
      </c>
      <c r="C2" s="2" t="s">
        <v>133</v>
      </c>
      <c r="D2" s="241"/>
      <c r="E2" s="241"/>
      <c r="F2" s="241"/>
      <c r="G2" s="241"/>
    </row>
    <row r="3" spans="1:7" s="242" customFormat="1" ht="18" customHeight="1" thickBot="1">
      <c r="A3" s="245" t="s">
        <v>85</v>
      </c>
      <c r="B3" s="246">
        <f ca="1">ROUND(B2*10000/'数据-汇总表'!E3,0)</f>
        <v>7500</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1206</v>
      </c>
      <c r="D19" s="1033">
        <f>'数据-汇总表'!E3</f>
        <v>66988.94</v>
      </c>
      <c r="E19" s="253">
        <f>'数据-取费表'!B31</f>
        <v>180</v>
      </c>
      <c r="F19" s="273"/>
      <c r="G19" s="1" t="s">
        <v>1070</v>
      </c>
    </row>
    <row r="20" spans="1:7" s="256" customFormat="1" ht="13.5" customHeight="1">
      <c r="A20" s="945" t="s">
        <v>1053</v>
      </c>
      <c r="B20" s="252" t="s">
        <v>104</v>
      </c>
      <c r="C20" s="274">
        <f>ROUND((C5+C19)*F20,0)</f>
        <v>436</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1588</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87</v>
      </c>
      <c r="D24" s="280"/>
      <c r="E24" s="280"/>
      <c r="F24" s="281"/>
      <c r="G24" s="282" t="s">
        <v>109</v>
      </c>
    </row>
    <row r="25" spans="1:7" s="256" customFormat="1" ht="24">
      <c r="A25" s="948" t="s">
        <v>793</v>
      </c>
      <c r="B25" s="257" t="s">
        <v>1054</v>
      </c>
      <c r="C25" s="1352">
        <f ca="1">ROUND(IF('数据-取费表'!B22&lt;=1,C20*F22*'数据-取费表'!B23/2,C20*(POWER((1+F22),'数据-取费表'!B23/2)-1)),0)</f>
        <v>15</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6.4">
      <c r="A27" s="945" t="s">
        <v>787</v>
      </c>
      <c r="B27" s="286" t="s">
        <v>112</v>
      </c>
      <c r="C27" s="287">
        <f>C28</f>
        <v>3338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3338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29416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19770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17765</v>
      </c>
      <c r="D34" s="259"/>
      <c r="E34" s="262"/>
      <c r="F34" s="299">
        <f>IF('数据-取费表'!B24=0,1,'数据-取费表'!N16)</f>
        <v>1</v>
      </c>
      <c r="G34" s="261" t="s">
        <v>116</v>
      </c>
    </row>
    <row r="35" spans="1:7" ht="13.5" customHeight="1">
      <c r="A35" s="948" t="s">
        <v>796</v>
      </c>
      <c r="B35" s="257" t="s">
        <v>60</v>
      </c>
      <c r="C35" s="262">
        <f>ROUND(C34*F35,0)</f>
        <v>533</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1206</v>
      </c>
      <c r="D37" s="259">
        <f>'数据-汇总表'!E3</f>
        <v>66988.94</v>
      </c>
      <c r="E37" s="291">
        <f>'数据-取费表'!B35</f>
        <v>180</v>
      </c>
      <c r="F37" s="301"/>
      <c r="G37" s="303" t="s">
        <v>119</v>
      </c>
    </row>
    <row r="38" spans="1:7" ht="13.5" customHeight="1">
      <c r="A38" s="948" t="s">
        <v>799</v>
      </c>
      <c r="B38" s="257" t="s">
        <v>63</v>
      </c>
      <c r="C38" s="262">
        <f>ROUND(C34*F38,0)</f>
        <v>266</v>
      </c>
      <c r="D38" s="262"/>
      <c r="E38" s="262"/>
      <c r="F38" s="301">
        <f>'数据-取费表'!B36</f>
        <v>1.4999999999999999E-2</v>
      </c>
      <c r="G38" s="261" t="s">
        <v>117</v>
      </c>
    </row>
    <row r="39" spans="1:7" s="256" customFormat="1" ht="13.5" customHeight="1">
      <c r="A39" s="945" t="s">
        <v>783</v>
      </c>
      <c r="B39" s="252" t="s">
        <v>104</v>
      </c>
      <c r="C39" s="274">
        <f>ROUND(C33*F20,0)</f>
        <v>395</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714</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700</v>
      </c>
      <c r="D42" s="280"/>
      <c r="E42" s="280"/>
      <c r="F42" s="281"/>
      <c r="G42" s="3169" t="s">
        <v>121</v>
      </c>
    </row>
    <row r="43" spans="1:7" ht="13.5" customHeight="1">
      <c r="A43" s="948" t="s">
        <v>792</v>
      </c>
      <c r="B43" s="257" t="s">
        <v>1060</v>
      </c>
      <c r="C43" s="280">
        <f ca="1">ROUND(IF('数据-取费表'!B22&lt;=1,C39*F22*'数据-取费表'!B21/2,C39*(POWER((1+F22),'数据-取费表'!B21/2)-1)),0)</f>
        <v>14</v>
      </c>
      <c r="D43" s="280"/>
      <c r="E43" s="280"/>
      <c r="F43" s="281"/>
      <c r="G43" s="3170"/>
    </row>
    <row r="44" spans="1:7" ht="13.5" customHeight="1">
      <c r="A44" s="948" t="s">
        <v>793</v>
      </c>
      <c r="B44" s="257" t="s">
        <v>1062</v>
      </c>
      <c r="C44" s="280">
        <f ca="1">ROUND(IF('数据-取费表'!B22&lt;=1,C40*F22*'数据-取费表'!B21/2,C40*(POWER((1+F22),'数据-取费表'!B21/2)-1)),4)</f>
        <v>6.9999999999999999E-4</v>
      </c>
      <c r="D44" s="280"/>
      <c r="E44" s="280"/>
      <c r="F44" s="281"/>
      <c r="G44" s="3171"/>
    </row>
    <row r="45" spans="1:7" s="256" customFormat="1" ht="13.5" customHeight="1">
      <c r="A45" s="945" t="s">
        <v>786</v>
      </c>
      <c r="B45" s="286" t="s">
        <v>112</v>
      </c>
      <c r="C45" s="287">
        <f>C46</f>
        <v>3025</v>
      </c>
      <c r="D45" s="277">
        <f>C47</f>
        <v>3.0000000000000001E-3</v>
      </c>
      <c r="E45" s="278" t="s">
        <v>129</v>
      </c>
      <c r="F45" s="288"/>
      <c r="G45" s="289" t="s">
        <v>1068</v>
      </c>
    </row>
    <row r="46" spans="1:7" s="256" customFormat="1" ht="13.5" customHeight="1">
      <c r="A46" s="948" t="s">
        <v>794</v>
      </c>
      <c r="B46" s="290" t="s">
        <v>1061</v>
      </c>
      <c r="C46" s="291">
        <f>ROUND((C33+C39)*F27,0)</f>
        <v>3025</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25872</v>
      </c>
      <c r="D49" s="274"/>
      <c r="E49" s="274"/>
      <c r="F49" s="306"/>
      <c r="G49" s="276" t="s">
        <v>1069</v>
      </c>
    </row>
    <row r="50" spans="1:7" s="300" customFormat="1" ht="24">
      <c r="A50" s="945" t="s">
        <v>789</v>
      </c>
      <c r="B50" s="252" t="s">
        <v>124</v>
      </c>
      <c r="C50" s="274"/>
      <c r="D50" s="274"/>
      <c r="E50" s="274"/>
      <c r="F50" s="306">
        <f>IF('数据-取费表'!B24=0,'数据-取费表'!N16,1)</f>
        <v>0.80500000000000005</v>
      </c>
      <c r="G50" s="289" t="s">
        <v>125</v>
      </c>
    </row>
    <row r="51" spans="1:7" ht="16.5" customHeight="1">
      <c r="A51" s="945" t="s">
        <v>790</v>
      </c>
      <c r="B51" s="252" t="s">
        <v>132</v>
      </c>
      <c r="C51" s="274">
        <f ca="1">ROUND(C49*F50,0)</f>
        <v>20827</v>
      </c>
      <c r="D51" s="274"/>
      <c r="E51" s="274"/>
      <c r="F51" s="306"/>
      <c r="G51" s="276" t="s">
        <v>64</v>
      </c>
    </row>
    <row r="52" spans="1:7" s="250" customFormat="1" ht="16.8" thickBot="1">
      <c r="A52" s="307" t="s">
        <v>65</v>
      </c>
      <c r="B52" s="308"/>
      <c r="C52" s="309">
        <f ca="1">C31+C51</f>
        <v>50243</v>
      </c>
      <c r="D52" s="308"/>
      <c r="E52" s="308"/>
      <c r="F52" s="308"/>
      <c r="G52" s="310"/>
    </row>
    <row r="55" spans="1:7" ht="15">
      <c r="B55" s="312" t="s">
        <v>66</v>
      </c>
      <c r="C55" s="313"/>
    </row>
    <row r="56" spans="1:7">
      <c r="B56" s="315" t="s">
        <v>67</v>
      </c>
      <c r="C56" s="316">
        <f ca="1">ROUND(C51/C52,3)</f>
        <v>0.41499999999999998</v>
      </c>
    </row>
    <row r="57" spans="1:7">
      <c r="B57" s="315" t="s">
        <v>68</v>
      </c>
      <c r="C57" s="317">
        <f ca="1">1-C56</f>
        <v>0.58499999999999996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9" t="s">
        <v>156</v>
      </c>
      <c r="B1" s="3309"/>
      <c r="C1" s="3309"/>
      <c r="D1" s="3309"/>
      <c r="E1" s="3309"/>
      <c r="F1" s="330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0" t="s">
        <v>169</v>
      </c>
      <c r="B2" s="3310"/>
      <c r="C2" s="3310"/>
      <c r="D2" s="3310"/>
      <c r="E2" s="3310"/>
      <c r="F2" s="331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9" t="s">
        <v>867</v>
      </c>
      <c r="B1" s="3309"/>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1" t="s">
        <v>1367</v>
      </c>
      <c r="E1" s="1765" t="s">
        <v>1371</v>
      </c>
      <c r="F1" s="1766" t="s">
        <v>1375</v>
      </c>
    </row>
    <row r="2" spans="1:13" ht="19.8">
      <c r="A2" s="1772" t="s">
        <v>1368</v>
      </c>
    </row>
    <row r="3" spans="1:13" ht="15.6">
      <c r="A3" s="1773" t="s">
        <v>1369</v>
      </c>
    </row>
    <row r="4" spans="1:13">
      <c r="A4" s="1763" t="s">
        <v>1370</v>
      </c>
      <c r="B4" s="1768" t="s">
        <v>1372</v>
      </c>
      <c r="C4" s="1769"/>
      <c r="D4" s="1770"/>
      <c r="E4" s="1768" t="s">
        <v>27</v>
      </c>
      <c r="F4" s="1769"/>
      <c r="G4" s="1770"/>
      <c r="H4" s="1768" t="s">
        <v>1373</v>
      </c>
      <c r="I4" s="1769"/>
      <c r="J4" s="1770"/>
      <c r="K4" s="1768" t="s">
        <v>6</v>
      </c>
      <c r="L4" s="1769"/>
      <c r="M4" s="1770"/>
    </row>
    <row r="5" spans="1:13">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3" customWidth="1"/>
    <col min="2" max="9" width="12.109375" style="1933" customWidth="1"/>
    <col min="10" max="16384" width="9" style="1933"/>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6">
      <c r="A3" s="2994"/>
      <c r="B3" s="2994"/>
      <c r="C3" s="2994"/>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f ca="1">结果表!D118</f>
        <v>19814</v>
      </c>
      <c r="E4" s="1041">
        <f ca="1">结果表!E118</f>
        <v>2958</v>
      </c>
      <c r="F4" s="1041">
        <f ca="1">结果表!F118</f>
        <v>18072</v>
      </c>
      <c r="G4" s="1041">
        <f ca="1">结果表!G118</f>
        <v>2698</v>
      </c>
      <c r="H4" s="1041">
        <f ca="1">结果表!H118</f>
        <v>37886</v>
      </c>
      <c r="I4" s="1041">
        <f ca="1">结果表!I118</f>
        <v>5656</v>
      </c>
    </row>
    <row r="5" spans="1:9" ht="30" customHeight="1">
      <c r="A5" s="2994" t="s">
        <v>1634</v>
      </c>
      <c r="B5" s="2994"/>
      <c r="C5" s="2994"/>
      <c r="D5" s="2995" t="str">
        <f ca="1">结果表!D119</f>
        <v>壹亿玖仟捌佰壹拾肆万元整</v>
      </c>
      <c r="E5" s="2995"/>
      <c r="F5" s="2995" t="str">
        <f ca="1">结果表!F119</f>
        <v>壹亿捌仟零柒拾贰万元整</v>
      </c>
      <c r="G5" s="2995"/>
      <c r="H5" s="2995" t="str">
        <f ca="1">结果表!H119</f>
        <v>叁亿柒仟捌佰捌拾陆万元整</v>
      </c>
      <c r="I5" s="2995"/>
    </row>
    <row r="6" spans="1:9" ht="15.6">
      <c r="A6" s="2996" t="str">
        <f>结果表!A120</f>
        <v>估价师知悉的法定优先受偿款</v>
      </c>
      <c r="B6" s="2996"/>
      <c r="C6" s="2996"/>
      <c r="D6" s="2996">
        <f>结果表!D120</f>
        <v>0</v>
      </c>
      <c r="E6" s="2996"/>
      <c r="F6" s="2996"/>
      <c r="G6" s="2996"/>
      <c r="H6" s="2996"/>
      <c r="I6" s="2996"/>
    </row>
    <row r="7" spans="1:9" ht="15">
      <c r="A7" s="2994" t="s">
        <v>1634</v>
      </c>
      <c r="B7" s="2994"/>
      <c r="C7" s="2994"/>
      <c r="D7" s="2997" t="str">
        <f>结果表!D121</f>
        <v>零元整</v>
      </c>
      <c r="E7" s="2998"/>
      <c r="F7" s="2998"/>
      <c r="G7" s="2998"/>
      <c r="H7" s="2998"/>
      <c r="I7" s="2999"/>
    </row>
    <row r="8" spans="1:9" ht="15.6">
      <c r="A8" s="2996" t="str">
        <f>结果表!A122</f>
        <v>房地产抵押价值</v>
      </c>
      <c r="B8" s="2996"/>
      <c r="C8" s="2996"/>
      <c r="D8" s="2996">
        <f ca="1">结果表!D122</f>
        <v>37886</v>
      </c>
      <c r="E8" s="2996"/>
      <c r="F8" s="2996"/>
      <c r="G8" s="2996"/>
      <c r="H8" s="2996"/>
      <c r="I8" s="2996"/>
    </row>
    <row r="9" spans="1:9" ht="15">
      <c r="A9" s="2994" t="s">
        <v>1634</v>
      </c>
      <c r="B9" s="2994"/>
      <c r="C9" s="2994"/>
      <c r="D9" s="2995" t="str">
        <f ca="1">结果表!D123</f>
        <v>叁亿柒仟捌佰捌拾陆万元整</v>
      </c>
      <c r="E9" s="2995"/>
      <c r="F9" s="2995"/>
      <c r="G9" s="2995"/>
      <c r="H9" s="2995"/>
      <c r="I9" s="2995"/>
    </row>
    <row r="10" spans="1:9" ht="15.6">
      <c r="A10" s="2996" t="str">
        <f>结果表!A124</f>
        <v/>
      </c>
      <c r="B10" s="2996"/>
      <c r="C10" s="2996"/>
      <c r="D10" s="2996" t="str">
        <f>结果表!D124</f>
        <v>——</v>
      </c>
      <c r="E10" s="2996"/>
      <c r="F10" s="2996"/>
      <c r="G10" s="2996"/>
      <c r="H10" s="2996"/>
      <c r="I10" s="2996"/>
    </row>
    <row r="11" spans="1:9" ht="15">
      <c r="A11" s="2994" t="s">
        <v>1634</v>
      </c>
      <c r="B11" s="2994"/>
      <c r="C11" s="2994"/>
      <c r="D11" s="2995" t="e">
        <f>结果表!D125</f>
        <v>#VALUE!</v>
      </c>
      <c r="E11" s="2995"/>
      <c r="F11" s="2995"/>
      <c r="G11" s="2995"/>
      <c r="H11" s="2995"/>
      <c r="I11" s="2995"/>
    </row>
    <row r="12" spans="1:9" ht="15.6">
      <c r="A12" s="2996" t="str">
        <f>结果表!A126</f>
        <v/>
      </c>
      <c r="B12" s="2996"/>
      <c r="C12" s="2996"/>
      <c r="D12" s="2996" t="str">
        <f>结果表!D126</f>
        <v>——</v>
      </c>
      <c r="E12" s="2996"/>
      <c r="F12" s="2996"/>
      <c r="G12" s="2996"/>
      <c r="H12" s="2996"/>
      <c r="I12" s="2996"/>
    </row>
    <row r="13" spans="1:9" ht="15.6" thickBot="1">
      <c r="A13" s="3000" t="s">
        <v>1634</v>
      </c>
      <c r="B13" s="3000"/>
      <c r="C13" s="3000"/>
      <c r="D13" s="3001" t="e">
        <f>结果表!D127</f>
        <v>#VALUE!</v>
      </c>
      <c r="E13" s="3001"/>
      <c r="F13" s="3001"/>
      <c r="G13" s="3001"/>
      <c r="H13" s="3001"/>
      <c r="I13" s="3001"/>
    </row>
    <row r="14" spans="1:9" ht="14.4" thickTop="1">
      <c r="A14" s="3002" t="s">
        <v>1639</v>
      </c>
      <c r="B14" s="3002"/>
      <c r="C14" s="3002"/>
      <c r="D14" s="3002"/>
      <c r="E14" s="3002"/>
      <c r="F14" s="3002"/>
      <c r="G14" s="3002"/>
      <c r="H14" s="3002"/>
      <c r="I14" s="3002"/>
    </row>
    <row r="16" spans="1:9" ht="17.399999999999999">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3" customWidth="1"/>
    <col min="2" max="3" width="22.33203125" style="1933" customWidth="1"/>
    <col min="4" max="4" width="23" style="1933" customWidth="1"/>
    <col min="5" max="16384" width="9" style="1933"/>
  </cols>
  <sheetData>
    <row r="1" spans="1:4" ht="17.399999999999999">
      <c r="A1" s="3003" t="s">
        <v>1656</v>
      </c>
      <c r="B1" s="3003"/>
      <c r="C1" s="3003"/>
      <c r="D1" s="3003"/>
    </row>
    <row r="2" spans="1:4" ht="17.399999999999999">
      <c r="A2" s="3004" t="s">
        <v>1640</v>
      </c>
      <c r="B2" s="3004"/>
      <c r="C2" s="3004"/>
      <c r="D2" s="3004"/>
    </row>
    <row r="3" spans="1:4" ht="17.399999999999999">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f>项目基本情况!D4</f>
        <v>0</v>
      </c>
      <c r="B5" s="1967">
        <f>项目基本情况!E4</f>
        <v>0</v>
      </c>
      <c r="C5" s="1970"/>
      <c r="D5" s="1969" t="s">
        <v>1645</v>
      </c>
    </row>
    <row r="6" spans="1:4" ht="17.399999999999999">
      <c r="A6" s="3004" t="s">
        <v>1646</v>
      </c>
      <c r="B6" s="3004"/>
      <c r="C6" s="3004"/>
      <c r="D6" s="3004"/>
    </row>
    <row r="7" spans="1:4" ht="17.399999999999999">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7.399999999999999">
      <c r="A10" s="1972" t="s">
        <v>1648</v>
      </c>
      <c r="B10" s="725"/>
      <c r="C10" s="725"/>
      <c r="D10" s="725"/>
    </row>
    <row r="11" spans="1:4" ht="30" customHeight="1">
      <c r="A11" s="3005" t="s">
        <v>1649</v>
      </c>
      <c r="B11" s="3006"/>
      <c r="C11" s="3006"/>
      <c r="D11" s="3006"/>
    </row>
    <row r="12" spans="1:4" ht="15.6">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1650</v>
      </c>
      <c r="B16" s="3009"/>
      <c r="C16" s="3009"/>
      <c r="D16" s="3009"/>
    </row>
    <row r="17" spans="1:4" ht="144" customHeight="1">
      <c r="A17" s="3009" t="s">
        <v>1651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1652</v>
      </c>
      <c r="B22" s="3011"/>
      <c r="C22" s="3011"/>
      <c r="D22" s="3011"/>
    </row>
    <row r="23" spans="1:4">
      <c r="A23" s="1973"/>
      <c r="B23" s="1945"/>
      <c r="C23" s="1945"/>
      <c r="D23" s="1945"/>
    </row>
    <row r="24" spans="1:4">
      <c r="A24" s="1973"/>
      <c r="B24" s="1945"/>
      <c r="C24" s="1945"/>
      <c r="D24" s="1945"/>
    </row>
    <row r="25" spans="1:4" ht="17.399999999999999">
      <c r="A25" s="1974" t="s">
        <v>1653</v>
      </c>
    </row>
    <row r="26" spans="1:4" ht="17.399999999999999">
      <c r="A26" s="1943"/>
    </row>
    <row r="27" spans="1:4" ht="17.399999999999999">
      <c r="A27" s="1943" t="s">
        <v>1654</v>
      </c>
    </row>
    <row r="30" spans="1:4" ht="17.399999999999999">
      <c r="D30" s="1974" t="s">
        <v>1655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1" customWidth="1"/>
    <col min="3" max="10" width="12.44140625" style="1931" customWidth="1"/>
    <col min="11" max="16384" width="9" style="1931"/>
  </cols>
  <sheetData>
    <row r="1" spans="1:10" ht="17.399999999999999">
      <c r="A1" s="1964" t="s">
        <v>866</v>
      </c>
      <c r="B1" s="1975"/>
      <c r="C1" s="1975"/>
      <c r="D1" s="1975"/>
      <c r="E1" s="1975"/>
      <c r="F1" s="1975"/>
      <c r="G1" s="1975"/>
      <c r="H1" s="1975"/>
      <c r="I1" s="1975"/>
      <c r="J1" s="1975"/>
    </row>
    <row r="2" spans="1:10" ht="17.399999999999999">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1" customWidth="1"/>
    <col min="2" max="16384" width="14.44140625" style="1963"/>
  </cols>
  <sheetData>
    <row r="1" spans="1:7" s="1978" customFormat="1" ht="17.399999999999999">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4.4">
      <c r="A15" s="3017" t="s">
        <v>1663</v>
      </c>
      <c r="B15" s="3012" t="s">
        <v>136</v>
      </c>
      <c r="C15" s="3013"/>
    </row>
    <row r="16" spans="1:7" ht="14.4">
      <c r="A16" s="3018"/>
      <c r="B16" s="3012" t="s">
        <v>69</v>
      </c>
      <c r="C16" s="3013"/>
    </row>
    <row r="17" spans="1:3" ht="14.4">
      <c r="A17" s="3018"/>
      <c r="B17" s="3015" t="s">
        <v>1664</v>
      </c>
      <c r="C17" s="1988" t="s">
        <v>1663</v>
      </c>
    </row>
    <row r="18" spans="1:3" ht="14.4">
      <c r="A18" s="3018"/>
      <c r="B18" s="3015"/>
      <c r="C18" s="1988" t="s">
        <v>1665</v>
      </c>
    </row>
    <row r="19" spans="1:3" ht="14.4">
      <c r="A19" s="3018"/>
      <c r="B19" s="3015"/>
      <c r="C19" s="1988" t="s">
        <v>1666</v>
      </c>
    </row>
    <row r="20" spans="1:3" ht="14.4">
      <c r="A20" s="3019"/>
      <c r="B20" s="3014" t="s">
        <v>1667</v>
      </c>
      <c r="C20" s="3013"/>
    </row>
    <row r="21" spans="1:3" ht="14.4">
      <c r="A21" s="1989" t="s">
        <v>1668</v>
      </c>
      <c r="B21" s="1990"/>
      <c r="C21" s="1991"/>
    </row>
    <row r="22" spans="1:3" ht="14.4">
      <c r="A22" s="3016" t="s">
        <v>1669</v>
      </c>
      <c r="B22" s="3014" t="s">
        <v>1670</v>
      </c>
      <c r="C22" s="3013"/>
    </row>
    <row r="23" spans="1:3" ht="14.4">
      <c r="A23" s="3016"/>
      <c r="B23" s="3014" t="s">
        <v>1671</v>
      </c>
      <c r="C23" s="3013"/>
    </row>
    <row r="24" spans="1:3" ht="14.4">
      <c r="A24" s="3016"/>
      <c r="B24" s="3014" t="s">
        <v>1672</v>
      </c>
      <c r="C24" s="3013"/>
    </row>
    <row r="25" spans="1:3" ht="14.4">
      <c r="A25" s="3016"/>
      <c r="B25" s="3015" t="s">
        <v>1673</v>
      </c>
      <c r="C25" s="1988" t="s">
        <v>1674</v>
      </c>
    </row>
    <row r="26" spans="1:3" ht="14.4">
      <c r="A26" s="3016"/>
      <c r="B26" s="3015"/>
      <c r="C26" s="1988" t="s">
        <v>1675</v>
      </c>
    </row>
    <row r="27" spans="1:3" ht="14.4">
      <c r="A27" s="3016"/>
      <c r="B27" s="3015"/>
      <c r="C27" s="1988" t="s">
        <v>1676</v>
      </c>
    </row>
    <row r="28" spans="1:3" ht="14.4">
      <c r="A28" s="3016"/>
      <c r="B28" s="3015"/>
      <c r="C28" s="1988" t="s">
        <v>1677</v>
      </c>
    </row>
    <row r="29" spans="1:3" ht="14.4">
      <c r="A29" s="3016"/>
      <c r="B29" s="3015"/>
      <c r="C29" s="1988" t="s">
        <v>1678</v>
      </c>
    </row>
    <row r="30" spans="1:3" ht="14.4">
      <c r="A30" s="3016"/>
      <c r="B30" s="3015"/>
      <c r="C30" s="1988" t="s">
        <v>1679</v>
      </c>
    </row>
    <row r="31" spans="1:3" ht="14.4">
      <c r="A31" s="3016"/>
      <c r="B31" s="3015"/>
      <c r="C31" s="1988" t="s">
        <v>1680</v>
      </c>
    </row>
    <row r="32" spans="1:3" ht="14.4">
      <c r="A32" s="3016"/>
      <c r="B32" s="3015"/>
      <c r="C32" s="1988" t="s">
        <v>1681</v>
      </c>
    </row>
    <row r="33" spans="1:3" ht="14.4">
      <c r="A33" s="3016"/>
      <c r="B33" s="3015"/>
      <c r="C33" s="1988" t="s">
        <v>1682</v>
      </c>
    </row>
    <row r="34" spans="1:3">
      <c r="A34" s="1992" t="s">
        <v>76</v>
      </c>
    </row>
    <row r="37" spans="1:3">
      <c r="A37" s="1992" t="s">
        <v>1683</v>
      </c>
    </row>
    <row r="38" spans="1:3" ht="14.4">
      <c r="A38" s="1993" t="s">
        <v>77</v>
      </c>
    </row>
    <row r="39" spans="1:3" ht="14.4">
      <c r="A39" s="1993" t="s">
        <v>78</v>
      </c>
    </row>
    <row r="40" spans="1:3" ht="14.4">
      <c r="A40" s="1993" t="s">
        <v>79</v>
      </c>
    </row>
    <row r="41" spans="1:3" ht="14.4">
      <c r="A41" s="1994" t="s">
        <v>80</v>
      </c>
    </row>
    <row r="42" spans="1:3" ht="14.4">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44019</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3042</v>
      </c>
      <c r="B14" s="1019">
        <f ca="1">IF(C14&lt;B2,"已过期",1120040230)</f>
        <v>1120040230</v>
      </c>
      <c r="C14" s="2337">
        <v>44864</v>
      </c>
      <c r="D14" s="2340" t="s">
        <v>3042</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3049</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3051</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20" t="s">
        <v>842</v>
      </c>
      <c r="B25" s="3020"/>
      <c r="C25" s="3020"/>
      <c r="D25" s="3020"/>
      <c r="E25" s="3020"/>
      <c r="F25" s="3020"/>
      <c r="G25" s="3020"/>
    </row>
    <row r="26" spans="1:7" s="1022" customFormat="1" ht="24" customHeight="1">
      <c r="A26" s="3021" t="s">
        <v>843</v>
      </c>
      <c r="B26" s="3021"/>
      <c r="C26" s="3022"/>
      <c r="D26" s="3023" t="s">
        <v>844</v>
      </c>
      <c r="E26" s="3021"/>
      <c r="F26" s="3021"/>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2020-07-07T03:40:07Z</dcterms:modified>
</cp:coreProperties>
</file>