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F:\2025-1-0880⑧西广街12号楼\"/>
    </mc:Choice>
  </mc:AlternateContent>
  <xr:revisionPtr revIDLastSave="0" documentId="13_ncr:1_{2469E043-ADD5-4912-917B-152B6434D643}" xr6:coauthVersionLast="47" xr6:coauthVersionMax="47" xr10:uidLastSave="{00000000-0000-0000-0000-000000000000}"/>
  <bookViews>
    <workbookView xWindow="-120" yWindow="-120" windowWidth="38640" windowHeight="212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案例" sheetId="8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M40" i="21"/>
  <c r="I33" i="21" l="1"/>
  <c r="G33" i="21"/>
  <c r="E33" i="21"/>
  <c r="I7" i="21"/>
  <c r="G7" i="21"/>
  <c r="E7" i="21"/>
  <c r="I47" i="21"/>
  <c r="G47" i="21"/>
  <c r="E47" i="21"/>
  <c r="I5" i="21"/>
  <c r="G5" i="21"/>
  <c r="E5" i="21"/>
  <c r="M42" i="21" l="1"/>
  <c r="M41" i="21"/>
  <c r="N18" i="1"/>
  <c r="AE13" i="81"/>
  <c r="AE12" i="81"/>
  <c r="C90" i="21" l="1"/>
  <c r="E90" i="21"/>
  <c r="D90" i="21"/>
  <c r="D104" i="21" l="1"/>
  <c r="E104" i="21" s="1"/>
  <c r="F104" i="21" s="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N68" i="71"/>
  <c r="C30" i="71"/>
  <c r="P28" i="71"/>
  <c r="E28" i="71" s="1"/>
  <c r="Q28" i="71"/>
  <c r="F2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E81" i="21" s="1"/>
  <c r="F81" i="21" s="1"/>
  <c r="G81" i="21" s="1"/>
  <c r="G20" i="20"/>
  <c r="C25" i="40" s="1"/>
  <c r="C22" i="20"/>
  <c r="C29" i="39" s="1"/>
  <c r="H25" i="40"/>
  <c r="J25" i="40"/>
  <c r="H29" i="39"/>
  <c r="AB29" i="39" s="1"/>
  <c r="J29" i="39"/>
  <c r="AC29" i="39" s="1"/>
  <c r="J18" i="36"/>
  <c r="H18" i="35"/>
  <c r="AB18" i="35" s="1"/>
  <c r="J18" i="35"/>
  <c r="H21" i="37"/>
  <c r="AB21" i="37" s="1"/>
  <c r="F21" i="37"/>
  <c r="H21" i="34"/>
  <c r="H21" i="33"/>
  <c r="F21" i="33"/>
  <c r="AA21" i="33" s="1"/>
  <c r="H1" i="6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41" i="21"/>
  <c r="F39" i="37"/>
  <c r="S39" i="37" s="1"/>
  <c r="F29" i="36"/>
  <c r="AA29" i="36" s="1"/>
  <c r="F16" i="36"/>
  <c r="AA16" i="36" s="1"/>
  <c r="H22" i="35"/>
  <c r="AB22" i="35" s="1"/>
  <c r="F36" i="34"/>
  <c r="AA36" i="34" s="1"/>
  <c r="J35" i="34"/>
  <c r="W35" i="34" s="1"/>
  <c r="H39" i="33"/>
  <c r="AB39" i="33"/>
  <c r="W33" i="33"/>
  <c r="F11" i="40"/>
  <c r="AA11" i="40"/>
  <c r="H11" i="40"/>
  <c r="AA9"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W43" i="34" s="1"/>
  <c r="AB42" i="34"/>
  <c r="J40" i="34"/>
  <c r="W40"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F28" i="33"/>
  <c r="S28" i="33" s="1"/>
  <c r="F33" i="35"/>
  <c r="S33" i="35" s="1"/>
  <c r="J33" i="35"/>
  <c r="AC33" i="35" s="1"/>
  <c r="F30" i="35"/>
  <c r="S30" i="35" s="1"/>
  <c r="H10" i="36"/>
  <c r="AB10" i="36" s="1"/>
  <c r="J14" i="36"/>
  <c r="AC14" i="36" s="1"/>
  <c r="H14" i="36"/>
  <c r="F28" i="36"/>
  <c r="AA28" i="36" s="1"/>
  <c r="J13" i="21"/>
  <c r="AC13" i="21" s="1"/>
  <c r="J13" i="33"/>
  <c r="AC13" i="33" s="1"/>
  <c r="H13" i="33"/>
  <c r="U13" i="33" s="1"/>
  <c r="J31" i="33"/>
  <c r="H31" i="33"/>
  <c r="H30" i="34"/>
  <c r="AB30" i="34" s="1"/>
  <c r="H46" i="34"/>
  <c r="U46" i="34" s="1"/>
  <c r="F46" i="34"/>
  <c r="J46" i="34"/>
  <c r="W46" i="34"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H28" i="37"/>
  <c r="F43" i="39"/>
  <c r="F12" i="40"/>
  <c r="S12" i="40" s="1"/>
  <c r="H12" i="40"/>
  <c r="AB12" i="40" s="1"/>
  <c r="H30" i="40"/>
  <c r="AB30" i="40" s="1"/>
  <c r="H33" i="40"/>
  <c r="U33" i="40" s="1"/>
  <c r="J35" i="40"/>
  <c r="J37" i="40"/>
  <c r="AC37" i="40" s="1"/>
  <c r="H14" i="40"/>
  <c r="AB14" i="40" s="1"/>
  <c r="J14" i="40"/>
  <c r="W14" i="40" s="1"/>
  <c r="F14" i="40"/>
  <c r="AA14" i="40" s="1"/>
  <c r="J36" i="37"/>
  <c r="AC36" i="37" s="1"/>
  <c r="J10" i="36"/>
  <c r="AC10" i="36" s="1"/>
  <c r="F17" i="21"/>
  <c r="H17" i="21"/>
  <c r="AB17" i="21" s="1"/>
  <c r="J41" i="39"/>
  <c r="W41" i="39" s="1"/>
  <c r="G560" i="3"/>
  <c r="BA587"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H37" i="39"/>
  <c r="AB37" i="39" s="1"/>
  <c r="AC37" i="39"/>
  <c r="W37" i="39"/>
  <c r="H25" i="39"/>
  <c r="J25" i="39"/>
  <c r="AC25" i="39" s="1"/>
  <c r="F25" i="39"/>
  <c r="AA25" i="39" s="1"/>
  <c r="F15" i="39"/>
  <c r="AA15" i="39" s="1"/>
  <c r="H15" i="39"/>
  <c r="U15" i="39" s="1"/>
  <c r="J15" i="39"/>
  <c r="W15" i="39" s="1"/>
  <c r="H41"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G17" i="3"/>
  <c r="BA17" i="3"/>
  <c r="BA15" i="3"/>
  <c r="AZ380" i="3"/>
  <c r="F83" i="43"/>
  <c r="H85" i="43" s="1"/>
  <c r="F50" i="43"/>
  <c r="H54" i="43" s="1"/>
  <c r="F72" i="43"/>
  <c r="H75" i="43" s="1"/>
  <c r="U17" i="39"/>
  <c r="AC35" i="21"/>
  <c r="G10" i="1"/>
  <c r="AC11" i="39"/>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S32" i="36"/>
  <c r="BL14" i="3"/>
  <c r="U30" i="33"/>
  <c r="H12" i="39"/>
  <c r="U12" i="39" s="1"/>
  <c r="AB12" i="39"/>
  <c r="BA14" i="3"/>
  <c r="B12" i="1"/>
  <c r="E12" i="1" s="1"/>
  <c r="B10" i="1"/>
  <c r="E10" i="1" s="1"/>
  <c r="K12" i="1"/>
  <c r="M12" i="1" s="1"/>
  <c r="S13" i="1"/>
  <c r="AR13" i="1" s="1"/>
  <c r="R13" i="1"/>
  <c r="J51" i="67"/>
  <c r="C42" i="1"/>
  <c r="C24" i="12" s="1"/>
  <c r="B41" i="1"/>
  <c r="F48" i="9" s="1"/>
  <c r="O52" i="9" s="1"/>
  <c r="AB37" i="40"/>
  <c r="S35" i="40"/>
  <c r="S17" i="40"/>
  <c r="F32" i="39"/>
  <c r="AA32" i="39" s="1"/>
  <c r="AB27" i="39"/>
  <c r="J21" i="39"/>
  <c r="W21" i="39" s="1"/>
  <c r="F21" i="39"/>
  <c r="S21" i="39" s="1"/>
  <c r="H21" i="39"/>
  <c r="W19" i="39"/>
  <c r="U19" i="39"/>
  <c r="U26" i="36"/>
  <c r="AC26" i="36"/>
  <c r="W14" i="36"/>
  <c r="S16" i="36"/>
  <c r="S14" i="36"/>
  <c r="AA25" i="35"/>
  <c r="U32" i="35"/>
  <c r="AA33" i="35"/>
  <c r="AC30" i="35"/>
  <c r="U14" i="35"/>
  <c r="AC9" i="35"/>
  <c r="F9" i="35"/>
  <c r="S9" i="35" s="1"/>
  <c r="H9" i="35"/>
  <c r="U9" i="35" s="1"/>
  <c r="AC29" i="37"/>
  <c r="S32" i="37"/>
  <c r="W30" i="37"/>
  <c r="S36" i="37"/>
  <c r="AA38" i="37"/>
  <c r="J17" i="37"/>
  <c r="F17" i="37"/>
  <c r="AB17" i="37"/>
  <c r="F75" i="37"/>
  <c r="G75" i="37" s="1"/>
  <c r="F19" i="37"/>
  <c r="S19" i="37" s="1"/>
  <c r="F23" i="37"/>
  <c r="U15" i="37"/>
  <c r="H10" i="37"/>
  <c r="AB10" i="37" s="1"/>
  <c r="F11" i="37"/>
  <c r="S11" i="37" s="1"/>
  <c r="W25" i="34"/>
  <c r="AB8" i="34"/>
  <c r="AA33" i="34"/>
  <c r="U43" i="34"/>
  <c r="AB35" i="34"/>
  <c r="U15" i="34"/>
  <c r="H10" i="34"/>
  <c r="AB10" i="34" s="1"/>
  <c r="F11" i="34"/>
  <c r="S11" i="34" s="1"/>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J17" i="33"/>
  <c r="W17" i="33" s="1"/>
  <c r="J10" i="33"/>
  <c r="W10" i="33" s="1"/>
  <c r="H10" i="33"/>
  <c r="U10" i="33" s="1"/>
  <c r="W36" i="21"/>
  <c r="AB39" i="21"/>
  <c r="AA43" i="21"/>
  <c r="AA38" i="21"/>
  <c r="F23" i="21"/>
  <c r="S23" i="21"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W37" i="40"/>
  <c r="AA15" i="40"/>
  <c r="AB17" i="40"/>
  <c r="U42" i="39"/>
  <c r="W25" i="39"/>
  <c r="AB11" i="39"/>
  <c r="U11" i="39"/>
  <c r="AA27" i="39"/>
  <c r="S27" i="39"/>
  <c r="W17" i="39"/>
  <c r="AC17" i="39"/>
  <c r="AB39" i="39"/>
  <c r="W34" i="39"/>
  <c r="AA13" i="36"/>
  <c r="AA35" i="37"/>
  <c r="AA29" i="37"/>
  <c r="U38" i="34"/>
  <c r="AA8" i="34"/>
  <c r="AC43" i="34"/>
  <c r="AC35" i="34"/>
  <c r="U39" i="33"/>
  <c r="U38" i="33"/>
  <c r="S33" i="33"/>
  <c r="W13" i="33"/>
  <c r="S11" i="33"/>
  <c r="H15" i="21"/>
  <c r="U15" i="21" s="1"/>
  <c r="J17" i="21"/>
  <c r="W17"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C17" i="40"/>
  <c r="C23" i="40"/>
  <c r="B56" i="43"/>
  <c r="B51" i="43"/>
  <c r="B54" i="43"/>
  <c r="B62" i="43"/>
  <c r="B65" i="43"/>
  <c r="D23" i="15"/>
  <c r="D22" i="15"/>
  <c r="E4" i="4"/>
  <c r="B5" i="62" s="1"/>
  <c r="B73" i="72" s="1"/>
  <c r="C4" i="4"/>
  <c r="J32" i="39"/>
  <c r="AC32" i="39" s="1"/>
  <c r="H32" i="39"/>
  <c r="AB32" i="39" s="1"/>
  <c r="J19" i="37"/>
  <c r="W19" i="37" s="1"/>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AC17" i="33"/>
  <c r="J23" i="21"/>
  <c r="AC23" i="21" s="1"/>
  <c r="H23" i="21"/>
  <c r="AB23" i="21" s="1"/>
  <c r="AP7" i="1"/>
  <c r="A18" i="62"/>
  <c r="B64" i="72" s="1"/>
  <c r="J11" i="37"/>
  <c r="AC11" i="37" s="1"/>
  <c r="J11" i="34"/>
  <c r="W11" i="34" s="1"/>
  <c r="AA17" i="33"/>
  <c r="H109" i="9"/>
  <c r="M49" i="9" s="1"/>
  <c r="H112" i="9"/>
  <c r="D21" i="53" s="1"/>
  <c r="B39" i="72" s="1"/>
  <c r="H111" i="9"/>
  <c r="D126" i="9" s="1"/>
  <c r="AD3" i="71"/>
  <c r="J1" i="73"/>
  <c r="S24" i="71"/>
  <c r="AB22" i="71"/>
  <c r="X20" i="71"/>
  <c r="X19" i="71"/>
  <c r="AA20" i="71"/>
  <c r="AA19" i="71"/>
  <c r="X23" i="71"/>
  <c r="Y19" i="71"/>
  <c r="Z19" i="71" s="1"/>
  <c r="AB20" i="71"/>
  <c r="AB19" i="71"/>
  <c r="F21" i="71"/>
  <c r="F20" i="71" s="1"/>
  <c r="F19" i="71" s="1"/>
  <c r="F18" i="71" s="1"/>
  <c r="F17" i="71" s="1"/>
  <c r="Y20" i="71"/>
  <c r="Z20" i="71" s="1"/>
  <c r="X3" i="71"/>
  <c r="D34" i="9"/>
  <c r="L48" i="67"/>
  <c r="E12" i="76"/>
  <c r="B11" i="76"/>
  <c r="F7" i="73"/>
  <c r="E2" i="69"/>
  <c r="F4" i="73"/>
  <c r="D6" i="73"/>
  <c r="F5" i="73"/>
  <c r="F6" i="73"/>
  <c r="F3" i="73"/>
  <c r="E8" i="76"/>
  <c r="B7" i="76"/>
  <c r="B13" i="76"/>
  <c r="E10" i="76"/>
  <c r="M23" i="67"/>
  <c r="B9" i="76"/>
  <c r="D35" i="9"/>
  <c r="E7" i="76"/>
  <c r="B8" i="76"/>
  <c r="M26" i="67"/>
  <c r="F6" i="15"/>
  <c r="AO13" i="1"/>
  <c r="E11" i="76"/>
  <c r="E13" i="76"/>
  <c r="B10" i="76"/>
  <c r="E2" i="68"/>
  <c r="E9" i="76"/>
  <c r="L47" i="67"/>
  <c r="B12" i="76"/>
  <c r="F20" i="31"/>
  <c r="F26" i="21" l="1"/>
  <c r="S26" i="21" s="1"/>
  <c r="H26" i="21"/>
  <c r="AB26" i="21" s="1"/>
  <c r="J15" i="21"/>
  <c r="W15" i="21" s="1"/>
  <c r="F15" i="21"/>
  <c r="S15" i="21" s="1"/>
  <c r="J19" i="21"/>
  <c r="W19" i="21" s="1"/>
  <c r="F19" i="21"/>
  <c r="AA19" i="21" s="1"/>
  <c r="H19" i="21"/>
  <c r="T24" i="71"/>
  <c r="D24" i="71"/>
  <c r="U24" i="71" s="1"/>
  <c r="S19" i="34"/>
  <c r="W23" i="40"/>
  <c r="S15" i="33"/>
  <c r="W42" i="33"/>
  <c r="S28" i="35"/>
  <c r="U36" i="35"/>
  <c r="U22" i="36"/>
  <c r="AA34" i="36"/>
  <c r="U36" i="40"/>
  <c r="AZ390" i="3"/>
  <c r="S40" i="33"/>
  <c r="J26" i="21"/>
  <c r="W26" i="21" s="1"/>
  <c r="G421" i="3"/>
  <c r="BL465" i="3"/>
  <c r="G68" i="3"/>
  <c r="U29" i="39"/>
  <c r="C19" i="39"/>
  <c r="J14" i="37"/>
  <c r="F14" i="37"/>
  <c r="F36" i="39"/>
  <c r="BA572" i="3"/>
  <c r="BL570" i="3"/>
  <c r="BL556" i="3"/>
  <c r="BA556" i="3"/>
  <c r="BA535" i="3"/>
  <c r="BL526" i="3"/>
  <c r="BA522" i="3"/>
  <c r="BL508" i="3"/>
  <c r="BA507" i="3"/>
  <c r="BA413" i="3"/>
  <c r="G63" i="3"/>
  <c r="G71" i="3"/>
  <c r="BL91" i="3"/>
  <c r="G99" i="3"/>
  <c r="G111" i="3"/>
  <c r="X38" i="71"/>
  <c r="S68" i="71"/>
  <c r="V68" i="71"/>
  <c r="B75" i="71"/>
  <c r="B74" i="71" s="1"/>
  <c r="W14" i="33"/>
  <c r="AC37" i="33"/>
  <c r="AC41" i="39"/>
  <c r="AA36" i="21"/>
  <c r="AC39" i="34"/>
  <c r="AB44" i="39"/>
  <c r="F31" i="40"/>
  <c r="J38" i="37"/>
  <c r="W23" i="21"/>
  <c r="AB15" i="21"/>
  <c r="AC34" i="21"/>
  <c r="AB14" i="21"/>
  <c r="U30" i="34"/>
  <c r="S20" i="36"/>
  <c r="S36" i="40"/>
  <c r="U29" i="34"/>
  <c r="AZ17" i="3"/>
  <c r="W19" i="33"/>
  <c r="AA22" i="36"/>
  <c r="AC34" i="33"/>
  <c r="AC17" i="34"/>
  <c r="AZ345" i="3"/>
  <c r="AA41" i="39"/>
  <c r="H38" i="37"/>
  <c r="AB38" i="37" s="1"/>
  <c r="J11" i="35"/>
  <c r="W11" i="35" s="1"/>
  <c r="F30" i="34"/>
  <c r="H29" i="33"/>
  <c r="U29" i="33" s="1"/>
  <c r="H29" i="21"/>
  <c r="U29" i="21" s="1"/>
  <c r="J34" i="36"/>
  <c r="W34" i="36" s="1"/>
  <c r="W31" i="40"/>
  <c r="H12" i="34"/>
  <c r="H34" i="36"/>
  <c r="G398" i="3"/>
  <c r="G422" i="3"/>
  <c r="G460" i="3"/>
  <c r="G253" i="3"/>
  <c r="G299" i="3"/>
  <c r="G78" i="3"/>
  <c r="G98" i="3"/>
  <c r="G102" i="3"/>
  <c r="G106" i="3"/>
  <c r="G110" i="3"/>
  <c r="B77" i="43"/>
  <c r="D59" i="71"/>
  <c r="Y37" i="71"/>
  <c r="Z37" i="71" s="1"/>
  <c r="U27" i="21"/>
  <c r="F37" i="21"/>
  <c r="AA37" i="21" s="1"/>
  <c r="H37" i="21"/>
  <c r="U37" i="21" s="1"/>
  <c r="AA26" i="2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AZ319" i="3" s="1"/>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AZ538" i="3" s="1"/>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N59" i="67"/>
  <c r="L59" i="67"/>
  <c r="L58" i="67"/>
  <c r="M59" i="67"/>
  <c r="B13" i="70"/>
  <c r="D9" i="68"/>
  <c r="M9" i="15"/>
  <c r="J15" i="15"/>
  <c r="C76" i="67"/>
  <c r="L47" i="15"/>
  <c r="M22" i="15"/>
  <c r="F7" i="15"/>
  <c r="M24" i="15"/>
  <c r="F8" i="67"/>
  <c r="F9" i="15"/>
  <c r="J15" i="67"/>
  <c r="F42" i="67"/>
  <c r="F16" i="67"/>
  <c r="F13" i="15"/>
  <c r="F8" i="15"/>
  <c r="M8" i="15"/>
  <c r="F43" i="15"/>
  <c r="M8" i="67"/>
  <c r="C76" i="15"/>
  <c r="F37" i="15"/>
  <c r="L48" i="15"/>
  <c r="D7" i="73"/>
  <c r="F7" i="67"/>
  <c r="F42" i="15"/>
  <c r="M24" i="67"/>
  <c r="C36" i="69"/>
  <c r="F38" i="67"/>
  <c r="F38" i="15"/>
  <c r="F37" i="67"/>
  <c r="F40" i="67"/>
  <c r="F13" i="67"/>
  <c r="F36" i="67"/>
  <c r="F40" i="15"/>
  <c r="M29" i="15"/>
  <c r="M28" i="67"/>
  <c r="D4" i="73"/>
  <c r="F16" i="15"/>
  <c r="M26" i="15"/>
  <c r="F6" i="67"/>
  <c r="F43" i="67"/>
  <c r="M29" i="67"/>
  <c r="M6" i="15"/>
  <c r="F26" i="67"/>
  <c r="F9" i="67"/>
  <c r="D5" i="73"/>
  <c r="M23" i="15"/>
  <c r="M9" i="67"/>
  <c r="M28" i="15"/>
  <c r="D3" i="73"/>
  <c r="D9" i="69"/>
  <c r="F26" i="15"/>
  <c r="M6" i="67"/>
  <c r="M22" i="67"/>
  <c r="F36" i="15"/>
  <c r="U26" i="21" l="1"/>
  <c r="AC15" i="21"/>
  <c r="S19" i="21"/>
  <c r="AC26" i="21"/>
  <c r="AB19" i="21"/>
  <c r="U19" i="21"/>
  <c r="S37" i="21"/>
  <c r="L58" i="15"/>
  <c r="Q73" i="15" s="1"/>
  <c r="M59" i="15"/>
  <c r="L59" i="15"/>
  <c r="Q74" i="15" s="1"/>
  <c r="N59" i="15"/>
  <c r="F64" i="15"/>
  <c r="J53" i="15"/>
  <c r="L56" i="15" s="1"/>
  <c r="J57" i="15"/>
  <c r="J55" i="15" s="1"/>
  <c r="J58" i="15" s="1"/>
  <c r="Q50" i="15" s="1"/>
  <c r="I54" i="15"/>
  <c r="AZ555" i="3"/>
  <c r="AZ571" i="3"/>
  <c r="U34" i="36"/>
  <c r="AB34" i="36"/>
  <c r="V20" i="71"/>
  <c r="AZ576" i="3"/>
  <c r="AZ79" i="3"/>
  <c r="AZ58" i="3"/>
  <c r="AZ154" i="3"/>
  <c r="AZ137" i="3"/>
  <c r="AZ48" i="3"/>
  <c r="AZ166" i="3"/>
  <c r="AZ271" i="3"/>
  <c r="AA31" i="40"/>
  <c r="S31" i="40"/>
  <c r="S36" i="39"/>
  <c r="AA36" i="39"/>
  <c r="S27" i="2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F27" i="68" s="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45" i="3"/>
  <c r="E573" i="3"/>
  <c r="E549" i="3"/>
  <c r="E210" i="3"/>
  <c r="E533" i="3"/>
  <c r="E134" i="3"/>
  <c r="AK6" i="3"/>
  <c r="E465" i="3"/>
  <c r="E214" i="3"/>
  <c r="E327" i="3"/>
  <c r="E489" i="3"/>
  <c r="E109" i="3"/>
  <c r="E431" i="3"/>
  <c r="E387" i="3"/>
  <c r="E445" i="3"/>
  <c r="E385" i="3"/>
  <c r="E296" i="3"/>
  <c r="AA26" i="37"/>
  <c r="S26" i="37"/>
  <c r="BA5" i="3"/>
  <c r="E27" i="6" s="1"/>
  <c r="K26" i="6" s="1"/>
  <c r="M26" i="6" s="1"/>
  <c r="I26" i="6" s="1"/>
  <c r="S26" i="6" s="1"/>
  <c r="AZ5" i="3"/>
  <c r="AY6" i="3" s="1"/>
  <c r="W40" i="40"/>
  <c r="AC40" i="40"/>
  <c r="AC12" i="21"/>
  <c r="W12" i="21"/>
  <c r="AB12" i="21"/>
  <c r="U12" i="21"/>
  <c r="AA27" i="34"/>
  <c r="S27" i="34"/>
  <c r="AC26" i="37"/>
  <c r="W26" i="37"/>
  <c r="BL5" i="3"/>
  <c r="B15" i="71"/>
  <c r="B14" i="71" s="1"/>
  <c r="B13" i="71" s="1"/>
  <c r="B12" i="71" s="1"/>
  <c r="S16" i="71"/>
  <c r="F7" i="36"/>
  <c r="AA7" i="36" s="1"/>
  <c r="R36" i="36" s="1"/>
  <c r="H7" i="36"/>
  <c r="U7" i="36" s="1"/>
  <c r="E248" i="3"/>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6" i="1"/>
  <c r="AE9" i="1"/>
  <c r="AE7" i="1"/>
  <c r="AE8" i="1"/>
  <c r="AE12" i="1"/>
  <c r="AE10" i="1"/>
  <c r="C16" i="15"/>
  <c r="F27" i="69"/>
  <c r="G1" i="73"/>
  <c r="F41" i="67"/>
  <c r="C16" i="67"/>
  <c r="F28" i="12" l="1"/>
  <c r="C29" i="12" s="1"/>
  <c r="D28" i="12" s="1"/>
  <c r="F27" i="11"/>
  <c r="C29" i="11" s="1"/>
  <c r="D27" i="11" s="1"/>
  <c r="E483" i="3"/>
  <c r="E100" i="3"/>
  <c r="E135" i="3"/>
  <c r="E189" i="3"/>
  <c r="E311" i="3"/>
  <c r="E268" i="3"/>
  <c r="E182" i="3"/>
  <c r="E485" i="3"/>
  <c r="E74" i="3"/>
  <c r="E468" i="3"/>
  <c r="E133" i="3"/>
  <c r="E495" i="3"/>
  <c r="E439" i="3"/>
  <c r="E441" i="3"/>
  <c r="E585" i="3"/>
  <c r="E562" i="3"/>
  <c r="E293" i="3"/>
  <c r="E274" i="3"/>
  <c r="E307" i="3"/>
  <c r="E436" i="3"/>
  <c r="E378" i="3"/>
  <c r="E142" i="3"/>
  <c r="E132" i="3"/>
  <c r="AI6" i="3"/>
  <c r="E172" i="3"/>
  <c r="AB6" i="3"/>
  <c r="E579" i="3"/>
  <c r="E572" i="3"/>
  <c r="E531" i="3"/>
  <c r="E204" i="3"/>
  <c r="E171" i="3"/>
  <c r="E406" i="3"/>
  <c r="E545" i="3"/>
  <c r="E361" i="3"/>
  <c r="E410" i="3"/>
  <c r="E447" i="3"/>
  <c r="E351" i="3"/>
  <c r="E99" i="3"/>
  <c r="E294" i="3"/>
  <c r="E285" i="3"/>
  <c r="E473" i="3"/>
  <c r="E280" i="3"/>
  <c r="E131" i="3"/>
  <c r="E240" i="3"/>
  <c r="E200" i="3"/>
  <c r="E191" i="3"/>
  <c r="E69" i="3"/>
  <c r="E514" i="3"/>
  <c r="E322" i="3"/>
  <c r="E211" i="3"/>
  <c r="E400" i="3"/>
  <c r="E227" i="3"/>
  <c r="E454" i="3"/>
  <c r="K6" i="3"/>
  <c r="E77" i="3"/>
  <c r="E185" i="3"/>
  <c r="E305" i="3"/>
  <c r="E477" i="3"/>
  <c r="E72" i="3"/>
  <c r="E453" i="3"/>
  <c r="E316" i="3"/>
  <c r="E207" i="3"/>
  <c r="E139" i="3"/>
  <c r="E369" i="3"/>
  <c r="E94" i="3"/>
  <c r="E219" i="3"/>
  <c r="E118" i="3"/>
  <c r="E487"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415" i="3"/>
  <c r="E366" i="3"/>
  <c r="E236" i="3"/>
  <c r="E262" i="3"/>
  <c r="E338" i="3"/>
  <c r="E367" i="3"/>
  <c r="E157" i="3"/>
  <c r="E341" i="3"/>
  <c r="E218" i="3"/>
  <c r="E347" i="3"/>
  <c r="E586" i="3"/>
  <c r="E91" i="3"/>
  <c r="E183" i="3"/>
  <c r="E216" i="3"/>
  <c r="E538" i="3"/>
  <c r="E270" i="3"/>
  <c r="E555" i="3"/>
  <c r="E343" i="3"/>
  <c r="E44" i="3"/>
  <c r="E186" i="3"/>
  <c r="E476" i="3"/>
  <c r="E414" i="3"/>
  <c r="E107" i="3"/>
  <c r="E567" i="3"/>
  <c r="E279" i="3"/>
  <c r="E433" i="3"/>
  <c r="E457" i="3"/>
  <c r="E519" i="3"/>
  <c r="E511" i="3"/>
  <c r="E253" i="3"/>
  <c r="E518" i="3"/>
  <c r="E61" i="3"/>
  <c r="E559" i="3"/>
  <c r="E404" i="3"/>
  <c r="E429" i="3"/>
  <c r="E159" i="3"/>
  <c r="E501" i="3"/>
  <c r="E168" i="3"/>
  <c r="E87" i="3"/>
  <c r="E446" i="3"/>
  <c r="E14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117" i="3"/>
  <c r="E569" i="3"/>
  <c r="E448" i="3"/>
  <c r="E437" i="3"/>
  <c r="E213" i="3"/>
  <c r="E126" i="3"/>
  <c r="E438" i="3"/>
  <c r="E66" i="3"/>
  <c r="E58" i="3"/>
  <c r="M17" i="15"/>
  <c r="E550" i="3"/>
  <c r="E114" i="3"/>
  <c r="E320" i="3"/>
  <c r="E358" i="3"/>
  <c r="E239" i="3"/>
  <c r="E125" i="3"/>
  <c r="E295" i="3"/>
  <c r="E581" i="3"/>
  <c r="AG6" i="3"/>
  <c r="I6" i="3"/>
  <c r="E203" i="3"/>
  <c r="AE6" i="3"/>
  <c r="Q6" i="3"/>
  <c r="E434" i="3"/>
  <c r="E353" i="3"/>
  <c r="E254" i="3"/>
  <c r="E304" i="3"/>
  <c r="E506" i="3"/>
  <c r="E359" i="3"/>
  <c r="E53" i="3"/>
  <c r="E92" i="3"/>
  <c r="E548" i="3"/>
  <c r="E93" i="3"/>
  <c r="E54" i="3"/>
  <c r="E474" i="3"/>
  <c r="E136" i="3"/>
  <c r="E504" i="3"/>
  <c r="E195" i="3"/>
  <c r="E462" i="3"/>
  <c r="E584" i="3"/>
  <c r="E149" i="3"/>
  <c r="E421" i="3"/>
  <c r="E155" i="3"/>
  <c r="E364" i="3"/>
  <c r="E40" i="3"/>
  <c r="E59" i="3"/>
  <c r="E260" i="3"/>
  <c r="E130" i="3"/>
  <c r="E407" i="3"/>
  <c r="E229" i="3"/>
  <c r="N6" i="3"/>
  <c r="E480" i="3"/>
  <c r="E121" i="3"/>
  <c r="E558" i="3"/>
  <c r="E576" i="3"/>
  <c r="E580" i="3"/>
  <c r="E73" i="3"/>
  <c r="E344" i="3"/>
  <c r="E177" i="3"/>
  <c r="E238" i="3"/>
  <c r="AN6" i="3"/>
  <c r="E302" i="3"/>
  <c r="E237" i="3"/>
  <c r="E523" i="3"/>
  <c r="E328" i="3"/>
  <c r="AM6" i="3"/>
  <c r="E71" i="3"/>
  <c r="U6" i="3"/>
  <c r="E14" i="3"/>
  <c r="E471" i="3"/>
  <c r="E313" i="3"/>
  <c r="E461" i="3"/>
  <c r="E187" i="3"/>
  <c r="AD6" i="3"/>
  <c r="E39" i="3"/>
  <c r="E266" i="3"/>
  <c r="E48" i="3"/>
  <c r="E312" i="3"/>
  <c r="E398" i="3"/>
  <c r="E52" i="3"/>
  <c r="E422" i="3"/>
  <c r="E290" i="3"/>
  <c r="E395" i="3"/>
  <c r="E230" i="3"/>
  <c r="E551" i="3"/>
  <c r="E396" i="3"/>
  <c r="E282" i="3"/>
  <c r="E334" i="3"/>
  <c r="E88" i="3"/>
  <c r="E443" i="3"/>
  <c r="E252" i="3"/>
  <c r="E394" i="3"/>
  <c r="E55" i="3"/>
  <c r="E481" i="3"/>
  <c r="E120" i="3"/>
  <c r="E156" i="3"/>
  <c r="E303" i="3"/>
  <c r="E17" i="3"/>
  <c r="E298" i="3"/>
  <c r="E97" i="3"/>
  <c r="E426" i="3"/>
  <c r="E317" i="3"/>
  <c r="E547" i="3"/>
  <c r="E145" i="3"/>
  <c r="E357" i="3"/>
  <c r="W6" i="3"/>
  <c r="E224" i="3"/>
  <c r="E82" i="3"/>
  <c r="E154" i="3"/>
  <c r="E179" i="3"/>
  <c r="E374" i="3"/>
  <c r="E297" i="3"/>
  <c r="E354" i="3"/>
  <c r="E250" i="3"/>
  <c r="E524" i="3"/>
  <c r="E234" i="3"/>
  <c r="E188" i="3"/>
  <c r="F1" i="15"/>
  <c r="Q60" i="15"/>
  <c r="Q52" i="15"/>
  <c r="Q61" i="15"/>
  <c r="V6" i="3"/>
  <c r="E151" i="3"/>
  <c r="E516" i="3"/>
  <c r="E553" i="3"/>
  <c r="E30" i="3"/>
  <c r="E166" i="3"/>
  <c r="E444" i="3"/>
  <c r="P6" i="3"/>
  <c r="E164" i="3"/>
  <c r="E32" i="3"/>
  <c r="E256" i="3"/>
  <c r="E496" i="3"/>
  <c r="E424" i="3"/>
  <c r="E330" i="3"/>
  <c r="E128" i="3"/>
  <c r="AA6" i="3"/>
  <c r="E402" i="3"/>
  <c r="E221" i="3"/>
  <c r="E565" i="3"/>
  <c r="E321" i="3"/>
  <c r="S6" i="3"/>
  <c r="O6" i="3"/>
  <c r="E319" i="3"/>
  <c r="E291" i="3"/>
  <c r="E403" i="3"/>
  <c r="E411" i="3"/>
  <c r="E196" i="3"/>
  <c r="E208" i="3"/>
  <c r="E537" i="3"/>
  <c r="E529" i="3"/>
  <c r="E352" i="3"/>
  <c r="E127" i="3"/>
  <c r="E413" i="3"/>
  <c r="E459" i="3"/>
  <c r="E163" i="3"/>
  <c r="E542" i="3"/>
  <c r="E375" i="3"/>
  <c r="E323" i="3"/>
  <c r="E57" i="3"/>
  <c r="E24" i="3"/>
  <c r="E552" i="3"/>
  <c r="E340" i="3"/>
  <c r="E346" i="3"/>
  <c r="E428" i="3"/>
  <c r="E464" i="3"/>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G40" i="36" s="1"/>
  <c r="H40"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1" i="36"/>
  <c r="H41" i="36" s="1"/>
  <c r="G46" i="37"/>
  <c r="H46" i="37" s="1"/>
  <c r="G48" i="35"/>
  <c r="U7" i="33"/>
  <c r="AB7" i="33"/>
  <c r="T48" i="33" s="1"/>
  <c r="G48" i="33" s="1"/>
  <c r="C53" i="67"/>
  <c r="C10" i="67"/>
  <c r="C5" i="67" s="1"/>
  <c r="C38" i="67" s="1"/>
  <c r="C53" i="15"/>
  <c r="C10" i="15"/>
  <c r="C5" i="15" s="1"/>
  <c r="C38" i="15" s="1"/>
  <c r="M27" i="15"/>
  <c r="M27" i="67"/>
  <c r="F41" i="15"/>
  <c r="I46" i="37" l="1"/>
  <c r="J46" i="37" s="1"/>
  <c r="C48" i="15"/>
  <c r="C66" i="15" s="1"/>
  <c r="K15" i="1"/>
  <c r="K16" i="1" s="1"/>
  <c r="L19" i="6"/>
  <c r="L27" i="6" s="1"/>
  <c r="E30" i="6"/>
  <c r="E31" i="6" s="1"/>
  <c r="C48" i="67"/>
  <c r="C66" i="67" s="1"/>
  <c r="B4" i="52"/>
  <c r="B43" i="72" s="1"/>
  <c r="B14" i="74"/>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34" i="69"/>
  <c r="C17" i="15"/>
  <c r="C14" i="67"/>
  <c r="C17" i="67"/>
  <c r="D10" i="69"/>
  <c r="H21" i="6" l="1"/>
  <c r="B1" i="74"/>
  <c r="L26" i="9"/>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J48" i="35"/>
  <c r="P58" i="21" l="1"/>
  <c r="Q58" i="21" s="1"/>
  <c r="R58" i="21" s="1"/>
  <c r="S58" i="21" s="1"/>
  <c r="T58" i="21" s="1"/>
  <c r="C17" i="71"/>
  <c r="D18" i="7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J63" i="40"/>
  <c r="I65" i="40"/>
  <c r="K48" i="35"/>
  <c r="L48" i="35" s="1"/>
  <c r="M48" i="35" s="1"/>
  <c r="N48" i="35" s="1"/>
  <c r="O48" i="35" s="1"/>
  <c r="H7" i="35" s="1"/>
  <c r="F7" i="21" l="1"/>
  <c r="S7" i="21" s="1"/>
  <c r="H7" i="21"/>
  <c r="D17" i="71"/>
  <c r="C16" i="71"/>
  <c r="W7" i="2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F7" i="35"/>
  <c r="F35" i="15"/>
  <c r="M21" i="15"/>
  <c r="F35" i="67"/>
  <c r="M21" i="67"/>
  <c r="AA7" i="21" l="1"/>
  <c r="R48" i="21" s="1"/>
  <c r="U7" i="21"/>
  <c r="AB7" i="21"/>
  <c r="T48" i="21" s="1"/>
  <c r="G48"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G42" i="35"/>
  <c r="H42" i="35" s="1"/>
  <c r="K65" i="40"/>
  <c r="L63" i="40"/>
  <c r="R49" i="21" l="1"/>
  <c r="C49" i="21" s="1"/>
  <c r="E48" i="21"/>
  <c r="E53" i="21" s="1"/>
  <c r="F53" i="21" s="1"/>
  <c r="G53" i="21"/>
  <c r="H53" i="21" s="1"/>
  <c r="G52" i="21"/>
  <c r="H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48" i="21" l="1"/>
  <c r="E52" i="21"/>
  <c r="F52" i="21" s="1"/>
  <c r="I53" i="21"/>
  <c r="J53" i="21" s="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19" i="9"/>
  <c r="D2" i="33"/>
  <c r="L51" i="67"/>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7"/>
  <c r="D2" i="36"/>
  <c r="L51" i="15"/>
  <c r="D2" i="34"/>
  <c r="D2" i="35"/>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7" i="1"/>
  <c r="AO6" i="1"/>
  <c r="AO10" i="1"/>
  <c r="AO12" i="1"/>
  <c r="AO8"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2" i="69" l="1"/>
  <c r="C28" i="69"/>
  <c r="C27" i="69" s="1"/>
  <c r="C31" i="69" l="1"/>
  <c r="C52" i="69" s="1"/>
  <c r="B2" i="69" s="1"/>
  <c r="C19" i="9"/>
  <c r="B3" i="69"/>
  <c r="C57" i="69" l="1"/>
  <c r="C56" i="69" s="1"/>
  <c r="C21" i="9"/>
  <c r="G19" i="9"/>
  <c r="G21" i="9" s="1"/>
  <c r="D22" i="9"/>
  <c r="C102" i="9"/>
  <c r="C20" i="9"/>
  <c r="C103" i="9" l="1"/>
  <c r="G20" i="9"/>
  <c r="G22" i="9" s="1"/>
  <c r="D14" i="74" s="1"/>
  <c r="C32" i="9" l="1"/>
  <c r="C35" i="9" s="1"/>
  <c r="C34" i="9" s="1"/>
  <c r="B5" i="74"/>
  <c r="D5" i="74" s="1"/>
  <c r="E14" i="74"/>
  <c r="F14" i="74"/>
  <c r="B30" i="72" l="1"/>
  <c r="B20" i="72"/>
  <c r="N60" i="9"/>
  <c r="N59" i="9"/>
  <c r="N61" i="9"/>
  <c r="D54" i="9"/>
  <c r="C68" i="9"/>
  <c r="D9" i="52"/>
  <c r="D123" i="9"/>
  <c r="B53" i="72"/>
  <c r="F5" i="52"/>
  <c r="F119" i="9"/>
  <c r="C86" i="9"/>
  <c r="C93" i="9"/>
  <c r="C5" i="74"/>
  <c r="C80" i="9"/>
  <c r="E80" i="9"/>
  <c r="E81" i="9"/>
  <c r="M48" i="9"/>
  <c r="B51" i="72"/>
  <c r="F4" i="52"/>
  <c r="B31" i="72"/>
  <c r="D15" i="53"/>
  <c r="B52" i="72"/>
  <c r="F118" i="9"/>
  <c r="G118" i="9"/>
  <c r="G4" i="52"/>
  <c r="H102" i="9"/>
  <c r="D7" i="53"/>
  <c r="B21" i="72"/>
  <c r="C73" i="9"/>
  <c r="C78" i="9"/>
  <c r="C97" i="9"/>
  <c r="D58" i="9"/>
  <c r="D56" i="9"/>
  <c r="M54" i="9"/>
  <c r="D4" i="52"/>
  <c r="B47" i="72"/>
  <c r="E4" i="52"/>
  <c r="B48" i="72"/>
  <c r="C104" i="9"/>
  <c r="H4" i="52"/>
  <c r="D13" i="53"/>
  <c r="D14" i="53"/>
  <c r="B32" i="72"/>
  <c r="D5" i="53"/>
  <c r="D6" i="53"/>
  <c r="B22" i="72"/>
  <c r="I4" i="52"/>
  <c r="C105" i="9"/>
  <c r="P57" i="9"/>
  <c r="D55" i="9"/>
  <c r="M53" i="9"/>
  <c r="N57" i="9"/>
  <c r="N58" i="9"/>
  <c r="H108" i="9"/>
  <c r="C6" i="74"/>
  <c r="M55" i="9"/>
  <c r="C64" i="9"/>
  <c r="C63" i="9"/>
  <c r="C67" i="9"/>
  <c r="D59" i="9"/>
  <c r="D52" i="9"/>
  <c r="D53" i="9"/>
  <c r="C85" i="9"/>
  <c r="C95" i="9"/>
  <c r="C96" i="9"/>
  <c r="E96" i="9"/>
  <c r="E97" i="9"/>
  <c r="D45" i="9"/>
  <c r="C72" i="9"/>
  <c r="C79" i="9"/>
  <c r="C81" i="9"/>
  <c r="H119" i="9"/>
  <c r="H5" i="52"/>
  <c r="E118" i="9"/>
  <c r="D118" i="9"/>
  <c r="D119" i="9"/>
  <c r="D5" i="52"/>
  <c r="B49" i="72"/>
  <c r="I118" i="9"/>
  <c r="H118" i="9"/>
  <c r="H101" i="9"/>
  <c r="H107" i="9"/>
  <c r="D122" i="9"/>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<sst xmlns="http://schemas.openxmlformats.org/spreadsheetml/2006/main" count="8267" uniqueCount="3693">
  <si>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</si>
  <si>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</si>
  <si>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</si>
  <si>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</si>
  <si>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</si>
  <si>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</si>
  <si>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</si>
  <si>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</si>
  <si>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</si>
  <si>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</si>
  <si>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</si>
  <si>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</si>
  <si>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</si>
  <si>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</si>
  <si>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</si>
  <si>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</si>
  <si>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</si>
  <si>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</si>
  <si>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</si>
  <si>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</si>
  <si>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</si>
  <si>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</si>
  <si>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</si>
  <si>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</si>
  <si>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</si>
  <si>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</si>
  <si>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</si>
  <si>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</si>
  <si>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</si>
  <si>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</si>
  <si>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</si>
  <si>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</si>
  <si>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</si>
  <si>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</si>
  <si>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</si>
  <si>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</si>
  <si>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</si>
  <si>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</si>
  <si>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</si>
  <si>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</si>
  <si>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</si>
  <si>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</si>
  <si>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</si>
  <si>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</si>
  <si>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</si>
  <si>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</si>
  <si>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</si>
  <si>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</si>
  <si>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</si>
  <si>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</si>
  <si>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</si>
  <si>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</si>
  <si>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</si>
  <si>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</si>
  <si>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</si>
  <si>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</si>
  <si>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</si>
  <si>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</si>
  <si>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</si>
  <si>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</si>
  <si>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</si>
  <si>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</si>
  <si>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</si>
  <si>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</si>
  <si>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</si>
  <si>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</si>
  <si>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</si>
  <si>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</si>
  <si>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</si>
  <si>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</si>
  <si>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</si>
  <si>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</si>
  <si>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</si>
  <si>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</si>
  <si>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</si>
  <si>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</si>
  <si>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</si>
  <si>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</si>
  <si>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</si>
  <si>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</si>
  <si>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</si>
  <si>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</si>
  <si>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</si>
  <si>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</si>
  <si>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</si>
  <si>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</si>
  <si>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</si>
  <si>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</si>
  <si>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</si>
  <si>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</si>
  <si>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</si>
  <si>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</si>
  <si>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</si>
  <si>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</si>
  <si>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</si>
  <si>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</si>
  <si>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</si>
  <si>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</si>
  <si>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</si>
  <si>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</si>
  <si>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</si>
  <si>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</si>
  <si>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</si>
  <si>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</si>
  <si>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</si>
  <si>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</si>
  <si>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</si>
  <si>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</si>
  <si>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</si>
  <si>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</si>
  <si>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</si>
  <si>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</si>
  <si>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</si>
  <si>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</si>
  <si>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</si>
  <si>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</si>
  <si>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</si>
  <si>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</si>
  <si>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</si>
  <si>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</si>
  <si>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</si>
  <si>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</si>
  <si>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</si>
  <si>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</si>
  <si>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</si>
  <si>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</si>
  <si>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</si>
  <si>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</si>
  <si>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</si>
  <si>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</si>
  <si>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</si>
  <si>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</si>
  <si>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</si>
  <si>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</si>
  <si>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</si>
  <si>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</si>
  <si>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</si>
  <si>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</si>
  <si>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</si>
  <si>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</si>
  <si>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</si>
  <si>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</si>
  <si>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</si>
  <si>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</si>
  <si>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</si>
  <si>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</si>
  <si>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</si>
  <si>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</si>
  <si>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</si>
  <si>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</si>
  <si>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</si>
  <si>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</si>
  <si>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</si>
  <si>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</si>
  <si>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</si>
  <si>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</si>
  <si>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</si>
  <si>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</si>
  <si>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</si>
  <si>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</si>
  <si>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</si>
  <si>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</si>
  <si>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</si>
  <si>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</si>
  <si>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</si>
  <si>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</si>
  <si>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</si>
  <si>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</si>
  <si>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</si>
  <si>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</si>
  <si>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</si>
  <si>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</si>
  <si>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</si>
  <si>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</si>
  <si>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</si>
  <si>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</si>
  <si>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</si>
  <si>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</si>
  <si>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</si>
  <si>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</si>
  <si>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</si>
  <si>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</si>
  <si>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</si>
  <si>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</si>
  <si>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</si>
  <si>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</si>
  <si>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</si>
  <si>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</si>
  <si>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</si>
  <si>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</si>
  <si>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</si>
  <si>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</si>
  <si>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</si>
  <si>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</si>
  <si>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</si>
  <si>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</si>
  <si>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</si>
  <si>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</si>
  <si>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</si>
  <si>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</si>
  <si>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</si>
  <si>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</si>
  <si>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</si>
  <si>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</si>
  <si>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</si>
  <si>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</si>
  <si>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</si>
  <si>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</si>
  <si>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</si>
  <si>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</si>
  <si>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</si>
  <si>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</si>
  <si>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</si>
  <si>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</si>
  <si>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</si>
  <si>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</si>
  <si>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</si>
  <si>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</si>
  <si>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</si>
  <si>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</si>
  <si>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</si>
  <si>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</si>
  <si>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</si>
  <si>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</si>
  <si>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</si>
  <si>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</si>
  <si>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</si>
  <si>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</si>
  <si>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</si>
  <si>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</si>
  <si>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</si>
  <si>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</si>
  <si>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</si>
  <si>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</si>
  <si>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</si>
  <si>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</si>
  <si>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</si>
  <si>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</si>
  <si>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</si>
  <si>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</si>
  <si>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</si>
  <si>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</si>
  <si>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</si>
  <si>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</si>
  <si>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</si>
  <si>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</si>
  <si>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</si>
  <si>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</si>
  <si>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</si>
  <si>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</si>
  <si>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</si>
  <si>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</si>
  <si>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</si>
  <si>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</si>
  <si>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</si>
  <si>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</si>
  <si>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</si>
  <si>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</si>
  <si>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</si>
  <si>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</si>
  <si>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</si>
  <si>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</si>
  <si>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</si>
  <si>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</si>
  <si>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</si>
  <si>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</si>
  <si>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</si>
  <si>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</si>
  <si>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</si>
  <si>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</si>
  <si>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</si>
  <si>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</si>
  <si>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</si>
  <si>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</si>
  <si>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</si>
  <si>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</si>
  <si>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</si>
  <si>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</si>
  <si>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</si>
  <si>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</si>
  <si>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</si>
  <si>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</si>
  <si>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</si>
  <si>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</si>
  <si>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</si>
  <si>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</si>
  <si>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</si>
  <si>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</si>
  <si>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</si>
  <si>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</si>
  <si>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</si>
  <si>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</si>
  <si>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</si>
  <si>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</si>
  <si>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</si>
  <si>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</si>
  <si>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</si>
  <si>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</si>
  <si>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</si>
  <si>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</si>
  <si>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</si>
  <si>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</si>
  <si>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</si>
  <si>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</si>
  <si>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</si>
  <si>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</si>
  <si>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</si>
  <si>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</si>
  <si>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</si>
  <si>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</si>
  <si>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</si>
  <si>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</si>
  <si>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</si>
  <si>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</si>
  <si>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</si>
  <si>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</si>
  <si>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</si>
  <si>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</si>
  <si>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</si>
  <si>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</si>
  <si>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</si>
  <si>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</si>
  <si>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</si>
  <si>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</si>
  <si>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</si>
  <si>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</si>
  <si>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</si>
  <si>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</si>
  <si>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</si>
  <si>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</si>
  <si>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</si>
  <si>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</si>
  <si>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</si>
  <si>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</si>
  <si>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</si>
  <si>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</si>
  <si>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</si>
  <si>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</si>
  <si>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</si>
  <si>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</si>
  <si>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</si>
  <si>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</si>
  <si>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</si>
  <si>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</si>
  <si>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</si>
  <si>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</si>
  <si>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</si>
  <si>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</si>
  <si>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</si>
  <si>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</si>
  <si>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</si>
  <si>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</si>
  <si>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</si>
  <si>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</si>
  <si>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</si>
  <si>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</si>
  <si>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</si>
  <si>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</si>
  <si>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</si>
  <si>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</si>
  <si>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</si>
  <si>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</si>
  <si>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</si>
  <si>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</si>
  <si>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</si>
  <si>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</si>
  <si>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</si>
  <si>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</si>
  <si>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</si>
  <si>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</si>
  <si>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</si>
  <si>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</si>
  <si>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</si>
  <si>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</si>
  <si>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</si>
  <si>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</si>
  <si>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</si>
  <si>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</si>
  <si>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</si>
  <si>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</si>
  <si>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</si>
  <si>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</si>
  <si>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</si>
  <si>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</si>
  <si>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</si>
  <si>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</si>
  <si>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</si>
  <si>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</si>
  <si>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</si>
  <si>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</si>
  <si>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</si>
  <si>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</si>
  <si>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</si>
  <si>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</si>
  <si>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</si>
  <si>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</si>
  <si>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</si>
  <si>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</si>
  <si>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</si>
  <si>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</si>
  <si>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</si>
  <si>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</si>
  <si>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</si>
  <si>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</si>
  <si>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</si>
  <si>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</si>
  <si>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</si>
  <si>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</si>
  <si>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</si>
  <si>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</si>
  <si>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</si>
  <si>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</si>
  <si>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</si>
  <si>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</si>
  <si>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</si>
  <si>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</si>
  <si>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</si>
  <si>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</si>
  <si>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</si>
  <si>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</si>
  <si>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</si>
  <si>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</si>
  <si>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</si>
  <si>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</si>
  <si>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</si>
  <si>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</si>
  <si>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</si>
  <si>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</si>
  <si>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</si>
  <si>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</si>
  <si>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</si>
  <si>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</si>
  <si>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</si>
  <si>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</si>
  <si>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</si>
  <si>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</si>
  <si>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</si>
  <si>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</si>
  <si>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</si>
  <si>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</si>
  <si>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</si>
  <si>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</si>
  <si>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</si>
  <si>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</si>
  <si>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</si>
  <si>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</si>
  <si>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</si>
  <si>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</si>
  <si>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</si>
  <si>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</si>
  <si>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</si>
  <si>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</si>
  <si>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</si>
  <si>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</si>
  <si>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</si>
  <si>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</si>
  <si>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</si>
  <si>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</si>
  <si>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</si>
  <si>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</si>
  <si>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</si>
  <si>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</si>
  <si>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</si>
  <si>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</si>
  <si>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</si>
  <si>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</si>
  <si>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</si>
  <si>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</si>
  <si>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</si>
  <si>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</si>
  <si>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</si>
  <si>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</si>
  <si>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</si>
  <si>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</si>
  <si>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</si>
  <si>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</si>
  <si>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</si>
  <si>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</si>
  <si>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</si>
  <si>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</si>
  <si>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</si>
  <si>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</si>
  <si>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</si>
  <si>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</si>
  <si>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</si>
  <si>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</si>
  <si>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</si>
  <si>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</si>
  <si>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</si>
  <si>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</si>
  <si>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</si>
  <si>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</si>
  <si>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</si>
  <si>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</si>
  <si>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</si>
  <si>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</si>
  <si>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</si>
  <si>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</si>
  <si>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</si>
  <si>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</si>
  <si>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</si>
  <si>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</si>
  <si>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</si>
  <si>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</si>
  <si>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</si>
  <si>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</si>
  <si>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</si>
  <si>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</si>
  <si>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</si>
  <si>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</si>
  <si>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</si>
  <si>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</si>
  <si>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</si>
  <si>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</si>
  <si>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</si>
  <si>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</si>
  <si>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</si>
  <si>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</si>
  <si>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</si>
  <si>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</si>
  <si>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</si>
  <si>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</si>
  <si>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</si>
  <si>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</si>
  <si>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</si>
  <si>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</si>
  <si>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</si>
  <si>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</si>
  <si>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</si>
  <si>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</si>
  <si>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</si>
  <si>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</si>
  <si>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</si>
  <si>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</si>
  <si>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</si>
  <si>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</si>
  <si>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</si>
  <si>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</si>
  <si>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</si>
  <si>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</si>
  <si>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</si>
  <si>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</si>
  <si>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</si>
  <si>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</si>
  <si>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</si>
  <si>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</si>
  <si>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</si>
  <si>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</si>
  <si>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</si>
  <si>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</si>
  <si>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</si>
  <si>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</si>
  <si>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</si>
  <si>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</si>
  <si>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</si>
  <si>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</si>
  <si>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</si>
  <si>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</si>
  <si>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</si>
  <si>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</si>
  <si>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</si>
  <si>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</si>
  <si>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</si>
  <si>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</si>
  <si>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</si>
  <si>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</si>
  <si>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</si>
  <si>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</si>
  <si>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</si>
  <si>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</si>
  <si>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</si>
  <si>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</si>
  <si>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</si>
  <si>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</si>
  <si>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</si>
  <si>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</si>
  <si>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</si>
  <si>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</si>
  <si>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</si>
  <si>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</si>
  <si>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</si>
  <si>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</si>
  <si>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</si>
  <si>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</si>
  <si>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</si>
  <si>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</si>
  <si>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</si>
  <si>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</si>
  <si>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</si>
  <si>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</si>
  <si>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</si>
  <si>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</si>
  <si>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</si>
  <si>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</si>
  <si>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</si>
  <si>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</si>
  <si>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</si>
  <si>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</si>
  <si>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</si>
  <si>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</si>
  <si>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</si>
  <si>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</si>
  <si>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</si>
  <si>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</si>
  <si>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</si>
  <si>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</si>
  <si>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</si>
  <si>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</si>
  <si>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</si>
  <si>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</si>
  <si>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</si>
  <si>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</si>
  <si>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</si>
  <si>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</si>
  <si>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</si>
  <si>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</si>
  <si>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</si>
  <si>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</si>
  <si>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</si>
  <si>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</si>
  <si>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</si>
  <si>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</si>
  <si>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</si>
  <si>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</si>
  <si>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</si>
  <si>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</si>
  <si>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</si>
  <si>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</si>
  <si>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</si>
  <si>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</si>
  <si>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</si>
  <si>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</si>
  <si>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</si>
  <si>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</si>
  <si>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</si>
  <si>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</si>
  <si>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</si>
  <si>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</si>
  <si>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</si>
  <si>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</si>
  <si>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</si>
  <si>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</si>
  <si>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</si>
  <si>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</si>
  <si>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</si>
  <si>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</si>
  <si>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</si>
  <si>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</si>
  <si>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</si>
  <si>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</si>
  <si>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</si>
  <si>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</si>
  <si>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</si>
  <si>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</si>
  <si>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</si>
  <si>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</si>
  <si>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</si>
  <si>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</si>
  <si>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</si>
  <si>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</si>
  <si>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</si>
  <si>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</si>
  <si>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</si>
  <si>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</si>
  <si>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</si>
  <si>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</si>
  <si>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</si>
  <si>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</si>
  <si>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</si>
  <si>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</si>
  <si>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</si>
  <si>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</si>
  <si>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</si>
  <si>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</si>
  <si>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</si>
  <si>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</si>
  <si>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</si>
  <si>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</si>
  <si>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</si>
  <si>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</si>
  <si>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</si>
  <si>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</si>
  <si>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</si>
  <si>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</si>
  <si>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</si>
  <si>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</si>
  <si>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</si>
  <si>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</si>
  <si>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</si>
  <si>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</si>
  <si>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</si>
  <si>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</si>
  <si>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</si>
  <si>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</si>
  <si>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</si>
  <si>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</si>
  <si>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</si>
  <si>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</si>
  <si>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</si>
  <si>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</si>
  <si>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</si>
  <si>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</si>
  <si>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</si>
  <si>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</si>
  <si>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</si>
  <si>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</si>
  <si>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</si>
  <si>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</si>
  <si>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</si>
  <si>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</si>
  <si>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</si>
  <si>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</si>
  <si>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</si>
  <si>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</si>
  <si>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</si>
  <si>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</si>
  <si>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</si>
  <si>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</si>
  <si>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</si>
  <si>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</si>
  <si>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</si>
  <si>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</si>
  <si>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</si>
  <si>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</si>
  <si>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</si>
  <si>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</si>
  <si>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</si>
  <si>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</si>
  <si>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</si>
  <si>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</si>
  <si>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</si>
  <si>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</si>
  <si>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</si>
  <si>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</si>
  <si>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</si>
  <si>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</si>
  <si>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</si>
  <si>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</si>
  <si>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</si>
  <si>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</si>
  <si>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</si>
  <si>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</si>
  <si>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</si>
  <si>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</si>
  <si>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</si>
  <si>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</si>
  <si>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</si>
  <si>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</si>
  <si>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</si>
  <si>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</si>
  <si>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</si>
  <si>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</si>
  <si>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</si>
  <si>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</si>
  <si>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</si>
  <si>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</si>
  <si>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</si>
  <si>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</si>
  <si>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</si>
  <si>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</si>
  <si>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</si>
  <si>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</si>
  <si>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</si>
  <si>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</si>
  <si>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</si>
  <si>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</si>
  <si>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</si>
  <si>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</si>
  <si>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</si>
  <si>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</si>
  <si>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</si>
  <si>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</si>
  <si>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</si>
  <si>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</si>
  <si>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</si>
  <si>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</si>
  <si>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</si>
  <si>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</si>
  <si>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</si>
  <si>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</si>
  <si>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</si>
  <si>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</si>
  <si>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</si>
  <si>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</si>
  <si>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</si>
  <si>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</si>
  <si>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</si>
  <si>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</si>
  <si>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</si>
  <si>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</si>
  <si>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</si>
  <si>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</si>
  <si>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</si>
  <si>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</si>
  <si>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</si>
  <si>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</si>
  <si>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</si>
  <si>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</si>
  <si>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</si>
  <si>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</si>
  <si>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</si>
  <si>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</si>
  <si>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</si>
  <si>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</si>
  <si>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</si>
  <si>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</si>
  <si>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</si>
  <si>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</si>
  <si>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</si>
  <si>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</si>
  <si>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</si>
  <si>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</si>
  <si>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</si>
  <si>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</si>
  <si>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</si>
  <si>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</si>
  <si>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</si>
  <si>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</si>
  <si>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</si>
  <si>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</si>
  <si>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</si>
  <si>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</si>
  <si>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</si>
  <si>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</si>
  <si>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</si>
  <si>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</si>
  <si>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</si>
  <si>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</si>
  <si>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</si>
  <si>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</si>
  <si>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</si>
  <si>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</si>
  <si>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</si>
  <si>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</si>
  <si>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</si>
  <si>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</si>
  <si>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</si>
  <si>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</si>
  <si>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</si>
  <si>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</si>
  <si>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</si>
  <si>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</si>
  <si>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</si>
  <si>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</si>
  <si>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</si>
  <si>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</si>
  <si>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</si>
  <si>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</si>
  <si>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</si>
  <si>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</si>
  <si>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</si>
  <si>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</si>
  <si>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</si>
  <si>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</si>
  <si>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</si>
  <si>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</si>
  <si>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</si>
  <si>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</si>
  <si>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</si>
  <si>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</si>
  <si>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</si>
  <si>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</si>
  <si>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</si>
  <si>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</si>
  <si>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</si>
  <si>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</si>
  <si>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</si>
  <si>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</si>
  <si>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</si>
  <si>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</si>
  <si>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</si>
  <si>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</si>
  <si>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</si>
  <si>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</si>
  <si>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</si>
  <si>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</si>
  <si>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</si>
  <si>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</si>
  <si>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</si>
  <si>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</si>
  <si>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</si>
  <si>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</si>
  <si>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</si>
  <si>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</si>
  <si>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</si>
  <si>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</si>
  <si>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</si>
  <si>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</si>
  <si>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</si>
  <si>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</si>
  <si>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</si>
  <si>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</si>
  <si>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</si>
  <si>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</si>
  <si>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</si>
  <si>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</si>
  <si>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</si>
  <si>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</si>
  <si>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</si>
  <si>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</si>
  <si>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</si>
  <si>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</si>
  <si>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</si>
  <si>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</si>
  <si>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</si>
  <si>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</si>
  <si>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</si>
  <si>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</si>
  <si>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</si>
  <si>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</si>
  <si>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</si>
  <si>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</si>
  <si>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</si>
  <si>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</si>
  <si>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</si>
  <si>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</si>
  <si>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</si>
  <si>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</si>
  <si>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</si>
  <si>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</si>
  <si>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</si>
  <si>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</si>
  <si>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</si>
  <si>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</si>
  <si>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</si>
  <si>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</si>
  <si>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</si>
  <si>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</si>
  <si>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</si>
  <si>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</si>
  <si>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</si>
  <si>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</si>
  <si>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</si>
  <si>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</si>
  <si>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</si>
  <si>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</si>
  <si>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</si>
  <si>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</si>
  <si>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</si>
  <si>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</si>
  <si>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</si>
  <si>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</si>
  <si>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</si>
  <si>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</si>
  <si>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</si>
  <si>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</si>
  <si>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</si>
  <si>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</si>
  <si>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</si>
  <si>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</si>
  <si>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</si>
  <si>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</si>
  <si>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</si>
  <si>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</si>
  <si>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</si>
  <si>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</si>
  <si>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</si>
  <si>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</si>
  <si>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</si>
  <si>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</si>
  <si>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</si>
  <si>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</si>
  <si>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</si>
  <si>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</si>
  <si>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</si>
  <si>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</si>
  <si>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</si>
  <si>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</si>
  <si>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</si>
  <si>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</si>
  <si>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</si>
  <si>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</si>
  <si>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</si>
  <si>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</si>
  <si>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</si>
  <si>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</si>
  <si>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</si>
  <si>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</si>
  <si>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</si>
  <si>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</si>
  <si>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</si>
  <si>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</si>
  <si>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</si>
  <si>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</si>
  <si>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</si>
  <si>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</si>
  <si>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</si>
  <si>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</si>
  <si>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</si>
  <si>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</si>
  <si>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</si>
  <si>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</si>
  <si>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</si>
  <si>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</si>
  <si>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</si>
  <si>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</si>
  <si>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</si>
  <si>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</si>
  <si>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</si>
  <si>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</si>
  <si>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</si>
  <si>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</si>
  <si>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</si>
  <si>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</si>
  <si>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</si>
  <si>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</si>
  <si>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</si>
  <si>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</si>
  <si>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</si>
  <si>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</si>
  <si>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</si>
  <si>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</si>
  <si>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</si>
  <si>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</si>
  <si>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</si>
  <si>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</si>
  <si>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</si>
  <si>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</si>
  <si>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</si>
  <si>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</si>
  <si>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</si>
  <si>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</si>
  <si>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</si>
  <si>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</si>
  <si>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</si>
  <si>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</si>
  <si>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</si>
  <si>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</si>
  <si>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</si>
  <si>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</si>
  <si>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</si>
  <si>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</si>
  <si>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</si>
  <si>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</si>
  <si>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</si>
  <si>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</si>
  <si>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</si>
  <si>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</si>
  <si>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</si>
  <si>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</si>
  <si>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</si>
  <si>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</si>
  <si>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</si>
  <si>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</si>
  <si>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</si>
  <si>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</si>
  <si>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</si>
  <si>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</si>
  <si>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</si>
  <si>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</si>
  <si>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</si>
  <si>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</si>
  <si>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</si>
  <si>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</si>
  <si>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</si>
  <si>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</si>
  <si>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</si>
  <si>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</si>
  <si>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</si>
  <si>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</si>
  <si>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</si>
  <si>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</si>
  <si>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</si>
  <si>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</si>
  <si>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</si>
  <si>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</si>
  <si>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</si>
  <si>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</si>
  <si>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</si>
  <si>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</si>
  <si>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</si>
  <si>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</si>
  <si>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</si>
  <si>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</si>
  <si>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</si>
  <si>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</si>
  <si>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</si>
  <si>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</si>
  <si>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</si>
  <si>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</si>
  <si>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</si>
  <si>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</si>
  <si>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</si>
  <si>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</si>
  <si>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</si>
  <si>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</si>
  <si>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</si>
  <si>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</si>
  <si>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</si>
  <si>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</si>
  <si>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</si>
  <si>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</si>
  <si>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</si>
  <si>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</si>
  <si>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</si>
  <si>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</si>
  <si>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</si>
  <si>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</si>
  <si>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</si>
  <si>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</si>
  <si>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</si>
  <si>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</si>
  <si>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</si>
  <si>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</si>
  <si>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</si>
  <si>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</si>
  <si>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</si>
  <si>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</si>
  <si>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</si>
  <si>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</si>
  <si>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</si>
  <si>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</si>
  <si>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</si>
  <si>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</si>
  <si>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</si>
  <si>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</si>
  <si>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</si>
  <si>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</si>
  <si>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</si>
  <si>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</si>
  <si>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</si>
  <si>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</si>
  <si>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</si>
  <si>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</si>
  <si>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</si>
  <si>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</si>
  <si>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</si>
  <si>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</si>
  <si>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</si>
  <si>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</si>
  <si>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</si>
  <si>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</si>
  <si>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</si>
  <si>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</si>
  <si>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</si>
  <si>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</si>
  <si>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</si>
  <si>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</si>
  <si>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</si>
  <si>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</si>
  <si>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</si>
  <si>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</si>
  <si>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</si>
  <si>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</si>
  <si>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</si>
  <si>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</si>
  <si>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</si>
  <si>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</si>
  <si>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</si>
  <si>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</si>
  <si>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</si>
  <si>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</si>
  <si>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</si>
  <si>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</si>
  <si>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</si>
  <si>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</si>
  <si>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</si>
  <si>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</si>
  <si>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</si>
  <si>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</si>
  <si>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</si>
  <si>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</si>
  <si>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</si>
  <si>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</si>
  <si>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</si>
  <si>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</si>
  <si>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</si>
  <si>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</si>
  <si>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</si>
  <si>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</si>
  <si>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</si>
  <si>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</si>
  <si>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</si>
  <si>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</si>
  <si>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</si>
  <si>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</si>
  <si>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</si>
  <si>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</si>
  <si>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</si>
  <si>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</si>
  <si>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</si>
  <si>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</si>
  <si>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</si>
  <si>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</si>
  <si>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</si>
  <si>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</si>
  <si>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</si>
  <si>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</si>
  <si>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</si>
  <si>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</si>
  <si>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</si>
  <si>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</si>
  <si>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</si>
  <si>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</si>
  <si>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</si>
  <si>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</si>
  <si>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</si>
  <si>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</si>
  <si>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</si>
  <si>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</si>
  <si>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</si>
  <si>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</si>
  <si>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</si>
  <si>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</si>
  <si>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</si>
  <si>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</si>
  <si>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</si>
  <si>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</si>
  <si>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</si>
  <si>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</si>
  <si>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</si>
  <si>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</si>
  <si>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</si>
  <si>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</si>
  <si>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</si>
  <si>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</si>
  <si>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</si>
  <si>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</si>
  <si>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</si>
  <si>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</si>
  <si>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</si>
  <si>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</si>
  <si>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</si>
  <si>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</si>
  <si>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</si>
  <si>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</si>
  <si>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</si>
  <si>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</si>
  <si>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</si>
  <si>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</si>
  <si>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</si>
  <si>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</si>
  <si>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</si>
  <si>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</si>
  <si>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</si>
  <si>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</si>
  <si>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</si>
  <si>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</si>
  <si>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</si>
  <si>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</si>
  <si>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</si>
  <si>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</si>
  <si>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</si>
  <si>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</si>
  <si>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</si>
  <si>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</si>
  <si>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</si>
  <si>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</si>
  <si>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</si>
  <si>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</si>
  <si>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</si>
  <si>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</si>
  <si>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</si>
  <si>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</si>
  <si>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</si>
  <si>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</si>
  <si>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</si>
  <si>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</si>
  <si>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</si>
  <si>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</si>
  <si>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</si>
  <si>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</si>
  <si>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</si>
  <si>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</si>
  <si>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</si>
  <si>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</si>
  <si>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</si>
  <si>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</si>
  <si>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</si>
  <si>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</si>
  <si>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</si>
  <si>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</si>
  <si>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</si>
  <si>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</si>
  <si>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</si>
  <si>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</si>
  <si>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</si>
  <si>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</si>
  <si>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</si>
  <si>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</si>
  <si>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</si>
  <si>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</si>
  <si>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</si>
  <si>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</si>
  <si>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</si>
  <si>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</si>
  <si>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</si>
  <si>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</si>
  <si>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</si>
  <si>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</si>
  <si>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</si>
  <si>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</si>
  <si>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</si>
  <si>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</si>
  <si>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</si>
  <si>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</si>
  <si>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</si>
  <si>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</si>
  <si>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</si>
  <si>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</si>
  <si>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</si>
  <si>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</si>
  <si>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</si>
  <si>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</si>
  <si>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</si>
  <si>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</si>
  <si>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</si>
  <si>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</si>
  <si>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</si>
  <si>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</si>
  <si>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</si>
  <si>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</si>
  <si>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</si>
  <si>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</si>
  <si>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</si>
  <si>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</si>
  <si>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</si>
  <si>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</si>
  <si>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</si>
  <si>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</si>
  <si>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</si>
  <si>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</si>
  <si>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</si>
  <si>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</si>
  <si>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</si>
  <si>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</si>
  <si>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</si>
  <si>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</si>
  <si>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</si>
  <si>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</si>
  <si>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</si>
  <si>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</si>
  <si>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</si>
  <si>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</si>
  <si>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</si>
  <si>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</si>
  <si>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</si>
  <si>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</si>
  <si>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</si>
  <si>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</si>
  <si>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</si>
  <si>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</si>
  <si>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</si>
  <si>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</si>
  <si>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</si>
  <si>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</si>
  <si>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</si>
  <si>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</si>
  <si>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</si>
  <si>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</si>
  <si>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</si>
  <si>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</si>
  <si>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</si>
  <si>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</si>
  <si>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</si>
  <si>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</si>
  <si>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</si>
  <si>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</si>
  <si>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</si>
  <si>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</si>
  <si>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</si>
  <si>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</si>
  <si>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</si>
  <si>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</si>
  <si>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</si>
  <si>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</si>
  <si>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</si>
  <si>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</si>
  <si>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</si>
  <si>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</si>
  <si>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</si>
  <si>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</si>
  <si>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</si>
  <si>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</si>
  <si>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</si>
  <si>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</si>
  <si>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</si>
  <si>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</si>
  <si>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</si>
  <si>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</si>
  <si>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</si>
  <si>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</si>
  <si>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</si>
  <si>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</si>
  <si>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</si>
  <si>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</si>
  <si>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</si>
  <si>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</si>
  <si>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</si>
  <si>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</si>
  <si>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</si>
  <si>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</si>
  <si>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</si>
  <si>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</si>
  <si>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</si>
  <si>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</si>
  <si>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</si>
  <si>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</si>
  <si>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</si>
  <si>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</si>
  <si>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</si>
  <si>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</si>
  <si>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</si>
  <si>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</si>
  <si>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</si>
  <si>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</si>
  <si>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</si>
  <si>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</si>
  <si>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</si>
  <si>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</si>
  <si>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</si>
  <si>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</si>
  <si>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</si>
  <si>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</si>
  <si>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</si>
  <si>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</si>
  <si>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</si>
  <si>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</si>
  <si>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</si>
  <si>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</si>
  <si>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</si>
  <si>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</si>
  <si>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</si>
  <si>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</si>
  <si>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</si>
  <si>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</si>
  <si>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</si>
  <si>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</si>
  <si>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</si>
  <si>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</si>
  <si>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</si>
  <si>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</si>
  <si>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</si>
  <si>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</si>
  <si>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</si>
  <si>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</si>
  <si>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</si>
  <si>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</si>
  <si>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</si>
  <si>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</si>
  <si>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</si>
  <si>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</si>
  <si>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</si>
  <si>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</si>
  <si>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</si>
  <si>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</si>
  <si>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</si>
  <si>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</si>
  <si>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</si>
  <si>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</si>
  <si>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</si>
  <si>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</si>
  <si>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</si>
  <si>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</si>
  <si>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</si>
  <si>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</si>
  <si>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</si>
  <si>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</si>
  <si>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</si>
  <si>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</si>
  <si>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</si>
  <si>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</si>
  <si>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</si>
  <si>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</si>
  <si>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</si>
  <si>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</si>
  <si>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</si>
  <si>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</si>
  <si>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</si>
  <si>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</si>
  <si>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</si>
  <si>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</si>
  <si>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</si>
  <si>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</si>
  <si>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</si>
  <si>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</si>
  <si>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</si>
  <si>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</si>
  <si>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</si>
  <si>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</si>
  <si>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</si>
  <si>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</si>
  <si>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</si>
  <si>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</si>
  <si>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</si>
  <si>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</si>
  <si>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</si>
  <si>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</si>
  <si>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</si>
  <si>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</si>
  <si>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</si>
  <si>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</si>
  <si>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</si>
  <si>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</si>
  <si>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</si>
  <si>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</si>
  <si>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</si>
  <si>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</si>
  <si>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</si>
  <si>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</si>
  <si>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</si>
  <si>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</si>
  <si>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</si>
  <si>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</si>
  <si>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</si>
  <si>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</si>
  <si>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</si>
  <si>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</si>
  <si>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</si>
  <si>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</si>
  <si>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</si>
  <si>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</si>
  <si>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</si>
  <si>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</si>
  <si>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</si>
  <si>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</si>
  <si>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</si>
  <si>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</si>
  <si>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</si>
  <si>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</si>
  <si>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</si>
  <si>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</si>
  <si>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</si>
  <si>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</si>
  <si>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</si>
  <si>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</si>
  <si>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</si>
  <si>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</si>
  <si>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</si>
  <si>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</si>
  <si>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</si>
  <si>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</si>
  <si>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</si>
  <si>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</si>
  <si>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</si>
  <si>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</si>
  <si>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</si>
  <si>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</si>
  <si>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</si>
  <si>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</si>
  <si>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</si>
  <si>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</si>
  <si>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</si>
  <si>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</si>
  <si>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</si>
  <si>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</si>
  <si>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</si>
  <si>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</si>
  <si>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</si>
  <si>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</si>
  <si>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</si>
  <si>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</si>
  <si>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</si>
  <si>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</si>
  <si>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</si>
  <si>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</si>
  <si>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</si>
  <si>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</si>
  <si>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</si>
  <si>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</si>
  <si>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</si>
  <si>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</si>
  <si>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</si>
  <si>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</si>
  <si>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</si>
  <si>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</si>
  <si>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</si>
  <si>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</si>
  <si>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</si>
  <si>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</si>
  <si>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</si>
  <si>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</si>
  <si>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</si>
  <si>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</si>
  <si>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</si>
  <si>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</si>
  <si>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</si>
  <si>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</si>
  <si>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</si>
  <si>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</si>
  <si>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</si>
  <si>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</si>
  <si>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</si>
  <si>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</si>
  <si>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</si>
  <si>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</si>
  <si>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</si>
  <si>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</si>
  <si>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</si>
  <si>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</si>
  <si>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</si>
  <si>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</si>
  <si>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</si>
  <si>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</si>
  <si>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</si>
  <si>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</si>
  <si>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</si>
  <si>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</si>
  <si>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</si>
  <si>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</si>
  <si>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</si>
  <si>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</si>
  <si>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</si>
  <si>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</si>
  <si>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</si>
  <si>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</si>
  <si>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</si>
  <si>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</si>
  <si>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</si>
  <si>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</si>
  <si>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</si>
  <si>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</si>
  <si>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</si>
  <si>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</si>
  <si>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</si>
  <si>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</si>
  <si>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</si>
  <si>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</si>
  <si>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</si>
  <si>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</si>
  <si>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</si>
  <si>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</si>
  <si>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</si>
  <si>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</si>
  <si>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</si>
  <si>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</si>
  <si>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</si>
  <si>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</si>
  <si>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</si>
  <si>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</si>
  <si>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</si>
  <si>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</si>
  <si>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</si>
  <si>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</si>
  <si>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</si>
  <si>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</si>
  <si>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</si>
  <si>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</si>
  <si>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</si>
  <si>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</si>
  <si>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</si>
  <si>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</si>
  <si>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</si>
  <si>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</si>
  <si>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</si>
  <si>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</si>
  <si>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</si>
  <si>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</si>
  <si>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</si>
  <si>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</si>
  <si>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</si>
  <si>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</si>
  <si>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</si>
  <si>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</si>
  <si>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</si>
  <si>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</si>
  <si>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</si>
  <si>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</si>
  <si>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</si>
  <si>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</si>
  <si>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</si>
  <si>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</si>
  <si>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</si>
  <si>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</si>
  <si>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</si>
  <si>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</si>
  <si>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</si>
  <si>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</si>
  <si>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</si>
  <si>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</si>
  <si>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</si>
  <si>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</si>
  <si>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</si>
  <si>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</si>
  <si>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</si>
  <si>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</si>
  <si>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</si>
  <si>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</si>
  <si>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</si>
  <si>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</si>
  <si>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</si>
  <si>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</si>
  <si>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</si>
  <si>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</si>
  <si>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</si>
  <si>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</si>
  <si>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</si>
  <si>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</si>
  <si>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</si>
  <si>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</si>
  <si>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</si>
  <si>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</si>
  <si>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</si>
  <si>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</si>
  <si>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</si>
  <si>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</si>
  <si>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</si>
  <si>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</si>
  <si>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</si>
  <si>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</si>
  <si>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</si>
  <si>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</si>
  <si>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</si>
  <si>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</si>
  <si>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</si>
  <si>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</si>
  <si>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</si>
  <si>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</si>
  <si>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</si>
  <si>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</si>
  <si>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</si>
  <si>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</si>
  <si>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</si>
  <si>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</si>
  <si>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</si>
  <si>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</si>
  <si>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</si>
  <si>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</si>
  <si>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</si>
  <si>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</si>
  <si>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</si>
  <si>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</si>
  <si>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</si>
  <si>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</si>
  <si>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</si>
  <si>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</si>
  <si>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</si>
  <si>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</si>
  <si>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</si>
  <si>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</si>
  <si>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</si>
  <si>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</si>
  <si>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</si>
  <si>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</si>
  <si>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</si>
  <si>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</si>
  <si>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</si>
  <si>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</si>
  <si>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</si>
  <si>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</si>
  <si>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</si>
  <si>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</si>
  <si>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</si>
  <si>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</si>
  <si>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</si>
  <si>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</si>
  <si>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</si>
  <si>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</si>
  <si>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</si>
  <si>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</si>
  <si>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</si>
  <si>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</si>
  <si>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</si>
  <si>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</si>
  <si>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</si>
  <si>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</si>
  <si>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</si>
  <si>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</si>
  <si>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</si>
  <si>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</si>
  <si>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</si>
  <si>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</si>
  <si>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</si>
  <si>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</si>
  <si>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</si>
  <si>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</si>
  <si>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</si>
  <si>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</si>
  <si>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</si>
  <si>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</si>
  <si>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</si>
  <si>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</si>
  <si>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</si>
  <si>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</si>
  <si>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</si>
  <si>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</si>
  <si>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</si>
  <si>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</si>
  <si>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</si>
  <si>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</si>
  <si>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</si>
  <si>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</si>
  <si>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</si>
  <si>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</si>
  <si>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</si>
  <si>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</si>
  <si>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</si>
  <si>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</si>
  <si>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</si>
  <si>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</si>
  <si>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</si>
  <si>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</si>
  <si>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</si>
  <si>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</si>
  <si>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</si>
  <si>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</si>
  <si>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</si>
  <si>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</si>
  <si>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</si>
  <si>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</si>
  <si>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</si>
  <si>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</si>
  <si>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</si>
  <si>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</si>
  <si>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</si>
  <si>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</si>
  <si>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</si>
  <si>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</si>
  <si>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</si>
  <si>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</si>
  <si>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</si>
  <si>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</si>
  <si>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</si>
  <si>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</si>
  <si>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</si>
  <si>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</si>
  <si>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</si>
  <si>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</si>
  <si>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</si>
  <si>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</si>
  <si>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</si>
  <si>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</si>
  <si>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</si>
  <si>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</si>
  <si>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</si>
  <si>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</si>
  <si>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</si>
  <si>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</si>
  <si>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</si>
  <si>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</si>
  <si>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</si>
  <si>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</si>
  <si>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</si>
  <si>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</si>
  <si>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</si>
  <si>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</si>
  <si>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</si>
  <si>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</si>
  <si>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</si>
  <si>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</si>
  <si>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</si>
  <si>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</si>
  <si>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</si>
  <si>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</si>
  <si>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</si>
  <si>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</si>
  <si>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</si>
  <si>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</si>
  <si>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</si>
  <si>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</si>
  <si>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</si>
  <si>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</si>
  <si>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</si>
  <si>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</si>
  <si>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</si>
  <si>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</si>
  <si>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</si>
  <si>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</si>
  <si>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</si>
  <si>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</si>
  <si>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</si>
  <si>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</si>
  <si>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</si>
  <si>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</si>
  <si>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</si>
  <si>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</si>
  <si>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</si>
  <si>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</si>
  <si>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</si>
  <si>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</si>
  <si>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</si>
  <si>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</si>
  <si>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</si>
  <si>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</si>
  <si>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</si>
  <si>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</si>
  <si>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</si>
  <si>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</si>
  <si>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</si>
  <si>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</si>
  <si>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</si>
  <si>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</si>
  <si>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</si>
  <si>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</si>
  <si>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</si>
  <si>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</si>
  <si>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</si>
  <si>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</si>
  <si>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</si>
  <si>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</si>
  <si>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</si>
  <si>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</si>
  <si>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</si>
  <si>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</si>
  <si>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</si>
  <si>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</si>
  <si>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</si>
  <si>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</si>
  <si>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</si>
  <si>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</si>
  <si>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</si>
  <si>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</si>
  <si>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</si>
  <si>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</si>
  <si>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</si>
  <si>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</si>
  <si>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</si>
  <si>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</si>
  <si>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</si>
  <si>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</si>
  <si>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</si>
  <si>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</si>
  <si>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</si>
  <si>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</si>
  <si>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</si>
  <si>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</si>
  <si>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</si>
  <si>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</si>
  <si>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</si>
  <si>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</si>
  <si>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</si>
  <si>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</si>
  <si>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</si>
  <si>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</si>
  <si>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</si>
  <si>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</si>
  <si>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</si>
  <si>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</si>
  <si>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</si>
  <si>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</si>
  <si>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</si>
  <si>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</si>
  <si>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</si>
  <si>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</si>
  <si>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</si>
  <si>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</si>
  <si>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</si>
  <si>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</si>
  <si>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</si>
  <si>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</si>
  <si>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</si>
  <si>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</si>
  <si>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</si>
  <si>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</si>
  <si>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</si>
  <si>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</si>
  <si>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</si>
  <si>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</si>
  <si>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</si>
  <si>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</si>
  <si>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</si>
  <si>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</si>
  <si>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</si>
  <si>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</si>
  <si>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</si>
  <si>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</si>
  <si>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</si>
  <si>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</si>
  <si>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</si>
  <si>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</si>
  <si>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</si>
  <si>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</si>
  <si>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</si>
  <si>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</si>
  <si>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</si>
  <si>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</si>
  <si>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</si>
  <si>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</si>
  <si>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</si>
  <si>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</si>
  <si>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</si>
  <si>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</si>
  <si>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</si>
  <si>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</si>
  <si>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</si>
  <si>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</si>
  <si>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</si>
  <si>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</si>
  <si>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</si>
  <si>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</si>
  <si>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</si>
  <si>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</si>
  <si>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</si>
  <si>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</si>
  <si>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</si>
  <si>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</si>
  <si>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</si>
  <si>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</si>
  <si>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</si>
  <si>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</si>
  <si>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</si>
  <si>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</si>
  <si>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</si>
  <si>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</si>
  <si>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</si>
  <si>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</si>
  <si>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</si>
  <si>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</si>
  <si>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</si>
  <si>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</si>
  <si>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</si>
  <si>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</si>
  <si>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</si>
  <si>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</si>
  <si>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</si>
  <si>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</si>
  <si>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</si>
  <si>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</si>
  <si>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</si>
  <si>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</si>
  <si>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</si>
  <si>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</si>
  <si>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</si>
  <si>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</si>
  <si>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</si>
  <si>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</si>
  <si>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</si>
  <si>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</si>
  <si>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</si>
  <si>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</si>
  <si>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</si>
  <si>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</si>
  <si>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</si>
  <si>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</si>
  <si>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</si>
  <si>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</si>
  <si>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</si>
  <si>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</si>
  <si>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</si>
  <si>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</si>
  <si>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</si>
  <si>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</si>
  <si>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</si>
  <si>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</si>
  <si>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</si>
  <si>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</si>
  <si>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</si>
  <si>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</si>
  <si>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</si>
  <si>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</si>
  <si>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</si>
  <si>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</si>
  <si>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</si>
  <si>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</si>
  <si>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</si>
  <si>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</si>
  <si>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</si>
  <si>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</si>
  <si>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</si>
  <si>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</si>
  <si>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</si>
  <si>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</si>
  <si>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</si>
  <si>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</si>
  <si>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</si>
  <si>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</si>
  <si>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</si>
  <si>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</si>
  <si>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</si>
  <si>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</si>
  <si>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</si>
  <si>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</si>
  <si>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</si>
  <si>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</si>
  <si>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</si>
  <si>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</si>
  <si>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</si>
  <si>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</si>
  <si>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</si>
  <si>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</si>
  <si>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</si>
  <si>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</si>
  <si>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</si>
  <si>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</si>
  <si>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</si>
  <si>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</si>
  <si>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</si>
  <si>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</si>
  <si>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</si>
  <si>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</si>
  <si>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</si>
  <si>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</si>
  <si>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</si>
  <si>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</si>
  <si>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</si>
  <si>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</si>
  <si>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</si>
  <si>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</si>
  <si>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</si>
  <si>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</si>
  <si>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</si>
  <si>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</si>
  <si>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</si>
  <si>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</si>
  <si>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</si>
  <si>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</si>
  <si>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</si>
  <si>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</si>
  <si>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</si>
  <si>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</si>
  <si>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</si>
  <si>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</si>
  <si>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</si>
  <si>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</si>
  <si>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</si>
  <si>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</si>
  <si>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</si>
  <si>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</si>
  <si>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</si>
  <si>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</si>
  <si>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</si>
  <si>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</si>
  <si>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</si>
  <si>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</si>
  <si>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</si>
  <si>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</si>
  <si>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</si>
  <si>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</si>
  <si>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</si>
  <si>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</si>
  <si>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</si>
  <si>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</si>
  <si>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</si>
  <si>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</si>
  <si>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</si>
  <si>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</si>
  <si>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</si>
  <si>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</si>
  <si>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</si>
  <si>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</si>
  <si>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</si>
  <si>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</si>
  <si>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</si>
  <si>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</si>
  <si>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</si>
  <si>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</si>
  <si>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</si>
  <si>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</si>
  <si>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</si>
  <si>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</si>
  <si>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</si>
  <si>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</si>
  <si>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</si>
  <si>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</si>
  <si>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</si>
  <si>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</si>
  <si>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</si>
  <si>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</si>
  <si>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</si>
  <si>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</si>
  <si>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</si>
  <si>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</si>
  <si>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</si>
  <si>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</si>
  <si>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</si>
  <si>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</si>
  <si>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</si>
  <si>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</si>
  <si>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</si>
  <si>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</si>
  <si>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</si>
  <si>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</si>
  <si>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</si>
  <si>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</si>
  <si>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</si>
  <si>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</si>
  <si>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</si>
  <si>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</si>
  <si>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</si>
  <si>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</si>
  <si>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</si>
  <si>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</si>
  <si>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</si>
  <si>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</si>
  <si>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</si>
  <si>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</si>
  <si>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</si>
  <si>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</si>
  <si>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</si>
  <si>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</si>
  <si>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</si>
  <si>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</si>
  <si>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</si>
  <si>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</si>
  <si>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</si>
  <si>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</si>
  <si>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</si>
  <si>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</si>
  <si>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</si>
  <si>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</si>
  <si>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</si>
  <si>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</si>
  <si>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</si>
  <si>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</si>
  <si>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</si>
  <si>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</si>
  <si>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</si>
  <si>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</si>
  <si>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</si>
  <si>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</si>
  <si>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</si>
  <si>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</si>
  <si>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</si>
  <si>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</si>
  <si>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</si>
  <si>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</si>
  <si>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</si>
  <si>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</si>
  <si>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</si>
  <si>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</si>
  <si>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</si>
  <si>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</si>
  <si>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</si>
  <si>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</si>
  <si>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</si>
  <si>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</si>
  <si>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</si>
  <si>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</si>
  <si>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</si>
  <si>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</si>
  <si>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</si>
  <si>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</si>
  <si>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</si>
  <si>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</si>
  <si>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</si>
  <si>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</si>
  <si>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</si>
  <si>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</si>
  <si>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</si>
  <si>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</si>
  <si>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</si>
  <si>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</si>
  <si>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</si>
  <si>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</si>
  <si>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</si>
  <si>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</si>
  <si>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</si>
  <si>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</si>
  <si>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</si>
  <si>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</si>
  <si>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</si>
  <si>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</si>
  <si>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</si>
  <si>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</si>
  <si>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</si>
  <si>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</si>
  <si>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</si>
  <si>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</si>
  <si>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</si>
  <si>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</si>
  <si>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</si>
  <si>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</si>
  <si>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</si>
  <si>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</si>
  <si>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</si>
  <si>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</si>
  <si>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</si>
  <si>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</si>
  <si>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</si>
  <si>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</si>
  <si>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</si>
  <si>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</si>
  <si>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</si>
  <si>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</si>
  <si>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</si>
  <si>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</si>
  <si>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</si>
  <si>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</si>
  <si>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</si>
  <si>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</si>
  <si>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</si>
  <si>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</si>
  <si>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</si>
  <si>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</si>
  <si>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</si>
  <si>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</si>
  <si>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</si>
  <si>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</si>
  <si>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</si>
  <si>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</si>
  <si>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</si>
  <si>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</si>
  <si>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</si>
  <si>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</si>
  <si>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</si>
  <si>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</si>
  <si>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</si>
  <si>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</si>
  <si>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</si>
  <si>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</si>
  <si>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</si>
  <si>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</si>
  <si>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</si>
  <si>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</si>
  <si>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</si>
  <si>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</si>
  <si>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</si>
  <si>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</si>
  <si>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</si>
  <si>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</si>
  <si>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</si>
  <si>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</si>
  <si>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</si>
  <si>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</si>
  <si>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</si>
  <si>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</si>
  <si>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</si>
  <si>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</si>
  <si>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</si>
  <si>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</si>
  <si>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</si>
  <si>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</si>
  <si>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</si>
  <si>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</si>
  <si>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</si>
  <si>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</si>
  <si>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</si>
  <si>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</si>
  <si>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</si>
  <si>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</si>
  <si>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</si>
  <si>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</si>
  <si>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</si>
  <si>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</si>
  <si>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</si>
  <si>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</si>
  <si>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</si>
  <si>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</si>
  <si>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</si>
  <si>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</si>
  <si>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</si>
  <si>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</si>
  <si>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</si>
  <si>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</si>
  <si>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</si>
  <si>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</si>
  <si>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</si>
  <si>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</si>
  <si>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</si>
  <si>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</si>
  <si>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</si>
  <si>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</si>
  <si>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</si>
  <si>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</si>
  <si>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</si>
  <si>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</si>
  <si>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</si>
  <si>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</si>
  <si>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</si>
  <si>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</si>
  <si>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</si>
  <si>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</si>
  <si>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</si>
  <si>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</si>
  <si>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</si>
  <si>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</si>
  <si>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</si>
  <si>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</si>
  <si>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</si>
  <si>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</si>
  <si>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</si>
  <si>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</si>
  <si>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</si>
  <si>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</si>
  <si>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</si>
  <si>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</si>
  <si>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</si>
  <si>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</si>
  <si>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</si>
  <si>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</si>
  <si>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</si>
  <si>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</si>
  <si>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</si>
  <si>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</si>
  <si>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</si>
  <si>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</si>
  <si>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</si>
  <si>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</si>
  <si>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</si>
  <si>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</si>
  <si>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</si>
  <si>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</si>
  <si>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</si>
  <si>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</si>
  <si>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</si>
  <si>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</si>
  <si>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</si>
  <si>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</si>
  <si>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</si>
  <si>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</si>
  <si>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</si>
  <si>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</si>
  <si>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</si>
  <si>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</si>
  <si>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</si>
  <si>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</si>
  <si>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</si>
  <si>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</si>
  <si>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</si>
  <si>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</si>
  <si>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</si>
  <si>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</si>
  <si>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</si>
  <si>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</si>
  <si>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</si>
  <si>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</si>
  <si>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</si>
  <si>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</si>
  <si>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</si>
  <si>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</si>
  <si>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</si>
  <si>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</si>
  <si>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</si>
  <si>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</si>
  <si>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</si>
  <si>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</si>
  <si>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</si>
  <si>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</si>
  <si>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</si>
  <si>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</si>
  <si>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</si>
  <si>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</si>
  <si>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</si>
  <si>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</si>
  <si>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</si>
  <si>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</si>
  <si>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</si>
  <si>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</si>
  <si>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</si>
  <si>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</si>
  <si>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</si>
  <si>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</si>
  <si>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</si>
  <si>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</si>
  <si>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</si>
  <si>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</si>
  <si>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</si>
  <si>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</si>
  <si>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</si>
  <si>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</si>
  <si>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</si>
  <si>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</si>
  <si>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</si>
  <si>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</si>
  <si>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</si>
  <si>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</si>
  <si>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</si>
  <si>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</si>
  <si>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</si>
  <si>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</si>
  <si>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</si>
  <si>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</si>
  <si>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</si>
  <si>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</si>
  <si>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</si>
  <si>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</si>
  <si>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</si>
  <si>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</si>
  <si>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</si>
  <si>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</si>
  <si>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</si>
  <si>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</si>
  <si>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</si>
  <si>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</si>
  <si>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</si>
  <si>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</si>
  <si>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</si>
  <si>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</si>
  <si>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</si>
  <si>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</si>
  <si>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</si>
  <si>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</si>
  <si>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</si>
  <si>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</si>
  <si>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</si>
  <si>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</si>
  <si>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</si>
  <si>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</si>
  <si>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</si>
  <si>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</si>
  <si>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</si>
  <si>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</si>
  <si>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</si>
  <si>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</si>
  <si>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</si>
  <si>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</si>
  <si>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</si>
  <si>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</si>
  <si>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</si>
  <si>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</si>
  <si>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</si>
  <si>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</si>
  <si>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</si>
  <si>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</si>
  <si>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</si>
  <si>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</si>
  <si>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</si>
  <si>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</si>
  <si>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</si>
  <si>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</si>
  <si>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</si>
  <si>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</si>
  <si>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</si>
  <si>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</si>
  <si>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</si>
  <si>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</si>
  <si>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</si>
  <si>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</si>
  <si>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</si>
  <si>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</si>
  <si>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</si>
  <si>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</si>
  <si>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</si>
  <si>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</si>
  <si>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</si>
  <si>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</si>
  <si>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</si>
  <si>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</si>
  <si>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</si>
  <si>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</si>
  <si>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</si>
  <si>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</si>
  <si>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</si>
  <si>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</si>
  <si>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</si>
  <si>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</si>
  <si>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</si>
  <si>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</si>
  <si>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</si>
  <si>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</si>
  <si>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</si>
  <si>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</si>
  <si>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</si>
  <si>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</si>
  <si>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</si>
  <si>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</si>
  <si>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</si>
  <si>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</si>
  <si>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</si>
  <si>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</si>
  <si>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</si>
  <si>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</si>
  <si>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</si>
  <si>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</si>
  <si>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</si>
  <si>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</si>
  <si>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</si>
  <si>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</si>
  <si>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</si>
  <si>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</si>
  <si>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</si>
  <si>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</si>
  <si>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</si>
  <si>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</si>
  <si>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</si>
  <si>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</si>
  <si>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</si>
  <si>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</si>
  <si>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</si>
  <si>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</si>
  <si>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</si>
  <si>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</si>
  <si>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</si>
  <si>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</si>
  <si>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</si>
  <si>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</si>
  <si>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</si>
  <si>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</si>
  <si>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</si>
  <si>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</si>
  <si>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</si>
  <si>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</si>
  <si>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</si>
  <si>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</si>
  <si>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</si>
  <si>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</si>
  <si>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</si>
  <si>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</si>
  <si>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</si>
  <si>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</si>
  <si>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</si>
  <si>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</si>
  <si>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</si>
  <si>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</si>
  <si>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</si>
  <si>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</si>
  <si>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</si>
  <si>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</si>
  <si>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</si>
  <si>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</si>
  <si>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</si>
  <si>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</si>
  <si>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</si>
  <si>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</si>
  <si>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</si>
  <si>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</si>
  <si>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</si>
  <si>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</si>
  <si>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</si>
  <si>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</si>
  <si>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</si>
  <si>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</si>
  <si>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</si>
  <si>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</si>
  <si>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</si>
  <si>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</si>
  <si>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</si>
  <si>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</si>
  <si>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</si>
  <si>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</si>
  <si>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</si>
  <si>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</si>
  <si>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</si>
  <si>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</si>
  <si>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</si>
  <si>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</si>
  <si>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</si>
  <si>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</si>
  <si>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</si>
  <si>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</si>
  <si>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</si>
  <si>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</si>
  <si>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</si>
  <si>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</si>
  <si>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</si>
  <si>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</si>
  <si>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</si>
  <si>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</si>
  <si>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</si>
  <si>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</si>
  <si>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</si>
  <si>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</si>
  <si>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</si>
  <si>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</si>
  <si>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</si>
  <si>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</si>
  <si>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</si>
  <si>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</si>
  <si>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</si>
  <si>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</si>
  <si>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</si>
  <si>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</si>
  <si>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</si>
  <si>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</si>
  <si>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</si>
  <si>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</si>
  <si>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</si>
  <si>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</si>
  <si>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</si>
  <si>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</si>
  <si>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</si>
  <si>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</si>
  <si>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</si>
  <si>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</si>
  <si>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</si>
  <si>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</si>
  <si>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</si>
  <si>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</si>
  <si>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</si>
  <si>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</si>
  <si>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</si>
  <si>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</si>
  <si>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</si>
  <si>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</si>
  <si>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</si>
  <si>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</si>
  <si>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</si>
  <si>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</si>
  <si>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</si>
  <si>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</si>
  <si>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</si>
  <si>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</si>
  <si>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</si>
  <si>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</si>
  <si>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</si>
  <si>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</si>
  <si>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</si>
  <si>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</si>
  <si>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</si>
  <si>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</si>
  <si>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</si>
  <si>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</si>
  <si>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</si>
  <si>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</si>
  <si>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</si>
  <si>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</si>
  <si>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</si>
  <si>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</si>
  <si>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</si>
  <si>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</si>
  <si>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</si>
  <si>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</si>
  <si>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</si>
  <si>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</si>
  <si>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</si>
  <si>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</si>
  <si>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</si>
  <si>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</si>
  <si>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</si>
  <si>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</si>
  <si>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</si>
  <si>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</si>
  <si>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</si>
  <si>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</si>
  <si>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</si>
  <si>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</si>
  <si>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</si>
  <si>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</si>
  <si>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</si>
  <si>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</si>
  <si>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</si>
  <si>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</si>
  <si>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</si>
  <si>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</si>
  <si>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</si>
  <si>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</si>
  <si>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</si>
  <si>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</si>
  <si>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</si>
  <si>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</si>
  <si>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</si>
  <si>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</si>
  <si>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</si>
  <si>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</si>
  <si>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</si>
  <si>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</si>
  <si>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</si>
  <si>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</si>
  <si>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</si>
  <si>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</si>
  <si>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</si>
  <si>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</si>
  <si>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</si>
  <si>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</si>
  <si>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</si>
  <si>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</si>
  <si>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</si>
  <si>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</si>
  <si>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</si>
  <si>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</si>
  <si>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</si>
  <si>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</si>
  <si>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</si>
  <si>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</si>
  <si>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</si>
  <si>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</si>
  <si>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</si>
  <si>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</si>
  <si>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</si>
  <si>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</si>
  <si>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</si>
  <si>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</si>
  <si>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</si>
  <si>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</si>
  <si>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</si>
  <si>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</si>
  <si>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</si>
  <si>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</si>
  <si>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</si>
  <si>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</si>
  <si>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</si>
  <si>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</si>
  <si>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</si>
  <si>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</si>
  <si>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</si>
  <si>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</si>
  <si>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</si>
  <si>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</si>
  <si>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</si>
  <si>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</si>
  <si>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</si>
  <si>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</si>
  <si>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</si>
  <si>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</si>
  <si>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</si>
  <si>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</si>
  <si>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</si>
  <si>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</si>
  <si>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</si>
  <si>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</si>
  <si>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</si>
  <si>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</si>
  <si>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</si>
  <si>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</si>
  <si>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</si>
  <si>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</si>
  <si>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</si>
  <si>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</si>
  <si>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</si>
  <si>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</si>
  <si>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</si>
  <si>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</si>
  <si>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</si>
  <si>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</si>
  <si>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</si>
  <si>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</si>
  <si>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</si>
  <si>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</si>
  <si>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</si>
  <si>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</si>
  <si>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</si>
  <si>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</si>
  <si>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</si>
  <si>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</si>
  <si>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</si>
  <si>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</si>
  <si>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</si>
  <si>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</si>
  <si>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</si>
  <si>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</si>
  <si>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</si>
  <si>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</si>
  <si>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</si>
  <si>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</si>
  <si>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</si>
  <si>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</si>
  <si>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</si>
  <si>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</si>
  <si>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</si>
  <si>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</si>
  <si>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</si>
  <si>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</si>
  <si>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</si>
  <si>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</si>
  <si>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</si>
  <si>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</si>
  <si>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</si>
  <si>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</si>
  <si>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</si>
  <si>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</si>
  <si>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</si>
  <si>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</si>
  <si>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</si>
  <si>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</si>
  <si>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</si>
  <si>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</si>
  <si>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</si>
  <si>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</si>
  <si>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</si>
  <si>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</si>
  <si>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</si>
  <si>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</si>
  <si>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</si>
  <si>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</si>
  <si>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</si>
  <si>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</si>
  <si>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</si>
  <si>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</si>
  <si>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</si>
  <si>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</si>
  <si>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</si>
  <si>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</si>
  <si>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</si>
  <si>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</si>
  <si>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</si>
  <si>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</si>
  <si>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</si>
  <si>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</si>
  <si>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</si>
  <si>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</si>
  <si>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</si>
  <si>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</si>
  <si>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</si>
  <si>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</si>
  <si>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</si>
  <si>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</si>
  <si>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</si>
  <si>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</si>
  <si>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</si>
  <si>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</si>
  <si>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</si>
  <si>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</si>
  <si>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</si>
  <si>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</si>
  <si>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</si>
  <si>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</si>
  <si>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</si>
  <si>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</si>
  <si>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</si>
  <si>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</si>
  <si>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</si>
  <si>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</si>
  <si>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</si>
  <si>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</si>
  <si>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</si>
  <si>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</si>
  <si>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</si>
  <si>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</si>
  <si>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</si>
  <si>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</si>
  <si>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</si>
  <si>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</si>
  <si>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</si>
  <si>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</si>
  <si>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</si>
  <si>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</si>
  <si>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</si>
  <si>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</si>
  <si>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</si>
  <si>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</si>
  <si>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</si>
  <si>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</si>
  <si>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</si>
  <si>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</si>
  <si>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</si>
  <si>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</si>
  <si>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</si>
  <si>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</si>
  <si>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</si>
  <si>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</si>
  <si>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</si>
  <si>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</si>
  <si>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</si>
  <si>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</si>
  <si>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</si>
  <si>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</si>
  <si>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</si>
  <si>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</si>
  <si>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</si>
  <si>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</si>
  <si>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</si>
  <si>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</si>
  <si>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</si>
  <si>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</si>
  <si>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</si>
  <si>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</si>
  <si>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</si>
  <si>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</si>
  <si>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</si>
  <si>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</si>
  <si>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</si>
  <si>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</si>
  <si>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</si>
  <si>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</si>
  <si>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</si>
  <si>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</si>
  <si>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</si>
  <si>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</si>
  <si>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</si>
  <si>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</si>
  <si>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</si>
  <si>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</si>
  <si>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</si>
  <si>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</si>
  <si>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</si>
  <si>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</si>
  <si>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</si>
  <si>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</si>
  <si>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</si>
  <si>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</si>
  <si>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</si>
  <si>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</si>
  <si>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</si>
  <si>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</si>
  <si>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</si>
  <si>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</si>
  <si>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</si>
  <si>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</si>
  <si>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</si>
  <si>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</si>
  <si>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</si>
  <si>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</si>
  <si>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</si>
  <si>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</si>
  <si>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</si>
  <si>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</si>
  <si>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</si>
  <si>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</si>
  <si>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</si>
  <si>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</si>
  <si>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</si>
  <si>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</si>
  <si>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</si>
  <si>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</si>
  <si>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</si>
  <si>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</si>
  <si>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</si>
  <si>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</si>
  <si>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</si>
  <si>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</si>
  <si>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</si>
  <si>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</si>
  <si>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</si>
  <si>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</si>
  <si>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</si>
  <si>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</si>
  <si>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</si>
  <si>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</si>
  <si>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</si>
  <si>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</si>
  <si>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</si>
  <si>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</si>
  <si>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</si>
  <si>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</si>
  <si>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</si>
  <si>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</si>
  <si>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</si>
  <si>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</si>
  <si>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</si>
  <si>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</si>
  <si>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</si>
  <si>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</si>
  <si>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</si>
  <si>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</si>
  <si>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</si>
  <si>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</si>
  <si>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</si>
  <si>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</si>
  <si>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</si>
  <si>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</si>
  <si>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</si>
  <si>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</si>
  <si>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</si>
  <si>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</si>
  <si>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</si>
  <si>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</si>
  <si>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</si>
  <si>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</si>
  <si>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</si>
  <si>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</si>
  <si>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</si>
  <si>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</si>
  <si>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</si>
  <si>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</si>
  <si>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</si>
  <si>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</si>
  <si>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</si>
  <si>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</si>
  <si>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</si>
  <si>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</si>
  <si>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</si>
  <si>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</si>
  <si>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</si>
  <si>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</si>
  <si>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</si>
  <si>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</si>
  <si>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</si>
  <si>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</si>
  <si>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</si>
  <si>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</si>
  <si>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</si>
  <si>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</si>
  <si>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</si>
  <si>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</si>
  <si>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</si>
  <si>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</si>
  <si>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</si>
  <si>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</si>
  <si>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</si>
  <si>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</si>
  <si>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</si>
  <si>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</si>
  <si>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</si>
  <si>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</si>
  <si>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</si>
  <si>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</si>
  <si>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</si>
  <si>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</si>
  <si>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</si>
  <si>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</si>
  <si>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</si>
  <si>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</si>
  <si>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</si>
  <si>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</si>
  <si>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</si>
  <si>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</si>
  <si>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</si>
  <si>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</si>
  <si>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</si>
  <si>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</si>
  <si>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</si>
  <si>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</si>
  <si>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</si>
  <si>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</si>
  <si>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</si>
  <si>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</si>
  <si>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</si>
  <si>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</si>
  <si>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</si>
  <si>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</si>
  <si>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</si>
  <si>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</si>
  <si>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</si>
  <si>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</si>
  <si>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</si>
  <si>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</si>
  <si>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</si>
  <si>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</si>
  <si>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</si>
  <si>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</si>
  <si>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</si>
  <si>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</si>
  <si>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</si>
  <si>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</si>
  <si>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</si>
  <si>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</si>
  <si>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</si>
  <si>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</si>
  <si>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</si>
  <si>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</si>
  <si>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</si>
  <si>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</si>
  <si>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</si>
  <si>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</si>
  <si>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</si>
  <si>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</si>
  <si>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</si>
  <si>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</si>
  <si>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</si>
  <si>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</si>
  <si>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</si>
  <si>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</si>
  <si>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</si>
  <si>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</si>
  <si>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</si>
  <si>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</si>
  <si>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</si>
  <si>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</si>
  <si>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</si>
  <si>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</si>
  <si>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</si>
  <si>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</si>
  <si>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</si>
  <si>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</si>
  <si>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</si>
  <si>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</si>
  <si>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</si>
  <si>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</si>
  <si>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</si>
  <si>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</si>
  <si>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</si>
  <si>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</si>
  <si>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</si>
  <si>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</si>
  <si>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</si>
  <si>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</si>
  <si>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</si>
  <si>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</si>
  <si>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</si>
  <si>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</si>
  <si>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</si>
  <si>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</si>
  <si>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</si>
  <si>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</si>
  <si>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</si>
  <si>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</si>
  <si>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</si>
  <si>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</si>
  <si>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</si>
  <si>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</si>
  <si>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</si>
  <si>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</si>
  <si>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</si>
  <si>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</si>
  <si>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</si>
  <si>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</si>
  <si>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</si>
  <si>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</si>
  <si>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</si>
  <si>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</si>
  <si>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</si>
  <si>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</si>
  <si>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</si>
  <si>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</si>
  <si>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</si>
  <si>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</si>
  <si>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</si>
  <si>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</si>
  <si>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</si>
  <si>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</si>
  <si>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</si>
  <si>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</si>
  <si>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</si>
  <si>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</si>
  <si>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</si>
  <si>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</si>
  <si>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</si>
  <si>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</si>
  <si>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</si>
  <si>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</si>
  <si>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</si>
  <si>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</si>
  <si>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</si>
  <si>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</si>
  <si>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</si>
  <si>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</si>
  <si>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</si>
  <si>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</si>
  <si>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</si>
  <si>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</si>
  <si>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</si>
  <si>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</si>
  <si>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</si>
  <si>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</si>
  <si>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</si>
  <si>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</si>
  <si>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</si>
  <si>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</si>
  <si>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</si>
  <si>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</si>
  <si>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</si>
  <si>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</si>
  <si>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</si>
  <si>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</si>
  <si>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</si>
  <si>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</si>
  <si>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</si>
  <si>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</si>
  <si>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</si>
  <si>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</si>
  <si>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</si>
  <si>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</si>
  <si>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</si>
  <si>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</si>
  <si>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</si>
  <si>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</si>
  <si>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</si>
  <si>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</si>
  <si>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</si>
  <si>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</si>
  <si>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</si>
  <si>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</si>
  <si>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</si>
  <si>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</si>
  <si>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</si>
  <si>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</si>
  <si>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</si>
  <si>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</si>
  <si>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</si>
  <si>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</si>
  <si>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</si>
  <si>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</si>
  <si>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</si>
  <si>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</si>
  <si>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</si>
  <si>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</si>
  <si>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</si>
  <si>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</si>
  <si>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</si>
  <si>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</si>
  <si>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</si>
  <si>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</si>
  <si>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</si>
  <si>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</si>
  <si>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</si>
  <si>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</si>
  <si>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</si>
  <si>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</si>
  <si>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</si>
  <si>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</si>
  <si>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</si>
  <si>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</si>
  <si>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</si>
  <si>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</si>
  <si>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</si>
  <si>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</si>
  <si>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</si>
  <si>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</si>
  <si>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</si>
  <si>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</si>
  <si>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</si>
  <si>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</si>
  <si>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</si>
  <si>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</si>
  <si>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</si>
  <si>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</si>
  <si>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</si>
  <si>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</si>
  <si>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</si>
  <si>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</si>
  <si>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</si>
  <si>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</si>
  <si>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</si>
  <si>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</si>
  <si>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</si>
  <si>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</si>
  <si>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</si>
  <si>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</si>
  <si>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</si>
  <si>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</si>
  <si>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</si>
  <si>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</si>
  <si>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</si>
  <si>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</si>
  <si>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</si>
  <si>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</si>
  <si>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</si>
  <si>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</si>
  <si>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</si>
  <si>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</si>
  <si>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</si>
  <si>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</si>
  <si>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</si>
  <si>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</si>
  <si>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</si>
  <si>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</si>
  <si>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</si>
  <si>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</si>
  <si>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</si>
  <si>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</si>
  <si>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</si>
  <si>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</si>
  <si>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</si>
  <si>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</si>
  <si>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</si>
  <si>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</si>
  <si>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</si>
  <si>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</si>
  <si>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</si>
  <si>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</si>
  <si>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</si>
  <si>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</si>
  <si>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</si>
  <si>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</si>
  <si>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</si>
  <si>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</si>
  <si>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</si>
  <si>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</si>
  <si>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</si>
  <si>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</si>
  <si>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</si>
  <si>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</si>
  <si>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</si>
  <si>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</si>
  <si>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</si>
  <si>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</si>
  <si>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</si>
  <si>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</si>
  <si>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</si>
  <si>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</si>
  <si>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</si>
  <si>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</si>
  <si>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</si>
  <si>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</si>
  <si>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</si>
  <si>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</si>
  <si>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</si>
  <si>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</si>
  <si>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</si>
  <si>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</si>
  <si>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</si>
  <si>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</si>
  <si>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</si>
  <si>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</si>
  <si>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</si>
  <si>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</si>
  <si>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</si>
  <si>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</si>
  <si>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</si>
  <si>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</si>
  <si>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</si>
  <si>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</si>
  <si>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</si>
  <si>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</si>
  <si>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</si>
  <si>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</si>
  <si>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</si>
  <si>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</si>
  <si>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</si>
  <si>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</si>
  <si>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</si>
  <si>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</si>
  <si>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</si>
  <si>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</si>
  <si>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</si>
  <si>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</si>
  <si>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</si>
  <si>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</si>
  <si>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</si>
  <si>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</si>
  <si>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</si>
  <si>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</si>
  <si>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</si>
  <si>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</si>
  <si>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</si>
  <si>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</si>
  <si>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</si>
  <si>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</si>
  <si>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</si>
  <si>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</si>
  <si>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</si>
  <si>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</si>
  <si>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</si>
  <si>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</si>
  <si>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</si>
  <si>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</si>
  <si>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</si>
  <si>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</si>
  <si>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</si>
  <si>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</si>
  <si>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</si>
  <si>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</si>
  <si>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</si>
  <si>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</si>
  <si>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</si>
  <si>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</si>
  <si>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</si>
  <si>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</si>
  <si>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</si>
  <si>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</si>
  <si>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</si>
  <si>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</si>
  <si>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phoneticPr fontId="24" type="noConversion"/>
  </si>
  <si>
    <t>毛坯</t>
  </si>
  <si>
    <t>毛坯</t>
    <phoneticPr fontId="24" type="noConversion"/>
  </si>
  <si>
    <t>平层</t>
    <phoneticPr fontId="24" type="noConversion"/>
  </si>
  <si>
    <t>多层板楼</t>
    <phoneticPr fontId="24" type="noConversion"/>
  </si>
  <si>
    <t>砖混</t>
    <phoneticPr fontId="24" type="noConversion"/>
  </si>
  <si>
    <t>建成年代</t>
    <phoneticPr fontId="24" type="noConversion"/>
  </si>
  <si>
    <t>南北</t>
    <phoneticPr fontId="24" type="noConversion"/>
  </si>
  <si>
    <t>已包含在土地取得成本中</t>
  </si>
  <si>
    <t>楼层</t>
    <phoneticPr fontId="24" type="noConversion"/>
  </si>
  <si>
    <t>高层塔楼</t>
    <phoneticPr fontId="24" type="noConversion"/>
  </si>
  <si>
    <t>原合同</t>
    <phoneticPr fontId="8" type="noConversion"/>
  </si>
  <si>
    <t>二手房</t>
    <phoneticPr fontId="24" type="noConversion"/>
  </si>
  <si>
    <t>一手房</t>
    <phoneticPr fontId="24" type="noConversion"/>
  </si>
  <si>
    <t>区县</t>
  </si>
  <si>
    <t>估价对象房屋坐落</t>
  </si>
  <si>
    <t>房屋总层数</t>
  </si>
  <si>
    <t>所在楼层</t>
  </si>
  <si>
    <t>二室一厅一卫一厨</t>
  </si>
  <si>
    <t>8号楼</t>
  </si>
  <si>
    <t>西南</t>
    <phoneticPr fontId="24" type="noConversion"/>
  </si>
  <si>
    <t>较好</t>
  </si>
  <si>
    <t>西北</t>
    <phoneticPr fontId="24" type="noConversion"/>
  </si>
  <si>
    <t>4号楼</t>
    <phoneticPr fontId="3" type="noConversion"/>
  </si>
  <si>
    <t>二室一厅一卫一厨</t>
    <phoneticPr fontId="3" type="noConversion"/>
  </si>
  <si>
    <t>8号楼</t>
    <phoneticPr fontId="3" type="noConversion"/>
  </si>
  <si>
    <t>二室二厅一卫一厨</t>
    <phoneticPr fontId="3" type="noConversion"/>
  </si>
  <si>
    <t>东南</t>
    <phoneticPr fontId="24" type="noConversion"/>
  </si>
  <si>
    <t>一般</t>
  </si>
  <si>
    <t>七通</t>
  </si>
  <si>
    <t>项目编号</t>
    <phoneticPr fontId="247" type="noConversion"/>
  </si>
  <si>
    <t>评估编号</t>
    <phoneticPr fontId="247" type="noConversion"/>
  </si>
  <si>
    <t>姓名</t>
  </si>
  <si>
    <t>身份证号</t>
  </si>
  <si>
    <t>联系电话</t>
  </si>
  <si>
    <t>楼盘名称(物业名称)</t>
    <phoneticPr fontId="247" type="noConversion"/>
  </si>
  <si>
    <t>房屋所有权证幢号</t>
    <phoneticPr fontId="247" type="noConversion"/>
  </si>
  <si>
    <t>单元号</t>
    <phoneticPr fontId="247" type="noConversion"/>
  </si>
  <si>
    <t>房号</t>
    <phoneticPr fontId="247" type="noConversion"/>
  </si>
  <si>
    <t>建筑面积</t>
    <phoneticPr fontId="247" type="noConversion"/>
  </si>
  <si>
    <t>户型</t>
    <phoneticPr fontId="247" type="noConversion"/>
  </si>
  <si>
    <t>朝向</t>
    <phoneticPr fontId="247" type="noConversion"/>
  </si>
  <si>
    <t>建成年代(产权)</t>
  </si>
  <si>
    <t>楼型</t>
  </si>
  <si>
    <t>结构</t>
    <phoneticPr fontId="247" type="noConversion"/>
  </si>
  <si>
    <t>层户数</t>
  </si>
  <si>
    <t>区域租金水平</t>
    <phoneticPr fontId="247" type="noConversion"/>
  </si>
  <si>
    <t>市调售价</t>
  </si>
  <si>
    <t>成交单价</t>
    <phoneticPr fontId="247" type="noConversion"/>
  </si>
  <si>
    <t>成交总价</t>
    <phoneticPr fontId="247" type="noConversion"/>
  </si>
  <si>
    <t>评估单价</t>
    <phoneticPr fontId="247" type="noConversion"/>
  </si>
  <si>
    <t>评估总价</t>
    <phoneticPr fontId="247" type="noConversion"/>
  </si>
  <si>
    <t>估价日期</t>
    <phoneticPr fontId="247" type="noConversion"/>
  </si>
  <si>
    <t>交易日期</t>
    <phoneticPr fontId="247" type="noConversion"/>
  </si>
  <si>
    <t>2013-21-P-06285-U-1</t>
    <phoneticPr fontId="3" type="noConversion"/>
  </si>
  <si>
    <t>王楠、王晓东</t>
    <phoneticPr fontId="3" type="noConversion"/>
  </si>
  <si>
    <t>110226198606015626、110226198608205618</t>
    <phoneticPr fontId="3" type="noConversion"/>
  </si>
  <si>
    <t>南口镇新西广街</t>
    <phoneticPr fontId="3" type="noConversion"/>
  </si>
  <si>
    <t>6号楼</t>
    <phoneticPr fontId="3" type="noConversion"/>
  </si>
  <si>
    <t>2层4单元</t>
    <phoneticPr fontId="3" type="noConversion"/>
  </si>
  <si>
    <t>2014-1-2</t>
  </si>
  <si>
    <t>2013-21-P-06371-U</t>
    <phoneticPr fontId="3" type="noConversion"/>
  </si>
  <si>
    <t>林志祥</t>
    <phoneticPr fontId="3" type="noConversion"/>
  </si>
  <si>
    <t>370628198103136517</t>
    <phoneticPr fontId="3" type="noConversion"/>
  </si>
  <si>
    <t>13811417853</t>
    <phoneticPr fontId="3" type="noConversion"/>
  </si>
  <si>
    <t>南口镇水厂路</t>
    <phoneticPr fontId="3" type="noConversion"/>
  </si>
  <si>
    <t>5号楼</t>
    <phoneticPr fontId="3" type="noConversion"/>
  </si>
  <si>
    <t>2层1单元</t>
    <phoneticPr fontId="3" type="noConversion"/>
  </si>
  <si>
    <t>202</t>
    <phoneticPr fontId="3" type="noConversion"/>
  </si>
  <si>
    <t>2013-12-25</t>
  </si>
  <si>
    <t>2013-21-P-06944-U</t>
    <phoneticPr fontId="3" type="noConversion"/>
  </si>
  <si>
    <t>苏剑</t>
    <phoneticPr fontId="3" type="noConversion"/>
  </si>
  <si>
    <t>110221198602080912</t>
    <phoneticPr fontId="3" type="noConversion"/>
  </si>
  <si>
    <t>南口镇9416工厂宿舍马坊</t>
    <phoneticPr fontId="3" type="noConversion"/>
  </si>
  <si>
    <t>322号南楼</t>
    <phoneticPr fontId="3" type="noConversion"/>
  </si>
  <si>
    <t>1层</t>
    <phoneticPr fontId="3" type="noConversion"/>
  </si>
  <si>
    <t>三室一厅一卫一厨</t>
    <phoneticPr fontId="3" type="noConversion"/>
  </si>
  <si>
    <t>2014-1-9</t>
  </si>
  <si>
    <t>2013-21-P-06971-U</t>
    <phoneticPr fontId="3" type="noConversion"/>
  </si>
  <si>
    <t>葛纯</t>
    <phoneticPr fontId="3" type="noConversion"/>
  </si>
  <si>
    <t>110108198204080427</t>
    <phoneticPr fontId="3" type="noConversion"/>
  </si>
  <si>
    <t>南口镇兴隆小区</t>
    <phoneticPr fontId="3" type="noConversion"/>
  </si>
  <si>
    <t>3层2单元</t>
    <phoneticPr fontId="3" type="noConversion"/>
  </si>
  <si>
    <t>2014-1-22</t>
  </si>
  <si>
    <t>2014-21-P-00009-U</t>
    <phoneticPr fontId="3" type="noConversion"/>
  </si>
  <si>
    <t>张磊</t>
    <phoneticPr fontId="3" type="noConversion"/>
  </si>
  <si>
    <t>110228199204091519</t>
    <phoneticPr fontId="3" type="noConversion"/>
  </si>
  <si>
    <t>12号楼</t>
    <phoneticPr fontId="3" type="noConversion"/>
  </si>
  <si>
    <t>5层2单元</t>
    <phoneticPr fontId="3" type="noConversion"/>
  </si>
  <si>
    <t>2014-1-17</t>
  </si>
  <si>
    <t>2014-21-P-00249-U</t>
    <phoneticPr fontId="3" type="noConversion"/>
  </si>
  <si>
    <t>李朋伟</t>
    <phoneticPr fontId="3" type="noConversion"/>
  </si>
  <si>
    <t>130823198511102599</t>
    <phoneticPr fontId="3" type="noConversion"/>
  </si>
  <si>
    <t>13522638780</t>
    <phoneticPr fontId="3" type="noConversion"/>
  </si>
  <si>
    <t>南口镇东升街49号院内（钢圈厂宿舍）</t>
    <phoneticPr fontId="3" type="noConversion"/>
  </si>
  <si>
    <t>2号楼</t>
    <phoneticPr fontId="3" type="noConversion"/>
  </si>
  <si>
    <t>6层1单元</t>
    <phoneticPr fontId="3" type="noConversion"/>
  </si>
  <si>
    <t>161</t>
    <phoneticPr fontId="3" type="noConversion"/>
  </si>
  <si>
    <t>2014-2-12</t>
  </si>
  <si>
    <t>2014-21-P-00415-U</t>
    <phoneticPr fontId="3" type="noConversion"/>
  </si>
  <si>
    <t>张芳</t>
    <phoneticPr fontId="3" type="noConversion"/>
  </si>
  <si>
    <t>130183198307041280</t>
    <phoneticPr fontId="3" type="noConversion"/>
  </si>
  <si>
    <t>11号楼</t>
    <phoneticPr fontId="3" type="noConversion"/>
  </si>
  <si>
    <t>3层3单元</t>
    <phoneticPr fontId="3" type="noConversion"/>
  </si>
  <si>
    <t>2014-2-21</t>
  </si>
  <si>
    <t>2014-21-P-00583-U</t>
  </si>
  <si>
    <t>黄赞江</t>
  </si>
  <si>
    <t>360428198404025818</t>
    <phoneticPr fontId="3" type="noConversion"/>
  </si>
  <si>
    <r>
      <t>12号楼</t>
    </r>
    <r>
      <rPr>
        <sz val="10"/>
        <color indexed="8"/>
        <rFont val="Times New Roman"/>
        <family val="1"/>
      </rPr>
      <t/>
    </r>
    <phoneticPr fontId="3" type="noConversion"/>
  </si>
  <si>
    <t>5层4单元</t>
    <phoneticPr fontId="3" type="noConversion"/>
  </si>
  <si>
    <t>2014-3-12</t>
  </si>
  <si>
    <t>2014-21-P-00593-U</t>
  </si>
  <si>
    <t>胡瑞芬</t>
  </si>
  <si>
    <t>132928197608243923</t>
    <phoneticPr fontId="3" type="noConversion"/>
  </si>
  <si>
    <r>
      <t>4号楼</t>
    </r>
    <r>
      <rPr>
        <sz val="12"/>
        <color indexed="8"/>
        <rFont val="Times New Roman"/>
        <family val="1"/>
      </rPr>
      <t/>
    </r>
    <phoneticPr fontId="3" type="noConversion"/>
  </si>
  <si>
    <t>2014-3-6</t>
  </si>
  <si>
    <t>2014-21-P-00773-U</t>
    <phoneticPr fontId="3" type="noConversion"/>
  </si>
  <si>
    <t>卢志强</t>
    <phoneticPr fontId="3" type="noConversion"/>
  </si>
  <si>
    <t>110229198404191313</t>
    <phoneticPr fontId="3" type="noConversion"/>
  </si>
  <si>
    <t>昌平区</t>
  </si>
  <si>
    <t>南口镇新西广街</t>
  </si>
  <si>
    <t>9号楼</t>
    <phoneticPr fontId="3" type="noConversion"/>
  </si>
  <si>
    <t>3层4单元</t>
  </si>
  <si>
    <t>2014-3-21</t>
  </si>
  <si>
    <t>2014-21-P-01287-U</t>
    <phoneticPr fontId="3" type="noConversion"/>
  </si>
  <si>
    <t>姜舒</t>
    <phoneticPr fontId="3" type="noConversion"/>
  </si>
  <si>
    <t>220503198409031034</t>
    <phoneticPr fontId="3" type="noConversion"/>
  </si>
  <si>
    <t>南口镇东大街9号</t>
    <phoneticPr fontId="3" type="noConversion"/>
  </si>
  <si>
    <t>5层10单元</t>
    <phoneticPr fontId="3" type="noConversion"/>
  </si>
  <si>
    <t>2014-4-9</t>
  </si>
  <si>
    <t>2014-21-P-01347-U</t>
    <phoneticPr fontId="3" type="noConversion"/>
  </si>
  <si>
    <t>王玉琨</t>
    <phoneticPr fontId="3" type="noConversion"/>
  </si>
  <si>
    <t>21062319770530066X</t>
    <phoneticPr fontId="3" type="noConversion"/>
  </si>
  <si>
    <t>南口镇道北南厂住宅西区</t>
    <phoneticPr fontId="3" type="noConversion"/>
  </si>
  <si>
    <t>10号楼</t>
    <phoneticPr fontId="3" type="noConversion"/>
  </si>
  <si>
    <t>1层1单元</t>
    <phoneticPr fontId="3" type="noConversion"/>
  </si>
  <si>
    <t>一室一厅一卫一厨</t>
    <phoneticPr fontId="3" type="noConversion"/>
  </si>
  <si>
    <t>2014-4-30</t>
  </si>
  <si>
    <t>2014-21-P-01475-U</t>
    <phoneticPr fontId="3" type="noConversion"/>
  </si>
  <si>
    <t>王亮、杨达</t>
    <phoneticPr fontId="3" type="noConversion"/>
  </si>
  <si>
    <t>21138119831124643X、110111198212308020</t>
    <phoneticPr fontId="3" type="noConversion"/>
  </si>
  <si>
    <t>南口镇南农家园</t>
    <phoneticPr fontId="3" type="noConversion"/>
  </si>
  <si>
    <t>2014-5-16</t>
  </si>
  <si>
    <t>2014-21-P-01943-U</t>
    <phoneticPr fontId="3" type="noConversion"/>
  </si>
  <si>
    <t>徐铁超、王立娟</t>
    <phoneticPr fontId="3" type="noConversion"/>
  </si>
  <si>
    <t>110229198810211818、110226198710290548</t>
    <phoneticPr fontId="3" type="noConversion"/>
  </si>
  <si>
    <t>南口镇东大街16号院</t>
    <phoneticPr fontId="19" type="noConversion"/>
  </si>
  <si>
    <t>6层5单元</t>
    <phoneticPr fontId="3" type="noConversion"/>
  </si>
  <si>
    <t>16</t>
    <phoneticPr fontId="3" type="noConversion"/>
  </si>
  <si>
    <t>2014-5-21</t>
  </si>
  <si>
    <t>2014-21-P-02021-U-1</t>
    <phoneticPr fontId="3" type="noConversion"/>
  </si>
  <si>
    <t>李贵鹏</t>
    <phoneticPr fontId="3" type="noConversion"/>
  </si>
  <si>
    <t>150429198302043633</t>
    <phoneticPr fontId="3" type="noConversion"/>
  </si>
  <si>
    <t>南口镇东大街16号</t>
  </si>
  <si>
    <t>1层11单元</t>
    <phoneticPr fontId="3" type="noConversion"/>
  </si>
  <si>
    <t>2</t>
    <phoneticPr fontId="3" type="noConversion"/>
  </si>
  <si>
    <t>2014-6-11</t>
  </si>
  <si>
    <t>2014-21-P-02099-U-1</t>
    <phoneticPr fontId="3" type="noConversion"/>
  </si>
  <si>
    <t>郑亮</t>
  </si>
  <si>
    <t>500381198507072812</t>
    <phoneticPr fontId="3" type="noConversion"/>
  </si>
  <si>
    <t>南口镇南厂住宅西区</t>
    <phoneticPr fontId="3" type="noConversion"/>
  </si>
  <si>
    <t>6层3单元</t>
    <phoneticPr fontId="3" type="noConversion"/>
  </si>
  <si>
    <t>2014-6-16</t>
  </si>
  <si>
    <t>2014-21-P-02118-U</t>
  </si>
  <si>
    <t>梁泉、李晓梅</t>
  </si>
  <si>
    <t>420105197910053636、142303198203210046</t>
    <phoneticPr fontId="3" type="noConversion"/>
  </si>
  <si>
    <t>南口镇南辛东路7号</t>
    <phoneticPr fontId="3" type="noConversion"/>
  </si>
  <si>
    <t>2014-5-23</t>
  </si>
  <si>
    <t>2014-21-P-02215-U-Z</t>
    <phoneticPr fontId="3" type="noConversion"/>
  </si>
  <si>
    <t>高云</t>
    <phoneticPr fontId="3" type="noConversion"/>
  </si>
  <si>
    <t>320324198807270334</t>
    <phoneticPr fontId="3" type="noConversion"/>
  </si>
  <si>
    <t>南口镇丰景高苑小区</t>
    <phoneticPr fontId="3" type="noConversion"/>
  </si>
  <si>
    <t>2014-7-30</t>
  </si>
  <si>
    <t>2014-21-P-02277-U</t>
    <phoneticPr fontId="3" type="noConversion"/>
  </si>
  <si>
    <t>纪亮</t>
  </si>
  <si>
    <t>110229198212281314</t>
    <phoneticPr fontId="3" type="noConversion"/>
  </si>
  <si>
    <t>南口镇道北南厂住宅东区</t>
  </si>
  <si>
    <t>18号楼</t>
    <phoneticPr fontId="3" type="noConversion"/>
  </si>
  <si>
    <t>5层1单元</t>
    <phoneticPr fontId="3" type="noConversion"/>
  </si>
  <si>
    <t>151</t>
    <phoneticPr fontId="3" type="noConversion"/>
  </si>
  <si>
    <t>2014-9-3</t>
  </si>
  <si>
    <t>2014-21-P-02368-U-Z</t>
    <phoneticPr fontId="3" type="noConversion"/>
  </si>
  <si>
    <t>万德玉</t>
    <phoneticPr fontId="3" type="noConversion"/>
  </si>
  <si>
    <t>220282198009164718</t>
    <phoneticPr fontId="3" type="noConversion"/>
  </si>
  <si>
    <t>南口镇南大街</t>
    <phoneticPr fontId="3" type="noConversion"/>
  </si>
  <si>
    <t>2014-7-22</t>
  </si>
  <si>
    <t>2014-21-P-02381-U</t>
  </si>
  <si>
    <t>许超</t>
  </si>
  <si>
    <t>140202198612114019</t>
    <phoneticPr fontId="3" type="noConversion"/>
  </si>
  <si>
    <t>2014-6-13</t>
  </si>
  <si>
    <t>2012-21-P-00279-U</t>
    <phoneticPr fontId="3" type="noConversion"/>
  </si>
  <si>
    <t>张勇</t>
    <phoneticPr fontId="3" type="noConversion"/>
  </si>
  <si>
    <t>422427197911270313</t>
    <phoneticPr fontId="3" type="noConversion"/>
  </si>
  <si>
    <t>302号</t>
    <phoneticPr fontId="3" type="noConversion"/>
  </si>
  <si>
    <t>2012-3-8</t>
  </si>
  <si>
    <t>2012-21-P-00659-U</t>
    <phoneticPr fontId="3" type="noConversion"/>
  </si>
  <si>
    <t>高健</t>
    <phoneticPr fontId="3" type="noConversion"/>
  </si>
  <si>
    <t>130702198107031250</t>
    <phoneticPr fontId="3" type="noConversion"/>
  </si>
  <si>
    <t>501号</t>
    <phoneticPr fontId="3" type="noConversion"/>
  </si>
  <si>
    <t>2012-4-17</t>
  </si>
  <si>
    <t>2012-21-P-00829-U</t>
    <phoneticPr fontId="3" type="noConversion"/>
  </si>
  <si>
    <t>李东海、刘爱云</t>
    <phoneticPr fontId="3" type="noConversion"/>
  </si>
  <si>
    <t>110223198008115310、110229198409282222</t>
    <phoneticPr fontId="3" type="noConversion"/>
  </si>
  <si>
    <t>南口镇兴隆街</t>
    <phoneticPr fontId="3" type="noConversion"/>
  </si>
  <si>
    <t>34号2号楼</t>
    <phoneticPr fontId="3" type="noConversion"/>
  </si>
  <si>
    <t>3层7单元</t>
    <phoneticPr fontId="3" type="noConversion"/>
  </si>
  <si>
    <t>301号</t>
    <phoneticPr fontId="3" type="noConversion"/>
  </si>
  <si>
    <t>2012-21-P-01152-U</t>
    <phoneticPr fontId="3" type="noConversion"/>
  </si>
  <si>
    <t>赵洪志、张肖青</t>
    <phoneticPr fontId="3" type="noConversion"/>
  </si>
  <si>
    <t>230421197807151810、110229198206081826</t>
    <phoneticPr fontId="3" type="noConversion"/>
  </si>
  <si>
    <t>南口镇南大街（南口学校宿舍楼）</t>
    <phoneticPr fontId="3" type="noConversion"/>
  </si>
  <si>
    <t>5层3单元</t>
    <phoneticPr fontId="3" type="noConversion"/>
  </si>
  <si>
    <t>14号</t>
    <phoneticPr fontId="3" type="noConversion"/>
  </si>
  <si>
    <t>2012-5-8</t>
  </si>
  <si>
    <t>2012-21-P-01278-U-1</t>
    <phoneticPr fontId="3" type="noConversion"/>
  </si>
  <si>
    <t>刁芒芒、魏利</t>
    <phoneticPr fontId="3" type="noConversion"/>
  </si>
  <si>
    <t>110104198406042044、110221198007098114</t>
    <phoneticPr fontId="3" type="noConversion"/>
  </si>
  <si>
    <t>71号楼</t>
    <phoneticPr fontId="3" type="noConversion"/>
  </si>
  <si>
    <t>5层5单元</t>
    <phoneticPr fontId="3" type="noConversion"/>
  </si>
  <si>
    <t>2012-7-6</t>
  </si>
  <si>
    <t>2012-21-P-01351-U</t>
    <phoneticPr fontId="3" type="noConversion"/>
  </si>
  <si>
    <t>刘志猛、赵想</t>
    <phoneticPr fontId="3" type="noConversion"/>
  </si>
  <si>
    <t>130181198311068512、130181198408248544</t>
    <phoneticPr fontId="3" type="noConversion"/>
  </si>
  <si>
    <t>南口镇南南农新村</t>
    <phoneticPr fontId="3" type="noConversion"/>
  </si>
  <si>
    <t>6层2单元</t>
    <phoneticPr fontId="3" type="noConversion"/>
  </si>
  <si>
    <t>2012-5-25</t>
  </si>
  <si>
    <t>2012-21-P-01842-U</t>
    <phoneticPr fontId="3" type="noConversion"/>
  </si>
  <si>
    <t>张晓强、贾超平</t>
    <phoneticPr fontId="3" type="noConversion"/>
  </si>
  <si>
    <t>410184198111297616、410184198306227685</t>
    <phoneticPr fontId="3" type="noConversion"/>
  </si>
  <si>
    <t>4层4单元</t>
    <phoneticPr fontId="3" type="noConversion"/>
  </si>
  <si>
    <t>2012-6-18</t>
  </si>
  <si>
    <t>2012-21-P-02447-U</t>
    <phoneticPr fontId="3" type="noConversion"/>
  </si>
  <si>
    <t>司继弘</t>
    <phoneticPr fontId="3" type="noConversion"/>
  </si>
  <si>
    <t>65280119731230392X</t>
    <phoneticPr fontId="3" type="noConversion"/>
  </si>
  <si>
    <t>1层4单元</t>
    <phoneticPr fontId="3" type="noConversion"/>
  </si>
  <si>
    <t>2012-7-18</t>
  </si>
  <si>
    <t>2011-21-P-01583-U</t>
    <phoneticPr fontId="3" type="noConversion"/>
  </si>
  <si>
    <t>刘学</t>
    <phoneticPr fontId="3" type="noConversion"/>
  </si>
  <si>
    <t>130324198802107516</t>
    <phoneticPr fontId="3" type="noConversion"/>
  </si>
  <si>
    <t>南口镇兴隆街34号</t>
    <phoneticPr fontId="3" type="noConversion"/>
  </si>
  <si>
    <t>1-2号楼</t>
    <phoneticPr fontId="3" type="noConversion"/>
  </si>
  <si>
    <t>4层2单元</t>
    <phoneticPr fontId="3" type="noConversion"/>
  </si>
  <si>
    <t>2号</t>
    <phoneticPr fontId="3" type="noConversion"/>
  </si>
  <si>
    <t>2011-10-20</t>
  </si>
  <si>
    <t>2011-21-P-02112-U</t>
    <phoneticPr fontId="3" type="noConversion"/>
  </si>
  <si>
    <t>毛柘、杜雪莲</t>
    <phoneticPr fontId="3" type="noConversion"/>
  </si>
  <si>
    <t>110105197903179035、421087198312132208</t>
    <phoneticPr fontId="3" type="noConversion"/>
  </si>
  <si>
    <t>南口镇南辛路工商宿舍楼</t>
    <phoneticPr fontId="3" type="noConversion"/>
  </si>
  <si>
    <t>2层2单元</t>
    <phoneticPr fontId="3" type="noConversion"/>
  </si>
  <si>
    <t>222号</t>
    <phoneticPr fontId="3" type="noConversion"/>
  </si>
  <si>
    <t>2011-11-29</t>
  </si>
  <si>
    <t>2011-21-P-02223-U</t>
    <phoneticPr fontId="3" type="noConversion"/>
  </si>
  <si>
    <t>袁俊</t>
    <phoneticPr fontId="3" type="noConversion"/>
  </si>
  <si>
    <t>321081198212108110</t>
    <phoneticPr fontId="3" type="noConversion"/>
  </si>
  <si>
    <t>3号</t>
    <phoneticPr fontId="3" type="noConversion"/>
  </si>
  <si>
    <t>2011-12-31</t>
  </si>
  <si>
    <t>2011-21-P-01274-U</t>
    <phoneticPr fontId="3" type="noConversion"/>
  </si>
  <si>
    <t>代双凤</t>
    <phoneticPr fontId="3" type="noConversion"/>
  </si>
  <si>
    <t>130224198004026521</t>
    <phoneticPr fontId="3" type="noConversion"/>
  </si>
  <si>
    <t>13466347632</t>
    <phoneticPr fontId="3" type="noConversion"/>
  </si>
  <si>
    <t>南口镇南大街8号（南口学校宿舍楼)</t>
    <phoneticPr fontId="3" type="noConversion"/>
  </si>
  <si>
    <t>4号</t>
    <phoneticPr fontId="3" type="noConversion"/>
  </si>
  <si>
    <t>2011-8-16</t>
  </si>
  <si>
    <t>2010-22-ZP-05722-DFU</t>
  </si>
  <si>
    <t>臧桂秀</t>
  </si>
  <si>
    <t>11010819520312544X</t>
  </si>
  <si>
    <t>13401117598</t>
  </si>
  <si>
    <t>1层3单元</t>
  </si>
  <si>
    <t>1号</t>
  </si>
  <si>
    <t>1</t>
  </si>
  <si>
    <t>2010-4-22</t>
  </si>
  <si>
    <t>2011-3-00426-RB</t>
  </si>
  <si>
    <t>冯小军</t>
  </si>
  <si>
    <t>北京市昌平区</t>
  </si>
  <si>
    <t>南口镇马坊村西二号院31号楼2层1单元123号</t>
    <phoneticPr fontId="134" type="noConversion"/>
  </si>
  <si>
    <t>2010-3-08951-RB</t>
  </si>
  <si>
    <t>刘立庆</t>
  </si>
  <si>
    <t>6（0）</t>
  </si>
  <si>
    <t>2010-3-08269-RB</t>
  </si>
  <si>
    <t>李鹏</t>
  </si>
  <si>
    <t>南口镇南大街4号楼2单元5层502号</t>
    <phoneticPr fontId="134" type="noConversion"/>
  </si>
  <si>
    <t>南口镇南农家园7号楼2单元602号</t>
    <phoneticPr fontId="134" type="noConversion"/>
  </si>
  <si>
    <t>https://map.tianditu.gov.cn/share/0d45a5ee777c4263aa6dbc9dc57ea44a</t>
    <phoneticPr fontId="134" type="noConversion"/>
  </si>
  <si>
    <t>多层板楼</t>
  </si>
  <si>
    <t>新西广街</t>
    <phoneticPr fontId="3" type="noConversion"/>
  </si>
  <si>
    <t>3/5</t>
    <phoneticPr fontId="24" type="noConversion"/>
  </si>
  <si>
    <t>4/5</t>
    <phoneticPr fontId="24" type="noConversion"/>
  </si>
  <si>
    <t>1/5</t>
    <phoneticPr fontId="24" type="noConversion"/>
  </si>
  <si>
    <t>南</t>
  </si>
  <si>
    <t>南</t>
    <phoneticPr fontId="24" type="noConversion"/>
  </si>
  <si>
    <t>普装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</si>
</sst>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10"/>
      <color rgb="FF333333"/>
      <name val="宋体"/>
      <family val="3"/>
      <charset val="134"/>
      <scheme val="minor"/>
    </font>
    <font>
      <sz val="10"/>
      <color indexed="8"/>
      <name val="Times New Roman"/>
      <family val="1"/>
    </font>
    <font>
      <sz val="12"/>
      <color indexed="8"/>
      <name val="Times New Roman"/>
      <family val="1"/>
    </font>
    <font>
      <sz val="11"/>
      <name val="宋体"/>
      <family val="2"/>
      <charset val="134"/>
      <scheme val="minor"/>
    </font>
    <font>
      <b/>
      <sz val="10"/>
      <color theme="0"/>
      <name val="宋体"/>
      <family val="3"/>
      <charset val="134"/>
    </font>
    <font>
      <b/>
      <sz val="10"/>
      <color theme="0"/>
      <name val="宋体"/>
      <family val="3"/>
      <charset val="134"/>
      <scheme val="minor"/>
    </font>
    <font>
      <b/>
      <sz val="7"/>
      <color theme="0"/>
      <name val="Microsoft YaHei"/>
      <family val="2"/>
    </font>
    <font>
      <sz val="10"/>
      <color theme="0"/>
      <name val="宋体"/>
      <family val="3"/>
      <charset val="134"/>
    </font>
    <font>
      <sz val="11"/>
      <color theme="0"/>
      <name val="宋体"/>
      <family val="3"/>
      <charset val="134"/>
      <scheme val="minor"/>
    </font>
    <font>
      <b/>
      <sz val="10"/>
      <color rgb="FFFF0000"/>
      <name val="宋体"/>
      <family val="3"/>
      <charset val="134"/>
      <scheme val="minor"/>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80" fillId="0" borderId="0" applyNumberFormat="0" applyFill="0" applyBorder="0" applyAlignment="0" applyProtection="0">
      <alignment vertical="center"/>
    </xf>
  </cellStyleXfs>
  <cellXfs count="35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83" xfId="0" applyFont="1" applyBorder="1" applyAlignment="1" applyProtection="1">
      <alignment horizontal="center" vertical="center"/>
      <protection locked="0"/>
    </xf>
    <xf numFmtId="49" fontId="44" fillId="0" borderId="44" xfId="0"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1"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9" fillId="0" borderId="1" xfId="0" applyFont="1" applyBorder="1" applyAlignment="1"/>
    <xf numFmtId="196" fontId="19" fillId="0" borderId="1" xfId="0" applyNumberFormat="1" applyFont="1" applyBorder="1" applyAlignment="1"/>
    <xf numFmtId="0" fontId="0" fillId="0" borderId="0" xfId="0" applyAlignment="1">
      <alignment horizontal="center" vertical="center"/>
    </xf>
    <xf numFmtId="0" fontId="269" fillId="0" borderId="0" xfId="0" applyFont="1">
      <alignment vertical="center"/>
    </xf>
    <xf numFmtId="0" fontId="270" fillId="0" borderId="1" xfId="0" applyFont="1" applyBorder="1" applyAlignment="1">
      <alignment horizontal="center" vertical="center"/>
    </xf>
    <xf numFmtId="0" fontId="112" fillId="0" borderId="1" xfId="0" applyFont="1" applyBorder="1" applyAlignment="1">
      <alignment horizontal="center" vertical="center"/>
    </xf>
    <xf numFmtId="196" fontId="270" fillId="0" borderId="1" xfId="0" applyNumberFormat="1" applyFont="1" applyBorder="1" applyAlignment="1">
      <alignment horizontal="center" vertical="center"/>
    </xf>
    <xf numFmtId="49" fontId="19" fillId="0" borderId="1" xfId="0" applyNumberFormat="1" applyFont="1" applyBorder="1" applyAlignment="1"/>
    <xf numFmtId="0" fontId="273" fillId="0" borderId="0" xfId="0" applyFont="1">
      <alignment vertical="center"/>
    </xf>
    <xf numFmtId="196" fontId="19" fillId="0" borderId="1" xfId="0" applyNumberFormat="1" applyFont="1" applyBorder="1" applyAlignment="1" applyProtection="1">
      <protection locked="0"/>
    </xf>
    <xf numFmtId="0" fontId="19" fillId="0" borderId="0" xfId="0" applyFont="1" applyAlignment="1"/>
    <xf numFmtId="49" fontId="19" fillId="0" borderId="0" xfId="0" applyNumberFormat="1" applyFont="1" applyAlignment="1"/>
    <xf numFmtId="196" fontId="19" fillId="0" borderId="0" xfId="0" applyNumberFormat="1" applyFont="1" applyAlignment="1" applyProtection="1">
      <protection locked="0"/>
    </xf>
    <xf numFmtId="196" fontId="19" fillId="0" borderId="1" xfId="0" applyNumberFormat="1" applyFont="1" applyBorder="1" applyProtection="1">
      <alignment vertical="center"/>
      <protection locked="0"/>
    </xf>
    <xf numFmtId="0" fontId="19" fillId="0" borderId="1" xfId="0" applyFont="1" applyBorder="1" applyAlignment="1">
      <alignment horizontal="left" vertical="center"/>
    </xf>
    <xf numFmtId="0" fontId="19" fillId="0" borderId="1" xfId="0" applyFont="1" applyBorder="1">
      <alignment vertical="center"/>
    </xf>
    <xf numFmtId="49" fontId="19" fillId="0" borderId="1" xfId="0" applyNumberFormat="1" applyFont="1" applyBorder="1">
      <alignment vertical="center"/>
    </xf>
    <xf numFmtId="0" fontId="19" fillId="0" borderId="1" xfId="0" applyFont="1" applyBorder="1" applyAlignment="1">
      <alignment horizontal="right" vertical="center"/>
    </xf>
    <xf numFmtId="196" fontId="19" fillId="0" borderId="1" xfId="0" applyNumberFormat="1" applyFont="1" applyBorder="1">
      <alignment vertical="center"/>
    </xf>
    <xf numFmtId="49" fontId="19" fillId="0" borderId="1" xfId="0" applyNumberFormat="1" applyFont="1" applyBorder="1" applyAlignment="1">
      <alignment horizontal="left" vertical="center"/>
    </xf>
    <xf numFmtId="0" fontId="19" fillId="0" borderId="1" xfId="0" quotePrefix="1" applyFont="1" applyBorder="1">
      <alignment vertical="center"/>
    </xf>
    <xf numFmtId="179" fontId="19" fillId="0" borderId="1" xfId="0" applyNumberFormat="1" applyFont="1" applyBorder="1" applyAlignment="1">
      <alignment horizontal="right" vertical="center"/>
    </xf>
    <xf numFmtId="49" fontId="19" fillId="0" borderId="1" xfId="0" applyNumberFormat="1" applyFont="1" applyBorder="1" applyAlignment="1">
      <alignment horizontal="center" vertical="center"/>
    </xf>
    <xf numFmtId="58" fontId="19" fillId="0" borderId="1" xfId="0" applyNumberFormat="1" applyFont="1" applyBorder="1">
      <alignment vertical="center"/>
    </xf>
    <xf numFmtId="177" fontId="19" fillId="0" borderId="1" xfId="0" quotePrefix="1" applyNumberFormat="1" applyFont="1" applyBorder="1" applyAlignment="1">
      <alignment horizontal="left" vertical="center"/>
    </xf>
    <xf numFmtId="196" fontId="19" fillId="0" borderId="1" xfId="0" applyNumberFormat="1" applyFont="1" applyBorder="1" applyAlignment="1">
      <alignment horizontal="left" vertical="center"/>
    </xf>
    <xf numFmtId="0" fontId="19" fillId="0" borderId="1" xfId="0" applyFont="1" applyBorder="1" applyAlignment="1">
      <alignment horizontal="center" vertical="center"/>
    </xf>
    <xf numFmtId="49" fontId="19" fillId="0" borderId="1" xfId="0" applyNumberFormat="1" applyFont="1" applyBorder="1" applyAlignment="1">
      <alignment horizontal="right" vertical="center"/>
    </xf>
    <xf numFmtId="0" fontId="274" fillId="22" borderId="1" xfId="0" applyFont="1" applyFill="1" applyBorder="1" applyAlignment="1" applyProtection="1">
      <alignment horizontal="center"/>
      <protection locked="0"/>
    </xf>
    <xf numFmtId="49" fontId="274" fillId="22" borderId="1" xfId="0" applyNumberFormat="1" applyFont="1" applyFill="1" applyBorder="1" applyAlignment="1" applyProtection="1">
      <alignment horizontal="center"/>
      <protection locked="0"/>
    </xf>
    <xf numFmtId="0" fontId="275" fillId="22" borderId="1" xfId="0" applyFont="1" applyFill="1" applyBorder="1" applyAlignment="1">
      <alignment horizontal="center" vertical="center"/>
    </xf>
    <xf numFmtId="0" fontId="276" fillId="22" borderId="1" xfId="0" applyFont="1" applyFill="1" applyBorder="1">
      <alignment vertical="center"/>
    </xf>
    <xf numFmtId="196" fontId="277" fillId="22" borderId="1" xfId="0" applyNumberFormat="1" applyFont="1" applyFill="1" applyBorder="1" applyProtection="1">
      <alignment vertical="center"/>
      <protection locked="0"/>
    </xf>
    <xf numFmtId="196" fontId="275" fillId="22" borderId="1" xfId="0" applyNumberFormat="1" applyFont="1" applyFill="1" applyBorder="1" applyAlignment="1">
      <alignment horizontal="center" vertical="center"/>
    </xf>
    <xf numFmtId="0" fontId="278" fillId="0" borderId="0" xfId="0" applyFont="1">
      <alignment vertical="center"/>
    </xf>
    <xf numFmtId="0" fontId="279" fillId="22" borderId="1" xfId="0" applyFont="1" applyFill="1" applyBorder="1" applyAlignment="1">
      <alignment horizontal="center" vertical="center"/>
    </xf>
    <xf numFmtId="0" fontId="280" fillId="0" borderId="0" xfId="19">
      <alignment vertical="center"/>
    </xf>
    <xf numFmtId="0" fontId="19" fillId="5" borderId="1" xfId="0" applyFont="1" applyFill="1" applyBorder="1" applyAlignment="1"/>
    <xf numFmtId="49" fontId="19" fillId="5" borderId="1" xfId="0" applyNumberFormat="1" applyFont="1" applyFill="1" applyBorder="1" applyAlignment="1"/>
    <xf numFmtId="0" fontId="0" fillId="5" borderId="0" xfId="0" applyFill="1">
      <alignment vertical="center"/>
    </xf>
    <xf numFmtId="0" fontId="269" fillId="5" borderId="0" xfId="0" applyFont="1" applyFill="1">
      <alignment vertical="center"/>
    </xf>
    <xf numFmtId="196" fontId="19" fillId="5" borderId="1" xfId="0" applyNumberFormat="1" applyFont="1" applyFill="1" applyBorder="1" applyAlignment="1"/>
    <xf numFmtId="0" fontId="19" fillId="5" borderId="1" xfId="0" applyFont="1" applyFill="1" applyBorder="1" applyAlignment="1">
      <alignment horizontal="left"/>
    </xf>
    <xf numFmtId="196" fontId="19" fillId="5" borderId="1" xfId="0" applyNumberFormat="1" applyFont="1" applyFill="1" applyBorder="1" applyAlignment="1">
      <alignment horizontal="left"/>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25-1-0880&#9319;&#35199;&#24191;&#34903;12&#21495;&#27004;\8.&#27979;&#31639;&#8212;&#8212;02&#22522;&#20934;&#22320;&#20215;-&#35199;&#24191;&#34903;.xlsx" TargetMode="External"/><Relationship Id="rId1" Type="http://schemas.openxmlformats.org/officeDocument/2006/relationships/externalLinkPath" Target="8.&#27979;&#31639;&#8212;&#8212;02&#22522;&#20934;&#22320;&#20215;-&#35199;&#24191;&#349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212943</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hyperlink" Target="https://map.tianditu.gov.cn/share/0d45a5ee777c4263aa6dbc9dc57ea44a" TargetMode="Externa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估价对象为北京市房地产，为所有。根据《国有土地使用证》[]，估价对象（分摊）出让国有建设用地使用权面积为0平方米，建筑面积为55.92平方米。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估价对象为北京市房地产,属开发建设的，该项目尚在开发建设中。根据《国有土地使用证》[]，估价对象（分摊）出让国有建设用地使用权面积为0平方米，规划建筑面积为55.92平方米。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2012年7月16日</v>
      </c>
    </row>
    <row r="13" spans="1:2">
      <c r="A13" s="1118" t="s">
        <v>529</v>
      </c>
      <c r="B13" s="1119" t="str">
        <f>'预评函-1'!A18</f>
        <v>本次估价的“房地产价值”是指在正常市场情况下，在价值时点2012年7月16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55.92</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3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2012年7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8"/>
      <c r="B54" s="1446" t="s">
        <v>385</v>
      </c>
      <c r="C54" s="1444" t="s">
        <v>583</v>
      </c>
    </row>
    <row r="55" spans="1:4">
      <c r="A55" s="3238"/>
      <c r="B55" s="1446" t="s">
        <v>386</v>
      </c>
      <c r="C55" s="1444" t="s">
        <v>584</v>
      </c>
    </row>
    <row r="56" spans="1:4">
      <c r="A56" s="3238"/>
      <c r="B56" s="1446" t="s">
        <v>387</v>
      </c>
      <c r="C56" s="1444" t="s">
        <v>588</v>
      </c>
    </row>
    <row r="57" spans="1:4">
      <c r="A57" s="323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39" t="s">
        <v>2582</v>
      </c>
      <c r="J2" s="3239"/>
      <c r="K2" s="3239"/>
      <c r="L2" s="3239"/>
      <c r="M2" s="3239"/>
      <c r="N2" s="3239"/>
      <c r="O2" s="3239"/>
      <c r="P2" s="3239"/>
      <c r="Q2" s="3239"/>
      <c r="R2" s="3239"/>
    </row>
    <row r="3" spans="1:18">
      <c r="A3" s="2760" t="s">
        <v>2503</v>
      </c>
      <c r="B3" s="2761">
        <f>项目基本情况!D3</f>
        <v>41106</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14.43</v>
      </c>
      <c r="D5" s="2765">
        <f>IF(ISERROR(ROUND(POWER(1+E5,A5-C5)*(POWER(1+E5,C5)-1)/(POWER(1+E5,A5)-1),3)),0,ROUND(POWER(1+E5,A5-C5)*(POWER(1+E5,C5)-1)/(POWER(1+E5,A5)-1),4))</f>
        <v>0.54590000000000005</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24.44</v>
      </c>
      <c r="D6" s="2765">
        <f>IF(ISERROR(ROUND(POWER(1+E6,A6-C6)*(POWER(1+E6,C6)-1)/(POWER(1+E6,A6)-1),3)),0,ROUND(POWER(1+E6,A6-C6)*(POWER(1+E6,C6)-1)/(POWER(1+E6,A6)-1),4))</f>
        <v>0.71750000000000003</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44.45</v>
      </c>
      <c r="D7" s="2765">
        <f>IF(ISERROR(ROUND(POWER(1+E7,A7-C7)*(POWER(1+E7,C7)-1)/(POWER(1+E7,A7)-1),3)),0,ROUND(POWER(1+E7,A7-C7)*(POWER(1+E7,C7)-1)/(POWER(1+E7,A7)-1),4))</f>
        <v>0.88170000000000004</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K29" sqref="K29"/>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40" t="str">
        <f>IF(B10="北京市","北京市",C10)&amp;F10&amp;IF(结果表!G1="在建","出让国有建设用地使用权及在建建筑物",IF(结果表!G1="土地","出让国有建设用地使用权",))&amp;B9&amp;"预评估"</f>
        <v>北京市房地产市场价值预评估</v>
      </c>
      <c r="C1" s="3241"/>
      <c r="D1" s="3241"/>
      <c r="E1" s="3241"/>
      <c r="F1" s="3241"/>
      <c r="G1" s="3241"/>
      <c r="H1" s="3241"/>
      <c r="I1" s="3242"/>
      <c r="J1" s="2242"/>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5"/>
      <c r="E2" s="2438"/>
      <c r="F2" s="2438"/>
      <c r="G2" s="2439"/>
      <c r="H2" s="2439"/>
      <c r="I2" s="2439"/>
      <c r="J2" s="2242"/>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c r="C3" s="2184" t="s">
        <v>2171</v>
      </c>
      <c r="D3" s="2183">
        <v>41106</v>
      </c>
      <c r="E3" s="2439"/>
      <c r="F3" s="2439"/>
      <c r="G3" s="2439"/>
      <c r="H3" s="2439"/>
      <c r="I3" s="2439"/>
      <c r="J3" s="2242"/>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3385</v>
      </c>
      <c r="C8" s="2199"/>
      <c r="D8" s="3243" t="s">
        <v>2177</v>
      </c>
      <c r="E8" s="2200"/>
      <c r="F8" s="2201"/>
      <c r="G8" s="2439"/>
      <c r="H8" s="2439"/>
      <c r="I8" s="2439"/>
      <c r="J8" s="2242"/>
      <c r="K8" s="2397"/>
      <c r="L8" s="2396"/>
      <c r="M8" s="2396"/>
      <c r="N8" s="2242"/>
      <c r="O8" s="1669"/>
      <c r="P8" s="2242"/>
      <c r="Q8" s="2242"/>
      <c r="R8" s="2242"/>
    </row>
    <row r="9" spans="1:30" ht="13.5" thickBot="1">
      <c r="A9" s="2202" t="s">
        <v>2178</v>
      </c>
      <c r="B9" s="2203" t="s">
        <v>3386</v>
      </c>
      <c r="C9" s="2204"/>
      <c r="D9" s="3244"/>
      <c r="E9" s="2203"/>
      <c r="F9" s="2205"/>
      <c r="G9" s="2440"/>
      <c r="H9" s="2440"/>
      <c r="I9" s="2440"/>
      <c r="J9" s="2242"/>
      <c r="K9" s="2399"/>
      <c r="L9" s="2396"/>
      <c r="M9" s="2396"/>
      <c r="N9" s="2242"/>
      <c r="O9" s="1669"/>
      <c r="P9" s="2242"/>
      <c r="Q9" s="2242"/>
      <c r="R9" s="2242"/>
    </row>
    <row r="10" spans="1:30" ht="13.5" thickTop="1">
      <c r="A10" s="2206" t="s">
        <v>2179</v>
      </c>
      <c r="B10" s="2207" t="s">
        <v>3387</v>
      </c>
      <c r="C10" s="3148"/>
      <c r="D10" s="2191"/>
      <c r="E10" s="2208" t="s">
        <v>2180</v>
      </c>
      <c r="F10" s="2441"/>
      <c r="G10" s="2442"/>
      <c r="H10" s="2443"/>
      <c r="I10" s="2444"/>
      <c r="J10" s="2242"/>
      <c r="K10" s="2399"/>
      <c r="L10" s="2396"/>
      <c r="M10" s="2396"/>
      <c r="N10" s="2242"/>
      <c r="O10" s="1669"/>
      <c r="P10" s="2242"/>
      <c r="Q10" s="2242"/>
      <c r="R10" s="2242"/>
    </row>
    <row r="11" spans="1:30">
      <c r="A11" s="2209" t="s">
        <v>2181</v>
      </c>
      <c r="B11" s="2210" t="s">
        <v>3388</v>
      </c>
      <c r="C11" s="2211"/>
      <c r="D11" s="2212"/>
      <c r="E11" s="2180"/>
      <c r="F11" s="2180"/>
      <c r="G11" s="2180"/>
      <c r="H11" s="2180"/>
      <c r="I11" s="2180"/>
      <c r="J11" s="2799"/>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2578</v>
      </c>
      <c r="J12" s="2800"/>
      <c r="K12" s="2396"/>
      <c r="L12" s="2396"/>
      <c r="M12" s="2242"/>
      <c r="N12" s="1669"/>
      <c r="O12" s="2242"/>
      <c r="P12" s="2242"/>
      <c r="Q12" s="2242"/>
      <c r="AD12" s="1617"/>
    </row>
    <row r="13" spans="1:30">
      <c r="A13" s="3119" t="s">
        <v>3334</v>
      </c>
      <c r="B13" s="2215" t="s">
        <v>2190</v>
      </c>
      <c r="C13" s="803">
        <v>67165</v>
      </c>
      <c r="D13" s="803"/>
      <c r="E13" s="803"/>
      <c r="F13" s="803"/>
      <c r="G13" s="803"/>
      <c r="H13" s="803"/>
      <c r="I13" s="803"/>
      <c r="J13" s="2800"/>
      <c r="K13" s="2396"/>
      <c r="L13" s="2396"/>
      <c r="M13" s="2242"/>
      <c r="N13" s="1669"/>
      <c r="O13" s="2242"/>
      <c r="P13" s="2242"/>
      <c r="Q13" s="2242"/>
      <c r="AD13" s="1617"/>
    </row>
    <row r="14" spans="1:30">
      <c r="A14" s="1018"/>
      <c r="B14" s="2215" t="s">
        <v>2191</v>
      </c>
      <c r="C14" s="2216">
        <v>70</v>
      </c>
      <c r="D14" s="2216"/>
      <c r="E14" s="2216"/>
      <c r="F14" s="2216"/>
      <c r="G14" s="2216"/>
      <c r="H14" s="2216"/>
      <c r="I14" s="2216"/>
      <c r="J14" s="2801"/>
      <c r="K14" s="2396"/>
      <c r="L14" s="2396"/>
      <c r="M14" s="2242"/>
      <c r="N14" s="1669"/>
      <c r="O14" s="2242"/>
      <c r="P14" s="2242"/>
      <c r="Q14" s="2242"/>
      <c r="AD14" s="1617"/>
    </row>
    <row r="15" spans="1:30">
      <c r="A15" s="312"/>
      <c r="B15" s="2217" t="s">
        <v>2192</v>
      </c>
      <c r="C15" s="2218">
        <f>IF(A13="出让",IF(C13="","",ROUNDDOWN(MIN((C13-$D$3)/365,C14),2)),C14)</f>
        <v>70</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9"/>
      <c r="L15" s="1669"/>
      <c r="M15" s="2242"/>
      <c r="N15" s="1669"/>
      <c r="O15" s="2242"/>
      <c r="P15" s="2242"/>
      <c r="Q15" s="2242"/>
      <c r="AD15" s="1617"/>
    </row>
    <row r="16" spans="1:30">
      <c r="A16" s="2208" t="s">
        <v>2193</v>
      </c>
      <c r="B16" s="3250"/>
      <c r="C16" s="3251"/>
      <c r="D16" s="3252"/>
      <c r="E16" s="2219" t="s">
        <v>2194</v>
      </c>
      <c r="F16" s="3253"/>
      <c r="G16" s="3254"/>
      <c r="H16" s="3254"/>
      <c r="I16" s="3255"/>
      <c r="J16" s="2242"/>
      <c r="K16" s="2400"/>
      <c r="L16" s="1669"/>
      <c r="M16" s="1669"/>
      <c r="N16" s="2242"/>
      <c r="O16" s="1669"/>
      <c r="P16" s="2242"/>
      <c r="Q16" s="2242"/>
      <c r="R16" s="2242"/>
    </row>
    <row r="17" spans="1:28">
      <c r="A17" s="305" t="s">
        <v>2195</v>
      </c>
      <c r="B17" s="294" t="s">
        <v>2196</v>
      </c>
      <c r="C17" s="8">
        <f>'数据-汇总表'!E3</f>
        <v>55.92</v>
      </c>
      <c r="D17" s="1255" t="s">
        <v>2197</v>
      </c>
      <c r="E17" s="3256" t="s">
        <v>2198</v>
      </c>
      <c r="F17" s="3257"/>
      <c r="G17" s="3257"/>
      <c r="H17" s="3257"/>
      <c r="I17" s="3258"/>
      <c r="J17" s="2242"/>
      <c r="K17" s="2401"/>
      <c r="L17" s="1669"/>
      <c r="M17" s="1669"/>
      <c r="N17" s="2242"/>
      <c r="O17" s="1669"/>
      <c r="P17" s="2242"/>
      <c r="Q17" s="2242"/>
      <c r="R17" s="2242"/>
      <c r="S17" s="2242"/>
      <c r="T17" s="2242"/>
      <c r="U17" s="2242"/>
      <c r="V17" s="2242"/>
    </row>
    <row r="18" spans="1:28" ht="24.75" thickBot="1">
      <c r="A18" s="2220" t="s">
        <v>2199</v>
      </c>
      <c r="B18" s="1027" t="s">
        <v>2200</v>
      </c>
      <c r="C18" s="2221">
        <f>'数据-汇总表'!D3</f>
        <v>0</v>
      </c>
      <c r="D18" s="1029" t="s">
        <v>2201</v>
      </c>
      <c r="E18" s="3259" t="s">
        <v>2202</v>
      </c>
      <c r="F18" s="3260"/>
      <c r="G18" s="3260"/>
      <c r="H18" s="3260"/>
      <c r="I18" s="3261"/>
      <c r="J18" s="2242"/>
      <c r="K18" s="2401"/>
      <c r="L18" s="1669"/>
      <c r="M18" s="1669"/>
      <c r="N18" s="2242"/>
      <c r="O18" s="1669"/>
      <c r="P18" s="2242"/>
      <c r="Q18" s="2242"/>
      <c r="R18" s="2242"/>
      <c r="S18" s="2242"/>
      <c r="T18" s="2242"/>
      <c r="U18" s="2242"/>
      <c r="V18" s="2242"/>
    </row>
    <row r="19" spans="1:28" ht="37.5" thickTop="1" thickBot="1">
      <c r="A19" s="319" t="s">
        <v>1055</v>
      </c>
      <c r="B19" s="299" t="s">
        <v>2203</v>
      </c>
      <c r="C19" s="1454"/>
      <c r="D19" s="1455" t="s">
        <v>2204</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2205</v>
      </c>
      <c r="B20" s="3246" t="s">
        <v>2206</v>
      </c>
      <c r="C20" s="3247"/>
      <c r="D20" s="3248" t="s">
        <v>2207</v>
      </c>
      <c r="E20" s="3249"/>
      <c r="F20" s="2427" t="s">
        <v>1056</v>
      </c>
      <c r="G20" s="2439"/>
      <c r="H20" s="2439"/>
      <c r="I20" s="2439"/>
      <c r="J20" s="2242"/>
      <c r="K20" s="324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24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24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63" t="s">
        <v>2214</v>
      </c>
      <c r="B27" s="312" t="s">
        <v>2215</v>
      </c>
      <c r="C27" s="2222"/>
      <c r="D27" s="2223"/>
      <c r="E27" s="2439"/>
      <c r="F27" s="2439"/>
      <c r="G27" s="2439"/>
      <c r="H27" s="2439"/>
      <c r="I27" s="2439"/>
      <c r="J27" s="2242"/>
      <c r="K27" s="2400"/>
      <c r="L27" s="1669"/>
      <c r="M27" s="1669"/>
      <c r="N27" s="2242"/>
      <c r="O27" s="1669"/>
      <c r="P27" s="2242"/>
      <c r="Q27" s="2242"/>
      <c r="R27" s="2242"/>
      <c r="S27" s="2242"/>
      <c r="T27" s="2242"/>
      <c r="U27" s="2242"/>
      <c r="V27" s="2242"/>
    </row>
    <row r="28" spans="1:28">
      <c r="A28" s="3263"/>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63"/>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64"/>
      <c r="B30" s="294" t="s">
        <v>2218</v>
      </c>
      <c r="C30" s="3265"/>
      <c r="D30" s="3266"/>
      <c r="E30" s="2439"/>
      <c r="F30" s="2439"/>
      <c r="G30" s="2439"/>
      <c r="H30" s="2439"/>
      <c r="I30" s="2439"/>
      <c r="J30" s="2242"/>
      <c r="K30" s="2399"/>
      <c r="L30" s="2396"/>
      <c r="M30" s="2396"/>
      <c r="N30" s="2242"/>
      <c r="O30" s="1669"/>
      <c r="P30" s="2242"/>
      <c r="Q30" s="2242"/>
      <c r="R30" s="2242"/>
      <c r="S30" s="2242"/>
      <c r="T30" s="2242"/>
      <c r="U30" s="2242"/>
      <c r="V30" s="2242"/>
    </row>
    <row r="31" spans="1:28">
      <c r="A31" s="3267" t="s">
        <v>2219</v>
      </c>
      <c r="B31" s="2228"/>
      <c r="C31" s="12" t="str">
        <f>IF(B31="现房","成新及维护状况正常否",IF(B31="在建","工程状态是否正常",IF(B31="土地","是否闲置","-")))</f>
        <v>-</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68"/>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68"/>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8"/>
      <c r="C34" s="1868"/>
      <c r="D34" s="1868"/>
      <c r="E34" s="1868"/>
      <c r="F34" s="1868"/>
      <c r="G34" s="1868"/>
      <c r="H34" s="1868"/>
      <c r="I34" s="2439"/>
      <c r="J34" s="2242"/>
      <c r="K34" s="8">
        <f>COUNTIF(B34:H34,"——")</f>
        <v>0</v>
      </c>
      <c r="L34" s="315" t="s">
        <v>2221</v>
      </c>
      <c r="M34" s="315" t="s">
        <v>2222</v>
      </c>
      <c r="N34" s="315" t="s">
        <v>2223</v>
      </c>
      <c r="O34" s="315" t="s">
        <v>2224</v>
      </c>
      <c r="P34" s="315" t="s">
        <v>2225</v>
      </c>
      <c r="Q34" s="315" t="s">
        <v>2226</v>
      </c>
      <c r="R34" s="315" t="s">
        <v>2227</v>
      </c>
      <c r="S34" s="3262" t="s">
        <v>2228</v>
      </c>
      <c r="T34" s="315" t="str">
        <f>NUMBERSTRING(7-K34,1)&amp;"通"</f>
        <v>七通</v>
      </c>
      <c r="U34" s="2242"/>
      <c r="V34" s="2242"/>
    </row>
    <row r="35" spans="1:30">
      <c r="A35" s="2233"/>
      <c r="B35" s="3262" t="s">
        <v>2229</v>
      </c>
      <c r="C35" s="3262"/>
      <c r="D35" s="3262"/>
      <c r="E35" s="3262"/>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2"/>
      <c r="T35" s="138" t="str">
        <f>IF(T34="一通",L35,IF(T34="二通",M35,IF(T34="三通",N35,IF(T34="四通",O35,IF(T34="五通",P35,IF(T34="六通",Q35,R35))))))</f>
        <v>、、、、、、</v>
      </c>
      <c r="U35" s="2242"/>
      <c r="V35" s="2242"/>
    </row>
    <row r="36" spans="1:30">
      <c r="A36" s="2181"/>
      <c r="B36" s="8" t="s">
        <v>2185</v>
      </c>
      <c r="C36" s="8" t="s">
        <v>2186</v>
      </c>
      <c r="D36" s="8" t="s">
        <v>2184</v>
      </c>
      <c r="E36" s="8" t="s">
        <v>2189</v>
      </c>
      <c r="F36" s="2798" t="s">
        <v>2581</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2"/>
      <c r="K40" s="2398"/>
      <c r="L40" s="1669"/>
      <c r="M40" s="1669"/>
      <c r="N40" s="2242"/>
      <c r="O40" s="1669"/>
      <c r="P40" s="2242"/>
      <c r="Q40" s="2242"/>
      <c r="R40" s="2242"/>
      <c r="S40" s="2242"/>
      <c r="T40" s="2242"/>
      <c r="U40" s="2242"/>
      <c r="V40" s="2242"/>
    </row>
    <row r="41" spans="1:30">
      <c r="A41" s="2239" t="s">
        <v>2233</v>
      </c>
      <c r="B41" s="1626"/>
      <c r="C41" s="1280"/>
      <c r="D41" s="2180"/>
      <c r="E41" s="2180"/>
      <c r="F41" s="2180"/>
      <c r="G41" s="2180"/>
      <c r="H41" s="2180"/>
      <c r="I41" s="1465"/>
      <c r="J41" s="2242"/>
      <c r="K41" s="2399"/>
      <c r="L41" s="2396"/>
      <c r="M41" s="2396"/>
      <c r="N41" s="2242"/>
      <c r="O41" s="1669"/>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55.92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55.92</v>
      </c>
      <c r="H5" s="13">
        <f t="shared" ref="H5:AT5" si="0">SUM(H13:H656)</f>
        <v>55.92</v>
      </c>
      <c r="I5" s="13">
        <f t="shared" si="0"/>
        <v>55.92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55.92</v>
      </c>
      <c r="BA5" s="15">
        <f t="shared" si="1"/>
        <v>55.92</v>
      </c>
      <c r="BB5" s="15">
        <f t="shared" si="1"/>
        <v>55.92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3390</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3392</v>
      </c>
      <c r="E13" s="13">
        <f>IF($C$3="是",ROUND($A$3*G13/$B$3,2),ROUND($A$3*(G13-AT13)/$B$3,2))</f>
        <v>0</v>
      </c>
      <c r="F13" s="29"/>
      <c r="G13" s="30">
        <f>H13+AC13+AT13</f>
        <v>55.92</v>
      </c>
      <c r="H13" s="17">
        <f>SUMIF(I$12:AB$12,"总值",I13:AB13)</f>
        <v>55.92</v>
      </c>
      <c r="I13" s="1513">
        <v>55.92</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55.92</v>
      </c>
      <c r="BA13" s="13">
        <f>SUM(BB13:BK13)</f>
        <v>55.92</v>
      </c>
      <c r="BB13" s="13">
        <f>IF($D13="是",I13-J13,0)</f>
        <v>55.92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78" t="s">
        <v>1131</v>
      </c>
      <c r="B2" s="3278"/>
      <c r="C2" s="3278"/>
      <c r="D2" s="748" t="s">
        <v>1107</v>
      </c>
      <c r="E2" s="1522" t="s">
        <v>1108</v>
      </c>
      <c r="F2" s="2436"/>
      <c r="G2" s="2429"/>
      <c r="H2" s="2430"/>
      <c r="I2" s="2144" t="s">
        <v>1132</v>
      </c>
      <c r="J2" s="2436"/>
      <c r="K2" s="2436"/>
      <c r="L2" s="2436"/>
      <c r="M2" s="2436"/>
      <c r="N2" s="2437"/>
      <c r="O2" s="2436"/>
      <c r="P2" s="2436"/>
    </row>
    <row r="3" spans="1:16" ht="15.75" thickBot="1">
      <c r="A3" s="3279" t="s">
        <v>1105</v>
      </c>
      <c r="B3" s="3279"/>
      <c r="C3" s="3279"/>
      <c r="D3" s="41">
        <f>'数据-基础表'!AY6</f>
        <v>0</v>
      </c>
      <c r="E3" s="41">
        <f>'数据-基础表'!AZ5</f>
        <v>55.92</v>
      </c>
      <c r="F3" s="2436"/>
      <c r="G3" s="42"/>
      <c r="H3" s="43" t="s">
        <v>1106</v>
      </c>
      <c r="I3" s="802" t="e">
        <f>ROUND('数据-基础表'!B3/'数据-基础表'!A3,2)</f>
        <v>#DIV/0!</v>
      </c>
      <c r="J3" s="2436"/>
      <c r="K3" s="2436"/>
      <c r="L3" s="2436"/>
      <c r="M3" s="2436"/>
      <c r="N3" s="2437"/>
      <c r="O3" s="2436"/>
      <c r="P3" s="2436"/>
    </row>
    <row r="4" spans="1:16" ht="15">
      <c r="A4" s="3280"/>
      <c r="B4" s="3281"/>
      <c r="C4" s="3282"/>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83" t="s">
        <v>1110</v>
      </c>
      <c r="C5" s="3283"/>
      <c r="D5" s="43">
        <f>ROUND($D$3*E5/$E$3,2)</f>
        <v>0</v>
      </c>
      <c r="E5" s="44">
        <f>SUMIF('数据-基础表'!$11:$11,"住宅",'数据-基础表'!$5:$5)</f>
        <v>55.92</v>
      </c>
      <c r="F5" s="2436"/>
      <c r="G5" s="42"/>
      <c r="H5" s="43" t="s">
        <v>1106</v>
      </c>
      <c r="I5" s="802" t="e">
        <f>ROUND(E31/D31,2)</f>
        <v>#DIV/0!</v>
      </c>
      <c r="J5" s="2436"/>
      <c r="K5" s="2436"/>
      <c r="L5" s="2436"/>
      <c r="M5" s="2436"/>
      <c r="N5" s="2436"/>
      <c r="O5" s="2436"/>
      <c r="P5" s="2436"/>
    </row>
    <row r="6" spans="1:16" ht="15" thickBot="1">
      <c r="A6" s="1526"/>
      <c r="B6" s="3283" t="s">
        <v>1111</v>
      </c>
      <c r="C6" s="3283"/>
      <c r="D6" s="43">
        <f>ROUND($D$3*E6/$E$3,2)</f>
        <v>0</v>
      </c>
      <c r="E6" s="44">
        <f>E3-E5</f>
        <v>0</v>
      </c>
      <c r="F6" s="2436"/>
      <c r="G6" s="1528" t="s">
        <v>1112</v>
      </c>
      <c r="H6" s="45" t="s">
        <v>1113</v>
      </c>
      <c r="I6" s="2432" t="e">
        <f>ROUND(F31/D31,2)</f>
        <v>#DIV/0!</v>
      </c>
      <c r="J6" s="2436"/>
      <c r="K6" s="2436"/>
      <c r="L6" s="2436"/>
      <c r="M6" s="2436"/>
      <c r="N6" s="2436"/>
      <c r="O6" s="2436"/>
      <c r="P6" s="2436"/>
    </row>
    <row r="7" spans="1:16" ht="15.75" thickBot="1">
      <c r="A7" s="3275"/>
      <c r="B7" s="3276"/>
      <c r="C7" s="3277"/>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55.92</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55.92</v>
      </c>
      <c r="F16" s="2436"/>
      <c r="G16" s="2436"/>
      <c r="H16" s="1530" t="s">
        <v>1135</v>
      </c>
      <c r="I16" s="1531"/>
      <c r="J16" s="1071"/>
      <c r="K16" s="3272" t="s">
        <v>1135</v>
      </c>
      <c r="L16" s="3273"/>
      <c r="M16" s="3273"/>
      <c r="N16" s="3273"/>
      <c r="O16" s="3273"/>
      <c r="P16" s="3274"/>
    </row>
    <row r="17" spans="1:19" ht="15">
      <c r="A17" s="1532" t="s">
        <v>1136</v>
      </c>
      <c r="B17" s="1533" t="s">
        <v>1137</v>
      </c>
      <c r="C17" s="1534" t="s">
        <v>1138</v>
      </c>
      <c r="D17" s="1535" t="s">
        <v>1126</v>
      </c>
      <c r="E17" s="1536" t="s">
        <v>1127</v>
      </c>
      <c r="F17" s="1537"/>
      <c r="G17" s="1538"/>
      <c r="H17" s="1539" t="s">
        <v>1139</v>
      </c>
      <c r="I17" s="1540" t="s">
        <v>1124</v>
      </c>
      <c r="J17" s="1071"/>
      <c r="K17" s="3269" t="s">
        <v>1140</v>
      </c>
      <c r="L17" s="3270"/>
      <c r="M17" s="3271"/>
      <c r="N17" s="3269" t="s">
        <v>1141</v>
      </c>
      <c r="O17" s="3270"/>
      <c r="P17" s="3271"/>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3391</v>
      </c>
      <c r="D19" s="43">
        <f>ROUND($D$3*E19/$E$3,2)</f>
        <v>0</v>
      </c>
      <c r="E19" s="51">
        <f t="shared" ref="E19:E26" si="1">SUM(F19:G19)</f>
        <v>55.92</v>
      </c>
      <c r="F19" s="2555">
        <f>'数据-基础表'!I13</f>
        <v>55.92</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55.92</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55.92</v>
      </c>
      <c r="F27" s="1072">
        <f>IF(SUM(F19:F26)=E8,SUM(F19:F26),"地上面积有误")</f>
        <v>55.92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55.92</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6"/>
      <c r="B31" s="96"/>
      <c r="C31" s="785" t="s">
        <v>1158</v>
      </c>
      <c r="D31" s="643">
        <f>D27+D30</f>
        <v>0</v>
      </c>
      <c r="E31" s="643">
        <f>E27+E30</f>
        <v>55.92</v>
      </c>
      <c r="F31" s="644">
        <f>F27+F30</f>
        <v>55.92</v>
      </c>
      <c r="G31" s="645">
        <f>G27+G30</f>
        <v>0</v>
      </c>
      <c r="H31" s="2436"/>
      <c r="I31" s="2436"/>
      <c r="J31" s="2436"/>
      <c r="K31" s="2436"/>
      <c r="L31" s="2436"/>
      <c r="M31" s="2436"/>
      <c r="N31" s="2436"/>
      <c r="O31" s="2436"/>
      <c r="P31" s="2436"/>
    </row>
    <row r="32" spans="1:19">
      <c r="A32" s="1525"/>
      <c r="B32" s="1525" t="s">
        <v>1159</v>
      </c>
      <c r="C32" s="1525"/>
      <c r="D32" s="1525"/>
      <c r="E32" s="990">
        <f>SUMIF(C19:C26,"*住宅*",E19:E26)</f>
        <v>55.92</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4">
        <f>项目基本情况!D3</f>
        <v>41106</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3390</v>
      </c>
      <c r="D6" s="805">
        <f>SUMIF(项目基本情况!C$12:I$12,C6,项目基本情况!C$14:I$14)</f>
        <v>70</v>
      </c>
      <c r="E6" s="804">
        <f>IF(B6="","",SUMIF(项目基本情况!C$12:I$12,C6,项目基本情况!C$13:I$13))</f>
        <v>67165</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55.92</v>
      </c>
      <c r="L6" s="692">
        <v>1800</v>
      </c>
      <c r="M6" s="64">
        <f t="shared" ref="M6:M14" si="0">ROUND(K6*L6/10000,0)</f>
        <v>10</v>
      </c>
      <c r="N6" s="690">
        <v>0.6</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100656</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55.92</v>
      </c>
      <c r="L16" s="87">
        <f>ROUND(M16*10000/SUM(K6:K14),0)</f>
        <v>1788</v>
      </c>
      <c r="M16" s="87">
        <f>SUM(M6:M14)</f>
        <v>10</v>
      </c>
      <c r="N16" s="88">
        <f>ROUND(SUMPRODUCT(M6:M14,N6:N14)/M16,3)</f>
        <v>0.6</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f>ROUND(1-(2011-N19)/60,2)</f>
        <v>0.52</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c r="C19" s="2558" t="s">
        <v>2303</v>
      </c>
      <c r="D19" s="2449"/>
      <c r="E19" s="2436"/>
      <c r="F19" s="2436"/>
      <c r="G19" s="2436"/>
      <c r="H19" s="2436"/>
      <c r="I19" s="2436"/>
      <c r="J19" s="2436"/>
      <c r="K19" s="2447"/>
      <c r="L19" s="2447"/>
      <c r="M19" s="2446"/>
      <c r="N19" s="2446">
        <v>1982</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2301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c r="C27" s="2560" t="s">
        <v>2305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0.03</v>
      </c>
      <c r="C33" s="2562" t="s">
        <v>3383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0.01</v>
      </c>
      <c r="C34" s="2562" t="s">
        <v>2295</v>
      </c>
      <c r="D34" s="2457" t="s">
        <v>2302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150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3384</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0.01</v>
      </c>
      <c r="C37" s="2562" t="s">
        <v>2297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0.01</v>
      </c>
      <c r="C38" s="2562" t="s">
        <v>2297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0.03</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5">
        <f ca="1">IF(A40="利息：取LPR",存贷款利率!G1,存贷款利率!G1+C40)</f>
        <v>6.1500000000000006E-2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7.0000000000000007E-2</v>
      </c>
      <c r="C44" s="2562" t="s">
        <v>2306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2298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2307</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2298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284" t="s">
        <v>2286</v>
      </c>
      <c r="B1" s="3285"/>
      <c r="C1" s="3285"/>
      <c r="D1" s="3285"/>
      <c r="E1" s="3285"/>
      <c r="F1" s="3285"/>
      <c r="G1" s="3285"/>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4"/>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0"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50" sqref="I49:I50"/>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55.92</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41106</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42.527200000000001</v>
      </c>
      <c r="C5" s="2297" t="e">
        <f ca="1">IF(B5=D14,结果表!H102,ROUND(B5*10000/$B$1,0))</f>
        <v>#N/A</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3358</v>
      </c>
      <c r="D10" s="2297" t="s">
        <v>3359</v>
      </c>
      <c r="E10" s="3134"/>
      <c r="F10" s="3138" t="s">
        <v>3360</v>
      </c>
      <c r="G10" s="3135"/>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项目基本情况!C17</f>
        <v>55.92</v>
      </c>
      <c r="C14" s="2303"/>
      <c r="D14" s="2303">
        <f ca="1">结果表!G22/10000</f>
        <v>42.527200000000001</v>
      </c>
      <c r="E14" s="2303">
        <f ca="1">ROUND(D14*10000/B14,0)</f>
        <v>7605</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C8" sqref="C8:C9"/>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3390</v>
      </c>
      <c r="D1" s="646"/>
      <c r="E1" s="646"/>
      <c r="F1" s="1620" t="s">
        <v>1263</v>
      </c>
      <c r="G1" s="1452"/>
      <c r="H1" s="1620" t="str">
        <f>IF(G1="现房","——","估价对象范围")</f>
        <v>估价对象范围</v>
      </c>
      <c r="I1" s="1621"/>
    </row>
    <row r="2" spans="1:12" ht="21.75" customHeight="1" thickBot="1">
      <c r="A2" s="3353" t="str">
        <f>项目基本情况!S2</f>
        <v>北京市房地产</v>
      </c>
      <c r="B2" s="3354"/>
      <c r="C2" s="3354"/>
      <c r="D2" s="3354"/>
      <c r="E2" s="3354"/>
      <c r="F2" s="3354"/>
      <c r="G2" s="3354"/>
      <c r="H2" s="3354"/>
      <c r="I2" s="3355"/>
    </row>
    <row r="3" spans="1:12" ht="12.75">
      <c r="A3" s="3357" t="s">
        <v>1264</v>
      </c>
      <c r="B3" s="3358"/>
      <c r="C3" s="3358"/>
      <c r="D3" s="3358"/>
      <c r="E3" s="3358"/>
      <c r="F3" s="3358"/>
      <c r="G3" s="3358"/>
      <c r="H3" s="3358"/>
      <c r="I3" s="3358"/>
    </row>
    <row r="4" spans="1:12" ht="14.25">
      <c r="A4" s="1623" t="s">
        <v>1265</v>
      </c>
      <c r="B4" s="1624" t="s">
        <v>1266</v>
      </c>
      <c r="C4" s="1625" t="s">
        <v>3397</v>
      </c>
      <c r="D4" s="1625" t="s">
        <v>3398</v>
      </c>
      <c r="E4" s="3362" t="s">
        <v>1267</v>
      </c>
      <c r="F4" s="3363"/>
      <c r="G4" s="3363"/>
      <c r="H4" s="3363"/>
      <c r="I4" s="336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01" t="s">
        <v>1268</v>
      </c>
      <c r="B5" s="3356">
        <v>25</v>
      </c>
      <c r="C5" s="3359">
        <v>4</v>
      </c>
      <c r="D5" s="3347">
        <f>10-C5</f>
        <v>6</v>
      </c>
      <c r="E5" s="123" t="s">
        <v>1269</v>
      </c>
      <c r="F5" s="1626"/>
      <c r="G5" s="1626"/>
      <c r="H5" s="1626"/>
      <c r="I5" s="1280"/>
    </row>
    <row r="6" spans="1:12" ht="12.75">
      <c r="A6" s="3301"/>
      <c r="B6" s="3356"/>
      <c r="C6" s="3361"/>
      <c r="D6" s="3347"/>
      <c r="E6" s="123" t="s">
        <v>1270</v>
      </c>
      <c r="F6" s="1626"/>
      <c r="G6" s="1626"/>
      <c r="H6" s="1626"/>
      <c r="I6" s="1280"/>
    </row>
    <row r="7" spans="1:12" ht="12.75">
      <c r="A7" s="3301"/>
      <c r="B7" s="3356"/>
      <c r="C7" s="3360"/>
      <c r="D7" s="3347"/>
      <c r="E7" s="123" t="s">
        <v>1271</v>
      </c>
      <c r="F7" s="1626"/>
      <c r="G7" s="1626"/>
      <c r="H7" s="1626"/>
      <c r="I7" s="1280"/>
    </row>
    <row r="8" spans="1:12" ht="12.75">
      <c r="A8" s="3301" t="s">
        <v>1272</v>
      </c>
      <c r="B8" s="3356">
        <v>15</v>
      </c>
      <c r="C8" s="3359"/>
      <c r="D8" s="3347"/>
      <c r="E8" s="123" t="s">
        <v>1273</v>
      </c>
      <c r="F8" s="1626"/>
      <c r="G8" s="1626"/>
      <c r="H8" s="1626"/>
      <c r="I8" s="1280"/>
    </row>
    <row r="9" spans="1:12" ht="12.75">
      <c r="A9" s="3301"/>
      <c r="B9" s="3356"/>
      <c r="C9" s="3360"/>
      <c r="D9" s="3347"/>
      <c r="E9" s="123" t="s">
        <v>1274</v>
      </c>
      <c r="F9" s="1626"/>
      <c r="G9" s="1626"/>
      <c r="H9" s="1626"/>
      <c r="I9" s="1280"/>
    </row>
    <row r="10" spans="1:12" ht="12.75">
      <c r="A10" s="3301" t="s">
        <v>1275</v>
      </c>
      <c r="B10" s="3356">
        <v>15</v>
      </c>
      <c r="C10" s="3359"/>
      <c r="D10" s="3347"/>
      <c r="E10" s="123" t="s">
        <v>1276</v>
      </c>
      <c r="F10" s="1626"/>
      <c r="G10" s="1626"/>
      <c r="H10" s="1626"/>
      <c r="I10" s="1280"/>
    </row>
    <row r="11" spans="1:12" ht="12.75">
      <c r="A11" s="3301"/>
      <c r="B11" s="3356"/>
      <c r="C11" s="3360"/>
      <c r="D11" s="3347"/>
      <c r="E11" s="123" t="s">
        <v>1277</v>
      </c>
      <c r="F11" s="1626"/>
      <c r="G11" s="1626"/>
      <c r="H11" s="1626"/>
      <c r="I11" s="1280"/>
    </row>
    <row r="12" spans="1:12" ht="12.75">
      <c r="A12" s="3301" t="s">
        <v>1278</v>
      </c>
      <c r="B12" s="3356">
        <v>15</v>
      </c>
      <c r="C12" s="3359"/>
      <c r="D12" s="3347"/>
      <c r="E12" s="123" t="s">
        <v>1279</v>
      </c>
      <c r="F12" s="1626"/>
      <c r="G12" s="1626"/>
      <c r="H12" s="1626"/>
      <c r="I12" s="1280"/>
    </row>
    <row r="13" spans="1:12" ht="12.75">
      <c r="A13" s="3301"/>
      <c r="B13" s="3356"/>
      <c r="C13" s="3360"/>
      <c r="D13" s="3347"/>
      <c r="E13" s="123" t="s">
        <v>1280</v>
      </c>
      <c r="F13" s="1626"/>
      <c r="G13" s="1626"/>
      <c r="H13" s="1626"/>
      <c r="I13" s="1280"/>
    </row>
    <row r="14" spans="1:12" ht="12.75">
      <c r="A14" s="3301" t="s">
        <v>1281</v>
      </c>
      <c r="B14" s="3356">
        <v>30</v>
      </c>
      <c r="C14" s="3359"/>
      <c r="D14" s="3347"/>
      <c r="E14" s="123" t="s">
        <v>1282</v>
      </c>
      <c r="F14" s="1626"/>
      <c r="G14" s="1626"/>
      <c r="H14" s="1626"/>
      <c r="I14" s="1280"/>
    </row>
    <row r="15" spans="1:12" ht="12.75">
      <c r="A15" s="3301"/>
      <c r="B15" s="3356"/>
      <c r="C15" s="3361"/>
      <c r="D15" s="3347"/>
      <c r="E15" s="123" t="s">
        <v>1283</v>
      </c>
      <c r="F15" s="1626"/>
      <c r="G15" s="1626"/>
      <c r="H15" s="1626"/>
      <c r="I15" s="1280"/>
    </row>
    <row r="16" spans="1:12" ht="12.75">
      <c r="A16" s="3301"/>
      <c r="B16" s="3356"/>
      <c r="C16" s="3360"/>
      <c r="D16" s="3347"/>
      <c r="E16" s="123" t="s">
        <v>1284</v>
      </c>
      <c r="F16" s="1626"/>
      <c r="G16" s="1626"/>
      <c r="H16" s="1626"/>
      <c r="I16" s="1280"/>
    </row>
    <row r="17" spans="1:36" ht="15">
      <c r="A17" s="1627" t="s">
        <v>1285</v>
      </c>
      <c r="B17" s="54"/>
      <c r="C17" s="124">
        <f>SUM(C5:C16)</f>
        <v>4</v>
      </c>
      <c r="D17" s="124">
        <f>SUM(D5:D16)</f>
        <v>6</v>
      </c>
      <c r="E17" s="121"/>
      <c r="F17" s="121"/>
      <c r="G17" s="121"/>
      <c r="H17" s="121"/>
      <c r="I17" s="121"/>
      <c r="K17" s="294"/>
      <c r="L17" s="294" t="s">
        <v>1286</v>
      </c>
      <c r="M17" s="294" t="s">
        <v>1287</v>
      </c>
    </row>
    <row r="18" spans="1:36" ht="31.9" customHeight="1" thickBot="1">
      <c r="A18" s="1628" t="s">
        <v>1288</v>
      </c>
      <c r="B18" s="1541"/>
      <c r="C18" s="125">
        <f>ROUND(C17/SUM(C17:D17),2)</f>
        <v>0.4</v>
      </c>
      <c r="D18" s="125">
        <f>1-C18</f>
        <v>0.6</v>
      </c>
      <c r="E18" s="3378" t="s">
        <v>2131</v>
      </c>
      <c r="F18" s="3379"/>
      <c r="G18" s="3379"/>
      <c r="H18" s="3379"/>
      <c r="I18" s="3379"/>
      <c r="K18" s="294" t="s">
        <v>1289</v>
      </c>
      <c r="L18" s="294">
        <f>IF(C1="",'数据-汇总表'!E3,SUMIF(项目类型,C1,'数据-汇总表'!E17:E26)+SUMIF(项目类型,C1,'数据-汇总表'!I17:I26))</f>
        <v>55.92</v>
      </c>
      <c r="M18" s="294">
        <f>IF(C1="",'数据-汇总表'!E3,SUMIF(项目类型,C1,'数据-汇总表'!E17:E26))</f>
        <v>55.92</v>
      </c>
    </row>
    <row r="19" spans="1:36" ht="15">
      <c r="A19" s="1629" t="s">
        <v>1290</v>
      </c>
      <c r="B19" s="1630" t="s">
        <v>1291</v>
      </c>
      <c r="C19" s="126">
        <f ca="1">SUMIF(INDIRECT("'"&amp;C4&amp;"'"&amp;"!A:A"),结果表!B19,INDIRECT("'"&amp;C4&amp;"'"&amp;"!B:B"))</f>
        <v>37.795000000000002</v>
      </c>
      <c r="D19" s="127">
        <f ca="1">SUMIF(INDIRECT("'"&amp;D4&amp;"'"&amp;"!A:A"),结果表!B19,INDIRECT("'"&amp;D4&amp;"'"&amp;"!B:B"))</f>
        <v>45.680999999999997</v>
      </c>
      <c r="E19" s="1629" t="s">
        <v>1292</v>
      </c>
      <c r="F19" s="1630" t="s">
        <v>1291</v>
      </c>
      <c r="G19" s="128">
        <f ca="1">ROUND(C19*$C$18+D19*$D$18,0)</f>
        <v>43</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6759</v>
      </c>
      <c r="D20" s="130">
        <f ca="1">SUMIF(INDIRECT("'"&amp;D4&amp;"'"&amp;"!A:A"),结果表!B20,INDIRECT("'"&amp;D4&amp;"'"&amp;"!B:B"))</f>
        <v>8169</v>
      </c>
      <c r="E20" s="1632"/>
      <c r="F20" s="43" t="s">
        <v>1295</v>
      </c>
      <c r="G20" s="131">
        <f ca="1">ROUND(C20*$C$18+D20*$D$18,0)</f>
        <v>7605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0.20865193808704841</v>
      </c>
      <c r="E22" s="121"/>
      <c r="F22" s="121"/>
      <c r="G22" s="121">
        <f ca="1">ROUND(G20*'数据-汇总表'!F19,0)</f>
        <v>425272</v>
      </c>
      <c r="H22" s="121"/>
      <c r="I22" s="121"/>
    </row>
    <row r="23" spans="1:36" ht="13.5" thickBot="1">
      <c r="A23" s="646"/>
      <c r="B23" s="646"/>
      <c r="C23" s="646"/>
      <c r="D23" s="646"/>
      <c r="E23" s="121"/>
      <c r="F23" s="121"/>
      <c r="G23" s="121"/>
      <c r="H23" s="121"/>
      <c r="I23" s="121"/>
    </row>
    <row r="24" spans="1:36" ht="14.25">
      <c r="A24" s="3371" t="s">
        <v>1299</v>
      </c>
      <c r="B24" s="1630" t="s">
        <v>1291</v>
      </c>
      <c r="C24" s="128">
        <f>IF(B30=0,0,D30)</f>
        <v>0</v>
      </c>
      <c r="D24" s="1636"/>
      <c r="E24" s="121"/>
      <c r="F24" s="121"/>
      <c r="G24" s="121"/>
      <c r="H24" s="121"/>
      <c r="I24" s="121"/>
      <c r="L24" s="3151" t="s">
        <v>3413</v>
      </c>
    </row>
    <row r="25" spans="1:36" ht="14.25">
      <c r="A25" s="3372"/>
      <c r="B25" s="43" t="s">
        <v>1295</v>
      </c>
      <c r="C25" s="133">
        <f>IF(B30=0,0,C30)</f>
        <v>0</v>
      </c>
      <c r="D25" s="1637"/>
      <c r="E25" s="121"/>
      <c r="F25" s="121"/>
      <c r="G25" s="121"/>
      <c r="H25" s="121"/>
      <c r="I25" s="121"/>
      <c r="L25" s="684">
        <v>111840</v>
      </c>
    </row>
    <row r="26" spans="1:36" ht="13.5" customHeight="1">
      <c r="A26" s="1638" t="s">
        <v>1300</v>
      </c>
      <c r="B26" s="134" t="s">
        <v>1301</v>
      </c>
      <c r="C26" s="134" t="s">
        <v>1302</v>
      </c>
      <c r="D26" s="135" t="s">
        <v>1303</v>
      </c>
      <c r="E26" s="121"/>
      <c r="F26" s="121"/>
      <c r="G26" s="121"/>
      <c r="H26" s="121"/>
      <c r="I26" s="121"/>
      <c r="L26" s="684">
        <f>ROUND(L25/系统读取表!B14,0)</f>
        <v>2000</v>
      </c>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7605</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48" t="s">
        <v>1312</v>
      </c>
      <c r="B36" s="1651" t="s">
        <v>1313</v>
      </c>
      <c r="C36" s="137"/>
      <c r="D36" s="1652"/>
      <c r="E36" s="1566"/>
      <c r="F36" s="1653"/>
      <c r="G36" s="121"/>
      <c r="H36" s="121"/>
      <c r="I36" s="121"/>
    </row>
    <row r="37" spans="1:15" ht="15.75" thickBot="1">
      <c r="A37" s="3349"/>
      <c r="B37" s="1554" t="s">
        <v>1314</v>
      </c>
      <c r="C37" s="139"/>
      <c r="D37" s="1071"/>
      <c r="E37" s="1071"/>
      <c r="F37" s="1653"/>
      <c r="G37" s="121"/>
      <c r="H37" s="121"/>
      <c r="I37" s="121"/>
    </row>
    <row r="38" spans="1:15" ht="15.75" thickBot="1">
      <c r="A38" s="3350"/>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68" t="s">
        <v>1326</v>
      </c>
      <c r="B45" s="3369"/>
      <c r="C45" s="3370"/>
      <c r="D45" s="147" t="e">
        <f ca="1">ROUND(H101*F45,0)</f>
        <v>#REF!</v>
      </c>
      <c r="E45" s="148" t="s">
        <v>1327</v>
      </c>
      <c r="F45" s="149">
        <v>1</v>
      </c>
      <c r="G45" s="150" t="s">
        <v>1328</v>
      </c>
      <c r="H45" s="121"/>
      <c r="I45" s="121"/>
      <c r="J45" s="3288" t="s">
        <v>1329</v>
      </c>
      <c r="K45" s="3288"/>
      <c r="L45" s="3288"/>
      <c r="M45" s="3288"/>
      <c r="N45" s="3288"/>
      <c r="O45" s="3288"/>
    </row>
    <row r="46" spans="1:15" ht="14.25" customHeight="1">
      <c r="A46" s="3365" t="s">
        <v>1330</v>
      </c>
      <c r="B46" s="3366"/>
      <c r="C46" s="3366"/>
      <c r="D46" s="3366"/>
      <c r="E46" s="3366"/>
      <c r="F46" s="3366"/>
      <c r="G46" s="3367"/>
      <c r="H46" s="1667"/>
      <c r="I46" s="151"/>
      <c r="J46" s="2307">
        <v>1</v>
      </c>
      <c r="K46" s="3289" t="s">
        <v>1331</v>
      </c>
      <c r="L46" s="3289"/>
      <c r="M46" s="3290"/>
      <c r="N46" s="3290"/>
      <c r="O46" s="3290"/>
    </row>
    <row r="47" spans="1:15" ht="12" customHeight="1">
      <c r="A47" s="152" t="s">
        <v>1332</v>
      </c>
      <c r="B47" s="153"/>
      <c r="C47" s="154"/>
      <c r="D47" s="1024" t="s">
        <v>1333</v>
      </c>
      <c r="E47" s="294" t="s">
        <v>1334</v>
      </c>
      <c r="F47" s="155" t="s">
        <v>1335</v>
      </c>
      <c r="G47" s="2330" t="s">
        <v>1336</v>
      </c>
      <c r="H47" s="2331"/>
      <c r="I47" s="151"/>
      <c r="J47" s="2307">
        <v>2</v>
      </c>
      <c r="K47" s="3289" t="s">
        <v>1337</v>
      </c>
      <c r="L47" s="3289"/>
      <c r="M47" s="3291">
        <f>'数据-取费表'!B2</f>
        <v>41106</v>
      </c>
      <c r="N47" s="3291"/>
      <c r="O47" s="3291"/>
    </row>
    <row r="48" spans="1:15" ht="25.5">
      <c r="A48" s="3351" t="s">
        <v>1338</v>
      </c>
      <c r="B48" s="3352"/>
      <c r="C48" s="3352"/>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289" t="s">
        <v>1340</v>
      </c>
      <c r="L48" s="3289"/>
      <c r="M48" s="3292" t="e">
        <f ca="1">H101</f>
        <v>#REF!</v>
      </c>
      <c r="N48" s="3292"/>
      <c r="O48" s="3292"/>
    </row>
    <row r="49" spans="1:35" ht="25.5" customHeight="1">
      <c r="A49" s="2150" t="s">
        <v>1341</v>
      </c>
      <c r="B49" s="3337" t="s">
        <v>1342</v>
      </c>
      <c r="C49" s="3337"/>
      <c r="D49" s="1477">
        <v>0</v>
      </c>
      <c r="E49" s="316" t="s">
        <v>1343</v>
      </c>
      <c r="F49" s="2230" t="s">
        <v>28</v>
      </c>
      <c r="G49" s="3320"/>
      <c r="H49" s="2132" t="s">
        <v>2134</v>
      </c>
      <c r="I49" s="2133"/>
      <c r="J49" s="2307">
        <v>4</v>
      </c>
      <c r="K49" s="3289" t="str">
        <f>IF(项目基本情况!E8="房地产抵押价值","房地产抵押价值","抵押担保权已注销时的房地产抵押价值")</f>
        <v>抵押担保权已注销时的房地产抵押价值</v>
      </c>
      <c r="L49" s="3289"/>
      <c r="M49" s="3292" t="str">
        <f>IF(项目基本情况!E8="房地产抵押价值",H107,H109)</f>
        <v>——</v>
      </c>
      <c r="N49" s="3292"/>
      <c r="O49" s="3292"/>
    </row>
    <row r="50" spans="1:35" ht="25.5" customHeight="1">
      <c r="A50" s="2335"/>
      <c r="B50" s="3337" t="s">
        <v>1344</v>
      </c>
      <c r="C50" s="3337"/>
      <c r="D50" s="2187"/>
      <c r="E50" s="323"/>
      <c r="F50" s="2230"/>
      <c r="G50" s="3321"/>
      <c r="H50" s="2134" t="s">
        <v>2135</v>
      </c>
      <c r="I50" s="2133"/>
      <c r="J50" s="3288" t="s">
        <v>1345</v>
      </c>
      <c r="K50" s="3288"/>
      <c r="L50" s="3288"/>
      <c r="M50" s="3288"/>
      <c r="N50" s="3288"/>
      <c r="O50" s="3288"/>
    </row>
    <row r="51" spans="1:35" ht="20.45" customHeight="1">
      <c r="A51" s="2336"/>
      <c r="B51" s="3337" t="s">
        <v>1346</v>
      </c>
      <c r="C51" s="3337"/>
      <c r="D51" s="1024"/>
      <c r="E51" s="319"/>
      <c r="F51" s="2230"/>
      <c r="G51" s="3322"/>
      <c r="H51" s="2134" t="s">
        <v>2136</v>
      </c>
      <c r="I51" s="2133"/>
      <c r="J51" s="2308" t="s">
        <v>1347</v>
      </c>
      <c r="K51" s="3289" t="s">
        <v>1348</v>
      </c>
      <c r="L51" s="3289"/>
      <c r="M51" s="2308" t="s">
        <v>1349</v>
      </c>
      <c r="N51" s="2308" t="s">
        <v>1350</v>
      </c>
      <c r="O51" s="2308" t="s">
        <v>1351</v>
      </c>
    </row>
    <row r="52" spans="1:35" ht="24" customHeight="1">
      <c r="A52" s="2151" t="s">
        <v>1352</v>
      </c>
      <c r="B52" s="3337" t="s">
        <v>1353</v>
      </c>
      <c r="C52" s="3337"/>
      <c r="D52" s="1024" t="e">
        <f ca="1">ROUND(D45*'数据-取费表'!B41/(1+'数据-取费表'!C42),0)</f>
        <v>#REF!</v>
      </c>
      <c r="E52" s="1255" t="s">
        <v>1354</v>
      </c>
      <c r="F52" s="2337">
        <f>'数据-取费表'!B41</f>
        <v>5.6000000000000001E-2</v>
      </c>
      <c r="G52" s="2338"/>
      <c r="H52" s="2328"/>
      <c r="I52" s="1668"/>
      <c r="J52" s="2307">
        <v>1</v>
      </c>
      <c r="K52" s="3314" t="s">
        <v>1355</v>
      </c>
      <c r="L52" s="3314"/>
      <c r="M52" s="2309" t="b">
        <f>D48</f>
        <v>0</v>
      </c>
      <c r="N52" s="2307" t="str">
        <f>E48</f>
        <v>销售额×税（费）率</v>
      </c>
      <c r="O52" s="2310">
        <f>F48</f>
        <v>5.6000000000000001E-2</v>
      </c>
    </row>
    <row r="53" spans="1:35" ht="12" customHeight="1">
      <c r="A53" s="2151" t="s">
        <v>1356</v>
      </c>
      <c r="B53" s="3338" t="s">
        <v>2291</v>
      </c>
      <c r="C53" s="3339"/>
      <c r="D53" s="1024" t="e">
        <f ca="1">ROUND(D45*'数据-取费表'!B41/(1+'数据-取费表'!C42),0)</f>
        <v>#REF!</v>
      </c>
      <c r="E53" s="1255" t="s">
        <v>1354</v>
      </c>
      <c r="F53" s="2337">
        <f>'数据-取费表'!B41</f>
        <v>5.6000000000000001E-2</v>
      </c>
      <c r="G53" s="2338"/>
      <c r="H53" s="2328"/>
      <c r="I53" s="1668"/>
      <c r="J53" s="2307">
        <v>2</v>
      </c>
      <c r="K53" s="3314" t="s">
        <v>1357</v>
      </c>
      <c r="L53" s="3314"/>
      <c r="M53" s="2309" t="e">
        <f t="shared" ref="M53:O54" ca="1" si="0">D55</f>
        <v>#REF!</v>
      </c>
      <c r="N53" s="2307" t="str">
        <f t="shared" si="0"/>
        <v>销售额×税（费）率</v>
      </c>
      <c r="O53" s="2310" t="str">
        <f t="shared" si="0"/>
        <v>免征</v>
      </c>
    </row>
    <row r="54" spans="1:35" ht="12" customHeight="1">
      <c r="A54" s="2151" t="s">
        <v>1358</v>
      </c>
      <c r="B54" s="3338" t="s">
        <v>2292</v>
      </c>
      <c r="C54" s="3339"/>
      <c r="D54" s="1024" t="e">
        <f ca="1">C68</f>
        <v>#REF!</v>
      </c>
      <c r="E54" s="319" t="s">
        <v>1359</v>
      </c>
      <c r="F54" s="2337">
        <f>'数据-取费表'!B41</f>
        <v>5.6000000000000001E-2</v>
      </c>
      <c r="G54" s="2338"/>
      <c r="H54" s="2339"/>
      <c r="I54" s="1668"/>
      <c r="J54" s="2307">
        <v>3</v>
      </c>
      <c r="K54" s="3314" t="s">
        <v>1360</v>
      </c>
      <c r="L54" s="3314"/>
      <c r="M54" s="2309" t="e">
        <f t="shared" ca="1" si="0"/>
        <v>#REF!</v>
      </c>
      <c r="N54" s="2307" t="str">
        <f t="shared" si="0"/>
        <v>增值额×税（费）率</v>
      </c>
      <c r="O54" s="2311" t="str">
        <f t="shared" si="0"/>
        <v>免征</v>
      </c>
    </row>
    <row r="55" spans="1:35" ht="24" customHeight="1">
      <c r="A55" s="3374" t="s">
        <v>1361</v>
      </c>
      <c r="B55" s="3352"/>
      <c r="C55" s="3352"/>
      <c r="D55" s="12" t="e">
        <f ca="1">IF(H55="个人住宅",0,ROUND(D45*I55,0))</f>
        <v>#REF!</v>
      </c>
      <c r="E55" s="1255" t="s">
        <v>1362</v>
      </c>
      <c r="F55" s="2337" t="str">
        <f>IF(H55="正常",I55,"免征")</f>
        <v>免征</v>
      </c>
      <c r="G55" s="2338"/>
      <c r="H55" s="2334"/>
      <c r="I55" s="157">
        <f>'数据-取费表'!B49</f>
        <v>5.0000000000000001E-4</v>
      </c>
      <c r="J55" s="2307">
        <f>IF(H59="非个人房产","",4)</f>
        <v>4</v>
      </c>
      <c r="K55" s="3314" t="str">
        <f>IF(H59="非个人房产","——","个人所得税")</f>
        <v>个人所得税</v>
      </c>
      <c r="L55" s="3314"/>
      <c r="M55" s="2312" t="e">
        <f ca="1">D59</f>
        <v>#REF!</v>
      </c>
      <c r="N55" s="1881" t="str">
        <f>E59</f>
        <v>差额计税</v>
      </c>
      <c r="O55" s="2313">
        <f>F59</f>
        <v>0.01</v>
      </c>
    </row>
    <row r="56" spans="1:35" ht="24.75">
      <c r="A56" s="3374" t="s">
        <v>1363</v>
      </c>
      <c r="B56" s="3352"/>
      <c r="C56" s="3352"/>
      <c r="D56" s="12" t="e">
        <f ca="1">IF(H56="个人住宅",D57,D58)</f>
        <v>#REF!</v>
      </c>
      <c r="E56" s="1255" t="s">
        <v>1364</v>
      </c>
      <c r="F56" s="2337" t="str">
        <f>IF(H56="正常",F58,"免征")</f>
        <v>免征</v>
      </c>
      <c r="G56" s="2340" t="s">
        <v>1365</v>
      </c>
      <c r="H56" s="2341"/>
      <c r="I56" s="1669"/>
      <c r="J56" s="2307" t="str">
        <f>IF(项目基本情况!K6="上海银行",IF(J55="",4,J55+1),"")</f>
        <v/>
      </c>
      <c r="K56" s="3295" t="str">
        <f>IF(项目基本情况!K6="上海银行","其他处置费用","")</f>
        <v/>
      </c>
      <c r="L56" s="3296"/>
      <c r="M56" s="2309" t="str">
        <f>IF(项目基本情况!K6="上海银行",M69,"")</f>
        <v/>
      </c>
      <c r="N56" s="3295" t="str">
        <f>IF(项目基本情况!K6="上海银行","包含处置中涉及的律师、诉讼、拍卖、评估等费用","")</f>
        <v/>
      </c>
      <c r="O56" s="3298"/>
    </row>
    <row r="57" spans="1:35" ht="12.75">
      <c r="A57" s="2151" t="s">
        <v>1341</v>
      </c>
      <c r="B57" s="3338" t="s">
        <v>1366</v>
      </c>
      <c r="C57" s="3339"/>
      <c r="D57" s="1477">
        <v>0</v>
      </c>
      <c r="E57" s="316" t="s">
        <v>1343</v>
      </c>
      <c r="F57" s="294"/>
      <c r="G57" s="2338"/>
      <c r="H57" s="2342"/>
      <c r="I57" s="1669"/>
      <c r="J57" s="3314">
        <f>IF(AND(J55="",J56=""),4,IF(项目基本情况!K6="上海银行",结果表!J56+1,结果表!J55+1))</f>
        <v>5</v>
      </c>
      <c r="K57" s="3314" t="s">
        <v>1367</v>
      </c>
      <c r="L57" s="2314" t="s">
        <v>1368</v>
      </c>
      <c r="M57" s="2315"/>
      <c r="N57" s="2316">
        <f ca="1">SUMIF(M52:M56,"&lt;9e307")</f>
        <v>0</v>
      </c>
      <c r="O57" s="2317"/>
      <c r="P57" s="2462" t="e">
        <f ca="1">N57/M49</f>
        <v>#VALUE!</v>
      </c>
    </row>
    <row r="58" spans="1:35" ht="24.75">
      <c r="A58" s="2151" t="s">
        <v>1352</v>
      </c>
      <c r="B58" s="3338" t="s">
        <v>1369</v>
      </c>
      <c r="C58" s="3337"/>
      <c r="D58" s="12" t="e">
        <f ca="1">IF(H58="转让取得",C81,C97)</f>
        <v>#REF!</v>
      </c>
      <c r="E58" s="1255" t="s">
        <v>1364</v>
      </c>
      <c r="F58" s="294" t="s">
        <v>28</v>
      </c>
      <c r="G58" s="2338"/>
      <c r="H58" s="2341"/>
      <c r="I58" s="1669"/>
      <c r="J58" s="3314"/>
      <c r="K58" s="3314"/>
      <c r="L58" s="2314" t="s">
        <v>1370</v>
      </c>
      <c r="M58" s="2318"/>
      <c r="N58" s="2319" t="str">
        <f ca="1">NUMBERSTRING(INT(N57*10000),2)&amp;"元整"</f>
        <v>零元整</v>
      </c>
      <c r="O58" s="2320"/>
    </row>
    <row r="59" spans="1:35" ht="24.75" thickBot="1">
      <c r="A59" s="3318" t="s">
        <v>1371</v>
      </c>
      <c r="B59" s="3319"/>
      <c r="C59" s="3319"/>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16">
        <f>J57+1</f>
        <v>6</v>
      </c>
      <c r="K59" s="3314" t="s">
        <v>1372</v>
      </c>
      <c r="L59" s="2307" t="s">
        <v>1368</v>
      </c>
      <c r="M59" s="2321"/>
      <c r="N59" s="2322" t="e">
        <f ca="1">M49-N57</f>
        <v>#VALUE!</v>
      </c>
      <c r="O59" s="2323"/>
    </row>
    <row r="60" spans="1:35" ht="12" customHeight="1">
      <c r="A60" s="1670"/>
      <c r="B60" s="646"/>
      <c r="C60" s="646"/>
      <c r="D60" s="646"/>
      <c r="E60" s="1465"/>
      <c r="F60" s="1669"/>
      <c r="G60" s="1669"/>
      <c r="H60" s="151"/>
      <c r="I60" s="121"/>
      <c r="J60" s="3317"/>
      <c r="K60" s="3314"/>
      <c r="L60" s="2314" t="s">
        <v>1370</v>
      </c>
      <c r="M60" s="2318"/>
      <c r="N60" s="2319" t="e">
        <f ca="1">NUMBERSTRING(INT(N59*10000),2)&amp;"元整"</f>
        <v>#VALUE!</v>
      </c>
      <c r="O60" s="2320"/>
    </row>
    <row r="61" spans="1:35" ht="13.5" thickBot="1">
      <c r="A61" s="3373" t="s">
        <v>1373</v>
      </c>
      <c r="B61" s="3373"/>
      <c r="C61" s="3373"/>
      <c r="D61" s="3373"/>
      <c r="E61" s="3373"/>
      <c r="F61" s="1669"/>
      <c r="G61" s="1669"/>
      <c r="H61" s="151"/>
      <c r="I61" s="121"/>
      <c r="J61" s="2307">
        <f>J59+1</f>
        <v>7</v>
      </c>
      <c r="K61" s="3314" t="s">
        <v>1374</v>
      </c>
      <c r="L61" s="3314"/>
      <c r="M61" s="2324"/>
      <c r="N61" s="2325" t="e">
        <f ca="1">ROUND(N59*10000/'数据-汇总表'!E3,0)</f>
        <v>#VALUE!</v>
      </c>
      <c r="O61" s="2326"/>
    </row>
    <row r="62" spans="1:35" ht="12.75">
      <c r="A62" s="3333" t="s">
        <v>1375</v>
      </c>
      <c r="B62" s="3334"/>
      <c r="C62" s="1863"/>
      <c r="D62" s="1863" t="s">
        <v>1376</v>
      </c>
      <c r="E62" s="158" t="s">
        <v>1377</v>
      </c>
      <c r="F62" s="1669"/>
      <c r="G62" s="1669"/>
      <c r="H62" s="151"/>
      <c r="I62" s="121"/>
    </row>
    <row r="63" spans="1:35" ht="12.75">
      <c r="A63" s="165" t="s">
        <v>330</v>
      </c>
      <c r="B63" s="159" t="s">
        <v>1378</v>
      </c>
      <c r="C63" s="2347" t="e">
        <f ca="1">ROUND((C64+C65)/(1+'数据-取费表'!C42),0)</f>
        <v>#REF!</v>
      </c>
      <c r="D63" s="159"/>
      <c r="E63" s="160"/>
      <c r="F63" s="1669"/>
      <c r="G63" s="1669"/>
      <c r="H63" s="151"/>
      <c r="I63" s="121"/>
      <c r="J63" s="3297"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297"/>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297"/>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297"/>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297"/>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5.6000000000000001E-2</v>
      </c>
      <c r="E68" s="170"/>
      <c r="F68" s="1669"/>
      <c r="G68" s="1669"/>
      <c r="H68" s="151"/>
      <c r="I68" s="121"/>
      <c r="J68" s="3297"/>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297"/>
      <c r="K69" s="1244" t="s">
        <v>1393</v>
      </c>
      <c r="L69" s="1244"/>
      <c r="M69" s="294" t="e">
        <f>ROUND(SUM(M63:M68),0)</f>
        <v>#VALUE!</v>
      </c>
      <c r="N69" s="2329" t="e">
        <f>M69/M49</f>
        <v>#VALUE!</v>
      </c>
      <c r="Z69" s="1622"/>
      <c r="AI69" s="1560"/>
    </row>
    <row r="70" spans="1:35" s="642" customFormat="1" ht="15" thickBot="1">
      <c r="A70" s="3341" t="s">
        <v>1394</v>
      </c>
      <c r="B70" s="3342"/>
      <c r="C70" s="3342"/>
      <c r="D70" s="3342"/>
      <c r="E70" s="3342"/>
      <c r="F70" s="3342"/>
      <c r="G70" s="3342"/>
      <c r="H70" s="3342"/>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33" t="s">
        <v>1375</v>
      </c>
      <c r="B71" s="3334"/>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38" t="s">
        <v>1402</v>
      </c>
      <c r="F76" s="3337"/>
      <c r="G76" s="3337"/>
      <c r="H76" s="334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t="e">
        <f ca="1">ROUND(D45*D78/(1+'数据-取费表'!C42),0)</f>
        <v>#REF!</v>
      </c>
      <c r="D78" s="2360">
        <f>'数据-取费表'!B43</f>
        <v>6.000000000000001E-3</v>
      </c>
      <c r="E78" s="3330" t="s">
        <v>1406</v>
      </c>
      <c r="F78" s="3331"/>
      <c r="G78" s="3331"/>
      <c r="H78" s="333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41" t="s">
        <v>1410</v>
      </c>
      <c r="B83" s="3342"/>
      <c r="C83" s="3342"/>
      <c r="D83" s="3342"/>
      <c r="E83" s="3342"/>
      <c r="F83" s="3342"/>
      <c r="G83" s="3342"/>
      <c r="H83" s="334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33" t="s">
        <v>1375</v>
      </c>
      <c r="B84" s="3334"/>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6"/>
      <c r="G88" s="186"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6"/>
      <c r="G90" s="3299" t="s">
        <v>2129</v>
      </c>
      <c r="H90" s="3300"/>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330" t="s">
        <v>1419</v>
      </c>
      <c r="F91" s="3331"/>
      <c r="G91" s="333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330" t="s">
        <v>1422</v>
      </c>
      <c r="F92" s="3331"/>
      <c r="G92" s="3331"/>
      <c r="H92" s="3332"/>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t="e">
        <f ca="1">ROUND(D45*D93/(1+'数据-取费表'!C42),0)</f>
        <v>#REF!</v>
      </c>
      <c r="D93" s="2360">
        <f>'数据-取费表'!B43</f>
        <v>6.000000000000001E-3</v>
      </c>
      <c r="E93" s="3330" t="s">
        <v>1406</v>
      </c>
      <c r="F93" s="3331"/>
      <c r="G93" s="3331"/>
      <c r="H93" s="333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375" t="s">
        <v>1426</v>
      </c>
      <c r="F94" s="3376"/>
      <c r="G94" s="3376"/>
      <c r="H94" s="337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80" t="s">
        <v>1428</v>
      </c>
      <c r="B100" s="3281"/>
      <c r="C100" s="3281"/>
      <c r="D100" s="3315"/>
      <c r="E100" s="3281" t="s">
        <v>1429</v>
      </c>
      <c r="F100" s="3281"/>
      <c r="G100" s="3281"/>
      <c r="H100" s="3315"/>
      <c r="I100" s="121"/>
    </row>
    <row r="101" spans="1:35" ht="18.75" customHeight="1">
      <c r="A101" s="3323" t="s">
        <v>1430</v>
      </c>
      <c r="B101" s="3324"/>
      <c r="C101" s="2368" t="str">
        <f>C4</f>
        <v>成本法 (元)</v>
      </c>
      <c r="D101" s="2369" t="str">
        <f>D4</f>
        <v>比较法-住宅</v>
      </c>
      <c r="E101" s="3293" t="s">
        <v>1431</v>
      </c>
      <c r="F101" s="3294"/>
      <c r="G101" s="1686" t="s">
        <v>1432</v>
      </c>
      <c r="H101" s="2378" t="e">
        <f ca="1">H118</f>
        <v>#REF!</v>
      </c>
      <c r="I101" s="121"/>
    </row>
    <row r="102" spans="1:35" ht="18.75" customHeight="1">
      <c r="A102" s="3325" t="s">
        <v>1433</v>
      </c>
      <c r="B102" s="2367" t="s">
        <v>1432</v>
      </c>
      <c r="C102" s="2368">
        <f ca="1">IF(D32="楼面单价",ROUND(C19,0),C19)</f>
        <v>37.795000000000002</v>
      </c>
      <c r="D102" s="2369">
        <f ca="1">IF(D32="楼面单价",ROUND(D19,0),D19)</f>
        <v>45.680999999999997</v>
      </c>
      <c r="E102" s="3293"/>
      <c r="F102" s="3294"/>
      <c r="G102" s="1686" t="s">
        <v>1434</v>
      </c>
      <c r="H102" s="2338" t="e">
        <f ca="1">I118</f>
        <v>#REF!</v>
      </c>
      <c r="I102" s="121"/>
    </row>
    <row r="103" spans="1:35" ht="42.75" customHeight="1">
      <c r="A103" s="3325"/>
      <c r="B103" s="2367" t="s">
        <v>1434</v>
      </c>
      <c r="C103" s="2370">
        <f ca="1">C20</f>
        <v>6759</v>
      </c>
      <c r="D103" s="2371">
        <f ca="1">D20</f>
        <v>8169</v>
      </c>
      <c r="E103" s="3286" t="s">
        <v>1435</v>
      </c>
      <c r="F103" s="3287"/>
      <c r="G103" s="1687" t="s">
        <v>1436</v>
      </c>
      <c r="H103" s="2378">
        <f>IF(D36="正常操作",H104+H105+H106,H105+H106)</f>
        <v>0</v>
      </c>
      <c r="I103" s="121"/>
    </row>
    <row r="104" spans="1:35" ht="18.75" customHeight="1">
      <c r="A104" s="3325"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35"/>
      <c r="B105" s="2375" t="s">
        <v>1434</v>
      </c>
      <c r="C105" s="2376" t="e">
        <f ca="1">I118</f>
        <v>#REF!</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26" t="str">
        <f>IF(项目基本情况!E8="已注销","——","3.房地产抵押价值")</f>
        <v>3.房地产抵押价值</v>
      </c>
      <c r="F107" s="3294"/>
      <c r="G107" s="1686" t="s">
        <v>1432</v>
      </c>
      <c r="H107" s="2378" t="e">
        <f ca="1">IF(E107="——","——",H101-H103)</f>
        <v>#REF!</v>
      </c>
      <c r="I107" s="121"/>
    </row>
    <row r="108" spans="1:35" ht="18.75" customHeight="1">
      <c r="A108" s="121"/>
      <c r="B108" s="121"/>
      <c r="C108" s="121"/>
      <c r="D108" s="121"/>
      <c r="E108" s="3326"/>
      <c r="F108" s="3294"/>
      <c r="G108" s="1686" t="s">
        <v>1434</v>
      </c>
      <c r="H108" s="2338">
        <f ca="1">IF(H107=H101,H102,ROUND(H107*10000/'数据-汇总表'!E3,0))</f>
        <v>0</v>
      </c>
      <c r="I108" s="121"/>
    </row>
    <row r="109" spans="1:35" ht="18.75" customHeight="1">
      <c r="A109" s="121"/>
      <c r="B109" s="121"/>
      <c r="C109" s="121"/>
      <c r="D109" s="121"/>
      <c r="E109" s="3326" t="str">
        <f>IF(项目基本情况!E8="已注销及未注销","4.抵押担保权已注销时的房地产抵押价值",IF(项目基本情况!E8="已注销","3.抵押担保权已注销时的房地产抵押价值","——"))</f>
        <v>——</v>
      </c>
      <c r="F109" s="3294"/>
      <c r="G109" s="1686" t="s">
        <v>1432</v>
      </c>
      <c r="H109" s="2381" t="str">
        <f>IF(E109="——","——",H101-H105-H106)</f>
        <v>——</v>
      </c>
      <c r="I109" s="121"/>
    </row>
    <row r="110" spans="1:35" ht="18.75" customHeight="1">
      <c r="A110" s="121"/>
      <c r="B110" s="121"/>
      <c r="C110" s="121"/>
      <c r="D110" s="121"/>
      <c r="E110" s="3326"/>
      <c r="F110" s="3294"/>
      <c r="G110" s="1686" t="s">
        <v>1434</v>
      </c>
      <c r="H110" s="2338" t="str">
        <f>IF(H109="——","——",ROUND(H109*10000/'数据-汇总表'!E3,0))</f>
        <v>——</v>
      </c>
      <c r="I110" s="121"/>
    </row>
    <row r="111" spans="1:35" ht="18.75" customHeight="1">
      <c r="A111" s="121"/>
      <c r="B111" s="121"/>
      <c r="C111" s="121"/>
      <c r="D111" s="121"/>
      <c r="E111" s="3327" t="str">
        <f>IF(项目基本情况!E9="抵押净值",IF(OR(项目基本情况!E8="已注销",项目基本情况!E8="房地产抵押价值"),"4.抵押净值","5.抵押净值"),"——")</f>
        <v>——</v>
      </c>
      <c r="F111" s="3313"/>
      <c r="G111" s="1686" t="s">
        <v>1432</v>
      </c>
      <c r="H111" s="2378" t="str">
        <f>IF(E111="——","——",N59)</f>
        <v>——</v>
      </c>
      <c r="I111" s="121"/>
    </row>
    <row r="112" spans="1:35" ht="18.75" customHeight="1" thickBot="1">
      <c r="A112" s="121"/>
      <c r="B112" s="121"/>
      <c r="C112" s="121"/>
      <c r="D112" s="121"/>
      <c r="E112" s="3328"/>
      <c r="F112" s="3329"/>
      <c r="G112" s="1689" t="s">
        <v>1434</v>
      </c>
      <c r="H112" s="2382" t="str">
        <f>IF(E111="——","——",N61)</f>
        <v>——</v>
      </c>
      <c r="I112" s="121"/>
    </row>
    <row r="113" spans="1:27" ht="18.75" customHeight="1">
      <c r="A113" s="121"/>
      <c r="B113" s="121"/>
      <c r="C113" s="121"/>
      <c r="D113" s="121"/>
      <c r="E113" s="3336" t="s">
        <v>1440</v>
      </c>
      <c r="F113" s="3336"/>
      <c r="G113" s="3336"/>
      <c r="H113" s="3336"/>
      <c r="I113" s="121"/>
    </row>
    <row r="114" spans="1:27" ht="3.75" customHeight="1">
      <c r="A114" s="646"/>
      <c r="B114" s="646"/>
      <c r="C114" s="646"/>
      <c r="D114" s="646"/>
      <c r="E114" s="1670"/>
      <c r="F114" s="1670"/>
      <c r="G114" s="1670"/>
      <c r="H114" s="1670"/>
      <c r="I114" s="646"/>
    </row>
    <row r="115" spans="1:27" ht="18.75" customHeight="1">
      <c r="A115" s="3344" t="s">
        <v>1442</v>
      </c>
      <c r="B115" s="3345"/>
      <c r="C115" s="3345"/>
      <c r="D115" s="3345"/>
      <c r="E115" s="3345"/>
      <c r="F115" s="3345"/>
      <c r="G115" s="3345"/>
      <c r="H115" s="3345"/>
      <c r="I115" s="3346"/>
    </row>
    <row r="116" spans="1:27" ht="27" customHeight="1">
      <c r="A116" s="3301" t="s">
        <v>1443</v>
      </c>
      <c r="B116" s="3305" t="s">
        <v>1444</v>
      </c>
      <c r="C116" s="3305" t="s">
        <v>1445</v>
      </c>
      <c r="D116" s="3311" t="s">
        <v>1446</v>
      </c>
      <c r="E116" s="3312"/>
      <c r="F116" s="3343" t="s">
        <v>1447</v>
      </c>
      <c r="G116" s="3343"/>
      <c r="H116" s="3301" t="s">
        <v>1448</v>
      </c>
      <c r="I116" s="3301"/>
    </row>
    <row r="117" spans="1:27" ht="18.75" customHeight="1">
      <c r="A117" s="3301"/>
      <c r="B117" s="3306"/>
      <c r="C117" s="3306"/>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55.92</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301" t="s">
        <v>1452</v>
      </c>
      <c r="B119" s="3301"/>
      <c r="C119" s="3301"/>
      <c r="D119" s="3307" t="e">
        <f ca="1">NUMBERSTRING(INT(D118*10000),2)&amp;"元整"</f>
        <v>#REF!</v>
      </c>
      <c r="E119" s="3308"/>
      <c r="F119" s="3307" t="e">
        <f ca="1">NUMBERSTRING(INT(F118*10000),2)&amp;"元整"</f>
        <v>#REF!</v>
      </c>
      <c r="G119" s="3308"/>
      <c r="H119" s="3307" t="e">
        <f ca="1">NUMBERSTRING(INT(H118*10000),2)&amp;"元整"</f>
        <v>#REF!</v>
      </c>
      <c r="I119" s="3308"/>
    </row>
    <row r="120" spans="1:27" ht="18.75" customHeight="1">
      <c r="A120" s="3302" t="str">
        <f>IF(项目基本情况!B9="房地产市场价值","",MID(E103,3,LEN(E103)-2))</f>
        <v/>
      </c>
      <c r="B120" s="3303"/>
      <c r="C120" s="3304"/>
      <c r="D120" s="3302">
        <f>H103</f>
        <v>0</v>
      </c>
      <c r="E120" s="3303"/>
      <c r="F120" s="3303"/>
      <c r="G120" s="3303"/>
      <c r="H120" s="3303"/>
      <c r="I120" s="3304"/>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07" t="s">
        <v>1452</v>
      </c>
      <c r="B121" s="3309"/>
      <c r="C121" s="3308"/>
      <c r="D121" s="3307" t="str">
        <f>IF(D120=0,"零元整",NUMBERSTRING(INT(D120*10000),2)&amp;"元整")</f>
        <v>零元整</v>
      </c>
      <c r="E121" s="3309"/>
      <c r="F121" s="3309"/>
      <c r="G121" s="3309"/>
      <c r="H121" s="3309"/>
      <c r="I121" s="3308"/>
      <c r="AA121" s="684"/>
    </row>
    <row r="122" spans="1:27" ht="18.75" customHeight="1">
      <c r="A122" s="3313" t="str">
        <f>IF(项目基本情况!B9="房地产市场价值","",MID(E107,3,LEN(E107)-2))</f>
        <v/>
      </c>
      <c r="B122" s="3313"/>
      <c r="C122" s="3313"/>
      <c r="D122" s="3302" t="e">
        <f ca="1">H107</f>
        <v>#REF!</v>
      </c>
      <c r="E122" s="3303"/>
      <c r="F122" s="3303"/>
      <c r="G122" s="3303"/>
      <c r="H122" s="3303"/>
      <c r="I122" s="3304"/>
      <c r="AA122" s="684"/>
    </row>
    <row r="123" spans="1:27" ht="18.75" customHeight="1">
      <c r="A123" s="3301" t="s">
        <v>1452</v>
      </c>
      <c r="B123" s="3301"/>
      <c r="C123" s="3301"/>
      <c r="D123" s="3307" t="e">
        <f ca="1">NUMBERSTRING(INT(D122*10000),2)&amp;"元整"</f>
        <v>#REF!</v>
      </c>
      <c r="E123" s="3309"/>
      <c r="F123" s="3309"/>
      <c r="G123" s="3309"/>
      <c r="H123" s="3309"/>
      <c r="I123" s="3308"/>
      <c r="AA123" s="684"/>
    </row>
    <row r="124" spans="1:27" ht="18.75" customHeight="1">
      <c r="A124" s="3313" t="str">
        <f>IF(项目基本情况!B9="房地产市场价值","",MID(E109,3,LEN(E109)-2))</f>
        <v/>
      </c>
      <c r="B124" s="3313"/>
      <c r="C124" s="3313"/>
      <c r="D124" s="3302" t="str">
        <f>H109</f>
        <v>——</v>
      </c>
      <c r="E124" s="3303"/>
      <c r="F124" s="3303"/>
      <c r="G124" s="3303"/>
      <c r="H124" s="3303"/>
      <c r="I124" s="3304"/>
      <c r="AA124" s="684"/>
    </row>
    <row r="125" spans="1:27" ht="18.75" customHeight="1">
      <c r="A125" s="3301" t="s">
        <v>1452</v>
      </c>
      <c r="B125" s="3301"/>
      <c r="C125" s="3301"/>
      <c r="D125" s="3307" t="e">
        <f>NUMBERSTRING(INT(D124*10000),2)&amp;"元整"</f>
        <v>#VALUE!</v>
      </c>
      <c r="E125" s="3309"/>
      <c r="F125" s="3309"/>
      <c r="G125" s="3309"/>
      <c r="H125" s="3309"/>
      <c r="I125" s="3308"/>
      <c r="AA125" s="684"/>
    </row>
    <row r="126" spans="1:27" ht="18.75" customHeight="1">
      <c r="A126" s="3313" t="str">
        <f>IF(项目基本情况!B9="房地产市场价值","",MID(E111,3,LEN(E111)-2))</f>
        <v/>
      </c>
      <c r="B126" s="3313"/>
      <c r="C126" s="3313"/>
      <c r="D126" s="3302" t="str">
        <f>H111</f>
        <v>——</v>
      </c>
      <c r="E126" s="3303"/>
      <c r="F126" s="3303"/>
      <c r="G126" s="3303"/>
      <c r="H126" s="3303"/>
      <c r="I126" s="3304"/>
      <c r="AA126" s="684"/>
    </row>
    <row r="127" spans="1:27" ht="18.75" customHeight="1">
      <c r="A127" s="3301" t="s">
        <v>1452</v>
      </c>
      <c r="B127" s="3301"/>
      <c r="C127" s="3301"/>
      <c r="D127" s="3307" t="e">
        <f>NUMBERSTRING(INT(D126*10000),2)&amp;"元整"</f>
        <v>#VALUE!</v>
      </c>
      <c r="E127" s="3309"/>
      <c r="F127" s="3309"/>
      <c r="G127" s="3309"/>
      <c r="H127" s="3309"/>
      <c r="I127" s="3308"/>
      <c r="AA127" s="684"/>
    </row>
    <row r="128" spans="1:27" ht="21.75" customHeight="1">
      <c r="A128" s="3310" t="s">
        <v>1453</v>
      </c>
      <c r="B128" s="3310"/>
      <c r="C128" s="3310"/>
      <c r="D128" s="3310"/>
      <c r="E128" s="3310"/>
      <c r="F128" s="3310"/>
      <c r="G128" s="3310"/>
      <c r="H128" s="3310"/>
      <c r="I128" s="3310"/>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8</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1431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55.92</v>
      </c>
      <c r="E9" s="217">
        <f>'数据-取费表'!B27</f>
        <v>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55.92</v>
      </c>
      <c r="E19" s="203">
        <f>'数据-取费表'!B31</f>
        <v>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6.1500000000000006E-2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0.01</v>
      </c>
      <c r="G36" s="252" t="s">
        <v>1530</v>
      </c>
    </row>
    <row r="37" spans="1:7" s="250" customFormat="1" ht="13.5" customHeight="1">
      <c r="A37" s="734" t="s">
        <v>353</v>
      </c>
      <c r="B37" s="207" t="s">
        <v>1531</v>
      </c>
      <c r="C37" s="241">
        <f ca="1">ROUND(E37*D37*F34/10000,0)</f>
        <v>1</v>
      </c>
      <c r="D37" s="209">
        <f ca="1">D19</f>
        <v>55.92</v>
      </c>
      <c r="E37" s="241">
        <f>'数据-取费表'!B35</f>
        <v>150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5.9999999999999995E-4</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80" t="s">
        <v>1544</v>
      </c>
    </row>
    <row r="43" spans="1:7" ht="13.5" customHeight="1">
      <c r="A43" s="734" t="s">
        <v>347</v>
      </c>
      <c r="B43" s="207" t="s">
        <v>1545</v>
      </c>
      <c r="C43" s="230">
        <f ca="1">ROUND(IF('数据-取费表'!B22&lt;=1,C39*F22*'数据-取费表'!B21/2,C39*(POWER((1+F22),'数据-取费表'!B21/2)-1)),0)</f>
        <v>0</v>
      </c>
      <c r="D43" s="230"/>
      <c r="E43" s="230"/>
      <c r="F43" s="231"/>
      <c r="G43" s="3381"/>
    </row>
    <row r="44" spans="1:7" ht="13.5" customHeight="1">
      <c r="A44" s="734" t="s">
        <v>348</v>
      </c>
      <c r="B44" s="207" t="s">
        <v>1546</v>
      </c>
      <c r="C44" s="230">
        <f ca="1">ROUND(IF('数据-取费表'!B22&lt;=1,C40*F22*'数据-取费表'!B21/2,C40*(POWER((1+F22),'数据-取费表'!B21/2)-1)),4)</f>
        <v>5.9999999999999995E-4</v>
      </c>
      <c r="D44" s="230"/>
      <c r="E44" s="230"/>
      <c r="F44" s="231"/>
      <c r="G44" s="3382"/>
    </row>
    <row r="45" spans="1:7" s="206" customFormat="1" ht="13.5" customHeight="1">
      <c r="A45" s="247" t="s">
        <v>1547</v>
      </c>
      <c r="B45" s="236" t="s">
        <v>1513</v>
      </c>
      <c r="C45" s="237">
        <f ca="1">C46</f>
        <v>1</v>
      </c>
      <c r="D45" s="227">
        <f ca="1">C47</f>
        <v>1E-3</v>
      </c>
      <c r="E45" s="228" t="s">
        <v>1539</v>
      </c>
      <c r="F45" s="238">
        <f ca="1">F27</f>
        <v>0.1</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0.6</v>
      </c>
      <c r="G50" s="239" t="s">
        <v>1557</v>
      </c>
    </row>
    <row r="51" spans="1:7" ht="16.5" customHeight="1">
      <c r="A51" s="247" t="s">
        <v>1558</v>
      </c>
      <c r="B51" s="202" t="s">
        <v>1559</v>
      </c>
      <c r="C51" s="224">
        <f ca="1">ROUND(C49*F50,0)</f>
        <v>8</v>
      </c>
      <c r="D51" s="224"/>
      <c r="E51" s="224"/>
      <c r="F51" s="256"/>
      <c r="G51" s="226" t="s">
        <v>1560</v>
      </c>
    </row>
    <row r="52" spans="1:7" s="200" customFormat="1" ht="16.5" thickBot="1">
      <c r="A52" s="257" t="s">
        <v>1561</v>
      </c>
      <c r="B52" s="258"/>
      <c r="C52" s="259">
        <f ca="1">C31+C51</f>
        <v>8</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8" t="str">
        <f>项目基本情况!B1</f>
        <v>北京市房地产市场价值预评估</v>
      </c>
      <c r="C37" s="3198"/>
      <c r="D37" s="3198"/>
      <c r="E37" s="3198"/>
      <c r="F37" s="3198"/>
      <c r="G37" s="3198"/>
      <c r="H37" s="3198"/>
      <c r="I37" s="3198"/>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13" zoomScaleNormal="60" zoomScaleSheetLayoutView="100" workbookViewId="0">
      <selection activeCell="K43" sqref="K43"/>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2" t="s">
        <v>3394</v>
      </c>
      <c r="F1" s="1734" t="s">
        <v>3395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45.680999999999997</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8169</v>
      </c>
      <c r="C3" s="344" t="s">
        <v>1665</v>
      </c>
      <c r="D3" s="343">
        <f>IF(D1="",'数据-汇总表'!E3,SUMIF('数据-汇总表'!$C19:$C33,D1,'数据-汇总表'!$E19:$E33))</f>
        <v>55.92</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401" t="s">
        <v>1667</v>
      </c>
      <c r="D4" s="3402"/>
      <c r="E4" s="3403" t="s">
        <v>1668</v>
      </c>
      <c r="F4" s="3404"/>
      <c r="G4" s="3401" t="s">
        <v>1669</v>
      </c>
      <c r="H4" s="3402"/>
      <c r="I4" s="3401" t="s">
        <v>1670</v>
      </c>
      <c r="J4" s="3402"/>
      <c r="K4" s="1743" t="s">
        <v>1671</v>
      </c>
      <c r="L4" s="2484"/>
      <c r="M4" s="2485"/>
      <c r="N4" s="2485"/>
      <c r="O4" s="2485"/>
      <c r="P4" s="3405" t="s">
        <v>1672</v>
      </c>
      <c r="Q4" s="3406"/>
      <c r="R4" s="3388" t="s">
        <v>1668</v>
      </c>
      <c r="S4" s="3389"/>
      <c r="T4" s="3388" t="s">
        <v>1669</v>
      </c>
      <c r="U4" s="3389"/>
      <c r="V4" s="3413" t="s">
        <v>1670</v>
      </c>
      <c r="W4" s="3413"/>
      <c r="X4" s="1264"/>
      <c r="Y4" s="3388" t="s">
        <v>1672</v>
      </c>
      <c r="Z4" s="3389"/>
      <c r="AA4" s="3383" t="s">
        <v>1668</v>
      </c>
      <c r="AB4" s="3383" t="s">
        <v>1669</v>
      </c>
      <c r="AC4" s="3383" t="s">
        <v>1670</v>
      </c>
    </row>
    <row r="5" spans="1:29" ht="15">
      <c r="A5" s="348"/>
      <c r="B5" s="349"/>
      <c r="C5" s="3394" t="s">
        <v>3686</v>
      </c>
      <c r="D5" s="3395"/>
      <c r="E5" s="3392" t="str">
        <f>案例!G20</f>
        <v>南口镇新西广街</v>
      </c>
      <c r="F5" s="3393"/>
      <c r="G5" s="3392" t="str">
        <f>案例!G21</f>
        <v>南口镇新西广街</v>
      </c>
      <c r="H5" s="3393"/>
      <c r="I5" s="3392" t="str">
        <f>案例!G25</f>
        <v>南口镇新西广街</v>
      </c>
      <c r="J5" s="3393"/>
      <c r="K5" s="1744"/>
      <c r="L5" s="2484"/>
      <c r="M5" s="2485"/>
      <c r="N5" s="2485"/>
      <c r="O5" s="2485"/>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1744" t="s">
        <v>1678</v>
      </c>
      <c r="L6" s="2484"/>
      <c r="M6" s="2485"/>
      <c r="N6" s="2485"/>
      <c r="O6" s="2485"/>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41106</v>
      </c>
      <c r="D7" s="355">
        <v>100</v>
      </c>
      <c r="E7" s="356">
        <f>案例!AB20</f>
        <v>41057</v>
      </c>
      <c r="F7" s="357">
        <f>SUMIF(58:58,YEAR(E7)&amp;"-"&amp;MONTH(E7),59:59)</f>
        <v>99.5</v>
      </c>
      <c r="G7" s="356">
        <f>案例!AB21</f>
        <v>41089</v>
      </c>
      <c r="H7" s="355">
        <f>SUMIF(58:58,YEAR(G7)&amp;"-"&amp;MONTH(G7),59:59)</f>
        <v>100</v>
      </c>
      <c r="I7" s="356">
        <f>案例!AB25</f>
        <v>40896</v>
      </c>
      <c r="J7" s="355">
        <f>SUMIF(58:58,YEAR(I7)&amp;"-"&amp;MONTH(I7),59:59)</f>
        <v>99</v>
      </c>
      <c r="K7" s="1745"/>
      <c r="L7" s="2486"/>
      <c r="M7" s="2437"/>
      <c r="N7" s="2437"/>
      <c r="O7" s="2437"/>
      <c r="P7" s="3386" t="s">
        <v>1680</v>
      </c>
      <c r="Q7" s="3414"/>
      <c r="R7" s="664" t="s">
        <v>20</v>
      </c>
      <c r="S7" s="665">
        <f t="shared" ref="S7:S15" si="0">F7</f>
        <v>99.5</v>
      </c>
      <c r="T7" s="664" t="s">
        <v>20</v>
      </c>
      <c r="U7" s="665">
        <f t="shared" ref="U7:U15" si="1">H7</f>
        <v>100</v>
      </c>
      <c r="V7" s="664" t="s">
        <v>20</v>
      </c>
      <c r="W7" s="665">
        <f t="shared" ref="W7:W15" si="2">J7</f>
        <v>99</v>
      </c>
      <c r="X7" s="666"/>
      <c r="Y7" s="3386" t="s">
        <v>1680</v>
      </c>
      <c r="Z7" s="3387"/>
      <c r="AA7" s="50">
        <f>D7/F7</f>
        <v>1.0050251256281406</v>
      </c>
      <c r="AB7" s="50">
        <f>D7/H7</f>
        <v>1</v>
      </c>
      <c r="AC7" s="50">
        <f>D7/J7</f>
        <v>1.0101010101010102</v>
      </c>
    </row>
    <row r="8" spans="1:29" s="102" customFormat="1" ht="15.75" thickBot="1">
      <c r="A8" s="352" t="s">
        <v>1681</v>
      </c>
      <c r="B8" s="353"/>
      <c r="C8" s="358" t="s">
        <v>3396</v>
      </c>
      <c r="D8" s="355">
        <v>100</v>
      </c>
      <c r="E8" s="1746" t="s">
        <v>3396</v>
      </c>
      <c r="F8" s="357">
        <f>SUMIF(61:61,E8,62:62)-SUMIF(61:61,C8,62:62)+100</f>
        <v>100</v>
      </c>
      <c r="G8" s="358" t="s">
        <v>3396</v>
      </c>
      <c r="H8" s="355">
        <f>SUMIF(61:61,G8,62:62)-SUMIF(61:61,C8,62:62)+100</f>
        <v>100</v>
      </c>
      <c r="I8" s="1746" t="s">
        <v>3396</v>
      </c>
      <c r="J8" s="355">
        <f>SUMIF(61:61,I8,62:62)-SUMIF(61:61,C8,62:62)+100</f>
        <v>100</v>
      </c>
      <c r="K8" s="1745"/>
      <c r="L8" s="2486"/>
      <c r="M8" s="2437"/>
      <c r="N8" s="2437"/>
      <c r="O8" s="2437"/>
      <c r="P8" s="3386" t="s">
        <v>1683</v>
      </c>
      <c r="Q8" s="3387"/>
      <c r="R8" s="664" t="s">
        <v>20</v>
      </c>
      <c r="S8" s="665">
        <f t="shared" si="0"/>
        <v>100</v>
      </c>
      <c r="T8" s="664" t="s">
        <v>20</v>
      </c>
      <c r="U8" s="665">
        <f t="shared" si="1"/>
        <v>100</v>
      </c>
      <c r="V8" s="664" t="s">
        <v>20</v>
      </c>
      <c r="W8" s="665">
        <f t="shared" si="2"/>
        <v>100</v>
      </c>
      <c r="X8" s="666"/>
      <c r="Y8" s="3386" t="s">
        <v>1683</v>
      </c>
      <c r="Z8" s="3387"/>
      <c r="AA8" s="50">
        <f t="shared" ref="AA8:AA19" si="3">D8/F8</f>
        <v>1</v>
      </c>
      <c r="AB8" s="50">
        <f t="shared" ref="AB8:AB19" si="4">D8/H8</f>
        <v>1</v>
      </c>
      <c r="AC8" s="50">
        <f t="shared" ref="AC8:AC19" si="5">D8/J8</f>
        <v>1</v>
      </c>
    </row>
    <row r="9" spans="1:29" s="102" customFormat="1">
      <c r="A9" s="359" t="s">
        <v>1684</v>
      </c>
      <c r="B9" s="60" t="s">
        <v>1685</v>
      </c>
      <c r="C9" s="3142" t="s">
        <v>3399</v>
      </c>
      <c r="D9" s="59">
        <v>100</v>
      </c>
      <c r="E9" s="361" t="s">
        <v>3390</v>
      </c>
      <c r="F9" s="60">
        <f>SUMIF(63:63,E9,64:64)-SUMIF(63:63,C9,64:64)+100</f>
        <v>100</v>
      </c>
      <c r="G9" s="362" t="s">
        <v>3390</v>
      </c>
      <c r="H9" s="59">
        <f>SUMIF(63:63,G9,64:64)-SUMIF(63:63,C9,64:64)+100</f>
        <v>100</v>
      </c>
      <c r="I9" s="362" t="s">
        <v>3390</v>
      </c>
      <c r="J9" s="59">
        <f>SUMIF(63:63,I9,64:64)-SUMIF(63:63,C9,64:64)+100</f>
        <v>100</v>
      </c>
      <c r="K9" s="1745"/>
      <c r="L9" s="2486"/>
      <c r="M9" s="2437"/>
      <c r="N9" s="2437"/>
      <c r="O9" s="2437"/>
      <c r="P9" s="3400"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
      <c r="A11" s="367"/>
      <c r="B11" s="364" t="s">
        <v>1689</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365"/>
      <c r="L11" s="2489"/>
      <c r="M11" s="2485"/>
      <c r="N11" s="2485"/>
      <c r="O11" s="2485"/>
      <c r="P11" s="3400"/>
      <c r="Q11" s="530" t="str">
        <f t="shared" si="6"/>
        <v>容积率</v>
      </c>
      <c r="R11" s="664" t="s">
        <v>18</v>
      </c>
      <c r="S11" s="665">
        <f t="shared" si="0"/>
        <v>100</v>
      </c>
      <c r="T11" s="664" t="s">
        <v>18</v>
      </c>
      <c r="U11" s="665">
        <f t="shared" si="1"/>
        <v>100</v>
      </c>
      <c r="V11" s="664" t="s">
        <v>18</v>
      </c>
      <c r="W11" s="665">
        <f t="shared" si="2"/>
        <v>100</v>
      </c>
      <c r="X11" s="666"/>
      <c r="Y11" s="3356"/>
      <c r="Z11" s="50" t="str">
        <f t="shared" si="7"/>
        <v>容积率</v>
      </c>
      <c r="AA11" s="50">
        <f t="shared" si="3"/>
        <v>1</v>
      </c>
      <c r="AB11" s="50">
        <f t="shared" si="4"/>
        <v>1</v>
      </c>
      <c r="AC11" s="50">
        <f t="shared" si="5"/>
        <v>1</v>
      </c>
    </row>
    <row r="12" spans="1:29" s="102" customFormat="1" ht="15">
      <c r="A12" s="370"/>
      <c r="B12" s="447">
        <v>111</v>
      </c>
      <c r="C12" s="3152"/>
      <c r="D12" s="372">
        <v>100</v>
      </c>
      <c r="E12" s="3152"/>
      <c r="F12" s="364">
        <f>SUMIF(70:70,E12,71:71)-SUMIF(70:70,C12,71:71)+100</f>
        <v>100</v>
      </c>
      <c r="G12" s="3152"/>
      <c r="H12" s="119">
        <f>SUMIF(70:70,G12,71:71)-SUMIF(70:70,C12,71:71)+100</f>
        <v>100</v>
      </c>
      <c r="I12" s="3152"/>
      <c r="J12" s="119">
        <f>SUMIF(70:70,I12,71:71)-SUMIF(70:70,C12,71:71)+100</f>
        <v>100</v>
      </c>
      <c r="K12" s="1747"/>
      <c r="L12" s="2486"/>
      <c r="M12" s="2437"/>
      <c r="N12" s="2437"/>
      <c r="O12" s="2437"/>
      <c r="P12" s="3400"/>
      <c r="Q12" s="530">
        <f t="shared" si="6"/>
        <v>111</v>
      </c>
      <c r="R12" s="664" t="s">
        <v>18</v>
      </c>
      <c r="S12" s="665">
        <f t="shared" si="0"/>
        <v>100</v>
      </c>
      <c r="T12" s="664" t="s">
        <v>18</v>
      </c>
      <c r="U12" s="665">
        <f t="shared" si="1"/>
        <v>100</v>
      </c>
      <c r="V12" s="664" t="s">
        <v>18</v>
      </c>
      <c r="W12" s="665">
        <f t="shared" si="2"/>
        <v>100</v>
      </c>
      <c r="X12" s="666"/>
      <c r="Y12" s="33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00"/>
      <c r="Q13" s="530">
        <f t="shared" si="6"/>
        <v>111</v>
      </c>
      <c r="R13" s="664" t="s">
        <v>18</v>
      </c>
      <c r="S13" s="665">
        <f t="shared" si="0"/>
        <v>100</v>
      </c>
      <c r="T13" s="664" t="s">
        <v>18</v>
      </c>
      <c r="U13" s="665">
        <f t="shared" si="1"/>
        <v>100</v>
      </c>
      <c r="V13" s="664" t="s">
        <v>18</v>
      </c>
      <c r="W13" s="665">
        <f t="shared" si="2"/>
        <v>100</v>
      </c>
      <c r="X13" s="666"/>
      <c r="Y13" s="3356"/>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00"/>
      <c r="Q14" s="530">
        <f t="shared" si="6"/>
        <v>111</v>
      </c>
      <c r="R14" s="664" t="s">
        <v>18</v>
      </c>
      <c r="S14" s="665">
        <f t="shared" si="0"/>
        <v>100</v>
      </c>
      <c r="T14" s="664" t="s">
        <v>18</v>
      </c>
      <c r="U14" s="665">
        <f t="shared" si="1"/>
        <v>100</v>
      </c>
      <c r="V14" s="664" t="s">
        <v>18</v>
      </c>
      <c r="W14" s="665">
        <f t="shared" si="2"/>
        <v>100</v>
      </c>
      <c r="X14" s="666"/>
      <c r="Y14" s="3356"/>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0"/>
      <c r="M15" s="2485"/>
      <c r="N15" s="2485"/>
      <c r="O15" s="2485"/>
      <c r="P15" s="3426" t="s">
        <v>1691</v>
      </c>
      <c r="Q15" s="1262" t="str">
        <f t="shared" si="6"/>
        <v>居住社区成熟度</v>
      </c>
      <c r="R15" s="667" t="s">
        <v>18</v>
      </c>
      <c r="S15" s="668">
        <f t="shared" si="0"/>
        <v>100</v>
      </c>
      <c r="T15" s="667" t="s">
        <v>18</v>
      </c>
      <c r="U15" s="668">
        <f t="shared" si="1"/>
        <v>100</v>
      </c>
      <c r="V15" s="667" t="s">
        <v>18</v>
      </c>
      <c r="W15" s="668">
        <f t="shared" si="2"/>
        <v>100</v>
      </c>
      <c r="X15" s="1264"/>
      <c r="Y15" s="3419" t="s">
        <v>1691</v>
      </c>
      <c r="Z15" s="1263" t="str">
        <f t="shared" si="7"/>
        <v>居住社区成熟度</v>
      </c>
      <c r="AA15" s="1263">
        <f t="shared" si="3"/>
        <v>1</v>
      </c>
      <c r="AB15" s="1263">
        <f t="shared" si="4"/>
        <v>1</v>
      </c>
      <c r="AC15" s="1263">
        <f t="shared" si="5"/>
        <v>1</v>
      </c>
    </row>
    <row r="16" spans="1:29" ht="15">
      <c r="A16" s="367"/>
      <c r="B16" s="385"/>
      <c r="C16" s="386" t="s">
        <v>3423</v>
      </c>
      <c r="D16" s="387"/>
      <c r="E16" s="386" t="s">
        <v>3423</v>
      </c>
      <c r="F16" s="387"/>
      <c r="G16" s="386" t="s">
        <v>3423</v>
      </c>
      <c r="H16" s="389"/>
      <c r="I16" s="386" t="s">
        <v>3423</v>
      </c>
      <c r="J16" s="387"/>
      <c r="K16" s="1752"/>
      <c r="L16" s="2490"/>
      <c r="M16" s="2485"/>
      <c r="N16" s="2485"/>
      <c r="O16" s="2485"/>
      <c r="P16" s="3427"/>
      <c r="Q16" s="1262"/>
      <c r="R16" s="667"/>
      <c r="S16" s="668"/>
      <c r="T16" s="667"/>
      <c r="U16" s="668"/>
      <c r="V16" s="667"/>
      <c r="W16" s="668"/>
      <c r="X16" s="1264"/>
      <c r="Y16" s="3420"/>
      <c r="Z16" s="1263"/>
      <c r="AA16" s="1263">
        <v>1</v>
      </c>
      <c r="AB16" s="1263">
        <v>1</v>
      </c>
      <c r="AC16" s="1263">
        <v>1</v>
      </c>
    </row>
    <row r="17" spans="1:29" ht="57">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7"/>
      <c r="Q17" s="1262" t="str">
        <f>B17</f>
        <v>交通便捷度</v>
      </c>
      <c r="R17" s="667" t="s">
        <v>18</v>
      </c>
      <c r="S17" s="668">
        <f>F17</f>
        <v>100</v>
      </c>
      <c r="T17" s="667" t="s">
        <v>18</v>
      </c>
      <c r="U17" s="668">
        <f>H17</f>
        <v>100</v>
      </c>
      <c r="V17" s="667" t="s">
        <v>18</v>
      </c>
      <c r="W17" s="668">
        <f>J17</f>
        <v>100</v>
      </c>
      <c r="X17" s="1264"/>
      <c r="Y17" s="3420"/>
      <c r="Z17" s="1263" t="str">
        <f>Q17</f>
        <v>交通便捷度</v>
      </c>
      <c r="AA17" s="1263">
        <f t="shared" si="3"/>
        <v>1</v>
      </c>
      <c r="AB17" s="1263">
        <f t="shared" si="4"/>
        <v>1</v>
      </c>
      <c r="AC17" s="1263">
        <f t="shared" si="5"/>
        <v>1</v>
      </c>
    </row>
    <row r="18" spans="1:29" ht="15">
      <c r="A18" s="367"/>
      <c r="B18" s="395"/>
      <c r="C18" s="1754" t="s">
        <v>3430</v>
      </c>
      <c r="D18" s="389"/>
      <c r="E18" s="1754" t="s">
        <v>3430</v>
      </c>
      <c r="F18" s="389"/>
      <c r="G18" s="1754" t="s">
        <v>3430</v>
      </c>
      <c r="H18" s="387"/>
      <c r="I18" s="1754" t="s">
        <v>3430</v>
      </c>
      <c r="J18" s="387"/>
      <c r="K18" s="1752"/>
      <c r="L18" s="2490"/>
      <c r="M18" s="2485"/>
      <c r="N18" s="2485"/>
      <c r="O18" s="2485"/>
      <c r="P18" s="3427"/>
      <c r="Q18" s="1262"/>
      <c r="R18" s="667"/>
      <c r="S18" s="668"/>
      <c r="T18" s="667"/>
      <c r="U18" s="668"/>
      <c r="V18" s="667"/>
      <c r="W18" s="668"/>
      <c r="X18" s="1264"/>
      <c r="Y18" s="3420"/>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1</v>
      </c>
      <c r="L19" s="2490"/>
      <c r="M19" s="2485"/>
      <c r="N19" s="2485"/>
      <c r="O19" s="2485"/>
      <c r="P19" s="3427"/>
      <c r="Q19" s="1262" t="str">
        <f>B19</f>
        <v>公共配套设施</v>
      </c>
      <c r="R19" s="667" t="s">
        <v>18</v>
      </c>
      <c r="S19" s="668">
        <f>F19</f>
        <v>100</v>
      </c>
      <c r="T19" s="667" t="s">
        <v>18</v>
      </c>
      <c r="U19" s="668">
        <f>H19</f>
        <v>100</v>
      </c>
      <c r="V19" s="667" t="s">
        <v>18</v>
      </c>
      <c r="W19" s="668">
        <f>J19</f>
        <v>100</v>
      </c>
      <c r="X19" s="1264"/>
      <c r="Y19" s="3420"/>
      <c r="Z19" s="1263" t="str">
        <f>Q19</f>
        <v>公共配套设施</v>
      </c>
      <c r="AA19" s="1263">
        <f t="shared" si="3"/>
        <v>1</v>
      </c>
      <c r="AB19" s="1263">
        <f t="shared" si="4"/>
        <v>1</v>
      </c>
      <c r="AC19" s="1263">
        <f t="shared" si="5"/>
        <v>1</v>
      </c>
    </row>
    <row r="20" spans="1:29" ht="15">
      <c r="A20" s="367"/>
      <c r="B20" s="395"/>
      <c r="C20" s="386" t="s">
        <v>3430</v>
      </c>
      <c r="D20" s="387"/>
      <c r="E20" s="386" t="s">
        <v>3430</v>
      </c>
      <c r="F20" s="387"/>
      <c r="G20" s="386" t="s">
        <v>3430</v>
      </c>
      <c r="H20" s="387"/>
      <c r="I20" s="386" t="s">
        <v>3430</v>
      </c>
      <c r="J20" s="387"/>
      <c r="K20" s="1752"/>
      <c r="L20" s="2490"/>
      <c r="M20" s="2485"/>
      <c r="N20" s="2485"/>
      <c r="O20" s="2485"/>
      <c r="P20" s="3427"/>
      <c r="Q20" s="1262"/>
      <c r="R20" s="667"/>
      <c r="S20" s="668"/>
      <c r="T20" s="667"/>
      <c r="U20" s="668"/>
      <c r="V20" s="667"/>
      <c r="W20" s="668"/>
      <c r="X20" s="1264"/>
      <c r="Y20" s="3420"/>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7"/>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263">
        <f t="shared" ref="AC21" si="10">D21/J21</f>
        <v>1</v>
      </c>
    </row>
    <row r="22" spans="1:29" ht="15">
      <c r="A22" s="367"/>
      <c r="B22" s="586"/>
      <c r="C22" s="1754" t="s">
        <v>3431</v>
      </c>
      <c r="D22" s="387"/>
      <c r="E22" s="1754" t="s">
        <v>3431</v>
      </c>
      <c r="F22" s="387"/>
      <c r="G22" s="1754" t="s">
        <v>3431</v>
      </c>
      <c r="H22" s="387"/>
      <c r="I22" s="1754" t="s">
        <v>3431</v>
      </c>
      <c r="J22" s="387"/>
      <c r="K22" s="1758"/>
      <c r="L22" s="2490"/>
      <c r="M22" s="2485"/>
      <c r="N22" s="2485"/>
      <c r="O22" s="2485"/>
      <c r="P22" s="3427"/>
      <c r="Q22" s="1262"/>
      <c r="R22" s="667"/>
      <c r="S22" s="668"/>
      <c r="T22" s="667"/>
      <c r="U22" s="668"/>
      <c r="V22" s="667"/>
      <c r="W22" s="668"/>
      <c r="X22" s="1264"/>
      <c r="Y22" s="3420"/>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7"/>
      <c r="Q23" s="1262" t="str">
        <f>B23</f>
        <v>自然及人文环境</v>
      </c>
      <c r="R23" s="667" t="s">
        <v>18</v>
      </c>
      <c r="S23" s="668">
        <f>F23</f>
        <v>100</v>
      </c>
      <c r="T23" s="667" t="s">
        <v>18</v>
      </c>
      <c r="U23" s="668">
        <f>H23</f>
        <v>100</v>
      </c>
      <c r="V23" s="667" t="s">
        <v>18</v>
      </c>
      <c r="W23" s="668">
        <f>J23</f>
        <v>100</v>
      </c>
      <c r="X23" s="1264"/>
      <c r="Y23" s="3420"/>
      <c r="Z23" s="1263" t="str">
        <f>Q23</f>
        <v>自然及人文环境</v>
      </c>
      <c r="AA23" s="1263">
        <f>D23/F23</f>
        <v>1</v>
      </c>
      <c r="AB23" s="1263">
        <f>D23/H23</f>
        <v>1</v>
      </c>
      <c r="AC23" s="1263">
        <f>D23/J23</f>
        <v>1</v>
      </c>
    </row>
    <row r="24" spans="1:29" ht="15">
      <c r="A24" s="367"/>
      <c r="B24" s="395"/>
      <c r="C24" s="386" t="s">
        <v>3430</v>
      </c>
      <c r="D24" s="387"/>
      <c r="E24" s="386" t="s">
        <v>3430</v>
      </c>
      <c r="F24" s="387"/>
      <c r="G24" s="386" t="s">
        <v>3430</v>
      </c>
      <c r="H24" s="387"/>
      <c r="I24" s="386" t="s">
        <v>3430</v>
      </c>
      <c r="J24" s="387"/>
      <c r="K24" s="1752"/>
      <c r="L24" s="2490"/>
      <c r="M24" s="2485"/>
      <c r="N24" s="2485"/>
      <c r="O24" s="2485"/>
      <c r="P24" s="3427"/>
      <c r="Q24" s="1262"/>
      <c r="R24" s="667"/>
      <c r="S24" s="668"/>
      <c r="T24" s="667"/>
      <c r="U24" s="668"/>
      <c r="V24" s="667"/>
      <c r="W24" s="668"/>
      <c r="X24" s="1264"/>
      <c r="Y24" s="3420"/>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27"/>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20"/>
      <c r="Z25" s="1263" t="str">
        <f>Q25</f>
        <v>楼层-1</v>
      </c>
      <c r="AA25" s="1263">
        <f t="shared" ref="AA25:AA46" si="15">D25/F25</f>
        <v>1</v>
      </c>
      <c r="AB25" s="1263">
        <f t="shared" ref="AB25:AB46" si="16">D25/H25</f>
        <v>1</v>
      </c>
      <c r="AC25" s="1263">
        <f t="shared" ref="AC25:AC46" si="17">D25/J25</f>
        <v>1</v>
      </c>
    </row>
    <row r="26" spans="1:29" ht="15">
      <c r="A26" s="367"/>
      <c r="B26" s="364" t="s">
        <v>1693</v>
      </c>
      <c r="C26" s="399" t="s">
        <v>3690</v>
      </c>
      <c r="D26" s="374">
        <v>100</v>
      </c>
      <c r="E26" s="1759" t="s">
        <v>3690</v>
      </c>
      <c r="F26" s="374">
        <f>SUMIF(88:88,E26,89:89)-SUMIF(88:88,C26,89:89)+100</f>
        <v>100</v>
      </c>
      <c r="G26" s="1760" t="s">
        <v>3690</v>
      </c>
      <c r="H26" s="374">
        <f>SUMIF(88:88,G26,89:89)-SUMIF(88:88,C26,89:89)+100</f>
        <v>100</v>
      </c>
      <c r="I26" s="1760" t="s">
        <v>3690</v>
      </c>
      <c r="J26" s="374">
        <f>SUMIF(88:88,I26,89:89)-SUMIF(88:88,C26,89:89)+100</f>
        <v>100</v>
      </c>
      <c r="K26" s="365">
        <v>1</v>
      </c>
      <c r="L26" s="2490"/>
      <c r="M26" s="2485"/>
      <c r="N26" s="2485"/>
      <c r="O26" s="2485"/>
      <c r="P26" s="3427"/>
      <c r="Q26" s="1262" t="str">
        <f t="shared" si="11"/>
        <v>朝向</v>
      </c>
      <c r="R26" s="667" t="s">
        <v>18</v>
      </c>
      <c r="S26" s="668">
        <f t="shared" si="12"/>
        <v>100</v>
      </c>
      <c r="T26" s="667" t="s">
        <v>18</v>
      </c>
      <c r="U26" s="668">
        <f t="shared" si="13"/>
        <v>100</v>
      </c>
      <c r="V26" s="667" t="s">
        <v>18</v>
      </c>
      <c r="W26" s="668">
        <f t="shared" si="14"/>
        <v>100</v>
      </c>
      <c r="X26" s="1264"/>
      <c r="Y26" s="3420"/>
      <c r="Z26" s="1263" t="str">
        <f>Q26</f>
        <v>朝向</v>
      </c>
      <c r="AA26" s="1263">
        <f t="shared" si="15"/>
        <v>1</v>
      </c>
      <c r="AB26" s="1263">
        <f t="shared" si="16"/>
        <v>1</v>
      </c>
      <c r="AC26" s="1263">
        <f t="shared" si="17"/>
        <v>1</v>
      </c>
    </row>
    <row r="27" spans="1:29" s="102" customFormat="1" ht="15">
      <c r="A27" s="370"/>
      <c r="B27" s="3146" t="s">
        <v>3411</v>
      </c>
      <c r="C27" s="403" t="s">
        <v>3687</v>
      </c>
      <c r="D27" s="401">
        <v>100</v>
      </c>
      <c r="E27" s="403" t="s">
        <v>3688</v>
      </c>
      <c r="F27" s="401">
        <f>SUMIF(90:90,E27,91:91)-SUMIF(90:90,C27,91:91)+100</f>
        <v>99</v>
      </c>
      <c r="G27" s="402" t="s">
        <v>3689</v>
      </c>
      <c r="H27" s="401">
        <f>SUMIF(90:90,G27,91:91)-SUMIF(90:90,C27,91:91)+100</f>
        <v>97</v>
      </c>
      <c r="I27" s="402" t="s">
        <v>3688</v>
      </c>
      <c r="J27" s="401">
        <f>SUMIF(90:90,I27,91:91)-SUMIF(90:90,C27,91:91)+100</f>
        <v>99</v>
      </c>
      <c r="K27" s="1747"/>
      <c r="L27" s="2486"/>
      <c r="M27" s="2437"/>
      <c r="N27" s="2437"/>
      <c r="O27" s="2437"/>
      <c r="P27" s="3427"/>
      <c r="Q27" s="530" t="str">
        <f t="shared" si="11"/>
        <v>楼层</v>
      </c>
      <c r="R27" s="664" t="s">
        <v>18</v>
      </c>
      <c r="S27" s="665">
        <f t="shared" si="12"/>
        <v>99</v>
      </c>
      <c r="T27" s="664" t="s">
        <v>18</v>
      </c>
      <c r="U27" s="665">
        <f t="shared" si="13"/>
        <v>97</v>
      </c>
      <c r="V27" s="664" t="s">
        <v>18</v>
      </c>
      <c r="W27" s="665">
        <f t="shared" si="14"/>
        <v>99</v>
      </c>
      <c r="X27" s="666"/>
      <c r="Y27" s="3420"/>
      <c r="Z27" s="50" t="str">
        <f>Q27</f>
        <v>楼层</v>
      </c>
      <c r="AA27" s="1263">
        <f t="shared" si="15"/>
        <v>1.0101010101010102</v>
      </c>
      <c r="AB27" s="1263">
        <f t="shared" si="16"/>
        <v>1.0309278350515463</v>
      </c>
      <c r="AC27" s="1263">
        <f t="shared" si="17"/>
        <v>1.0101010101010102</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427"/>
      <c r="Q28" s="1262">
        <f t="shared" si="11"/>
        <v>111</v>
      </c>
      <c r="R28" s="667" t="s">
        <v>18</v>
      </c>
      <c r="S28" s="668">
        <f t="shared" si="12"/>
        <v>100</v>
      </c>
      <c r="T28" s="667" t="s">
        <v>18</v>
      </c>
      <c r="U28" s="668">
        <f t="shared" si="13"/>
        <v>100</v>
      </c>
      <c r="V28" s="667" t="s">
        <v>18</v>
      </c>
      <c r="W28" s="668">
        <f t="shared" si="14"/>
        <v>100</v>
      </c>
      <c r="X28" s="1264"/>
      <c r="Y28" s="3420"/>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27"/>
      <c r="Q29" s="1262">
        <f t="shared" si="11"/>
        <v>111</v>
      </c>
      <c r="R29" s="667" t="s">
        <v>18</v>
      </c>
      <c r="S29" s="668">
        <f t="shared" si="12"/>
        <v>100</v>
      </c>
      <c r="T29" s="667" t="s">
        <v>18</v>
      </c>
      <c r="U29" s="668">
        <f t="shared" si="13"/>
        <v>100</v>
      </c>
      <c r="V29" s="667" t="s">
        <v>18</v>
      </c>
      <c r="W29" s="668">
        <f t="shared" si="14"/>
        <v>100</v>
      </c>
      <c r="X29" s="1264"/>
      <c r="Y29" s="3420"/>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27"/>
      <c r="Q30" s="1262">
        <f t="shared" si="11"/>
        <v>111</v>
      </c>
      <c r="R30" s="667" t="s">
        <v>18</v>
      </c>
      <c r="S30" s="668">
        <f t="shared" si="12"/>
        <v>100</v>
      </c>
      <c r="T30" s="667" t="s">
        <v>18</v>
      </c>
      <c r="U30" s="668">
        <f t="shared" si="13"/>
        <v>100</v>
      </c>
      <c r="V30" s="667" t="s">
        <v>18</v>
      </c>
      <c r="W30" s="668">
        <f t="shared" si="14"/>
        <v>100</v>
      </c>
      <c r="X30" s="1264"/>
      <c r="Y30" s="3420"/>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27"/>
      <c r="Q31" s="1262">
        <f t="shared" si="11"/>
        <v>111</v>
      </c>
      <c r="R31" s="667" t="s">
        <v>18</v>
      </c>
      <c r="S31" s="668">
        <f t="shared" si="12"/>
        <v>100</v>
      </c>
      <c r="T31" s="667" t="s">
        <v>18</v>
      </c>
      <c r="U31" s="668">
        <f t="shared" si="13"/>
        <v>100</v>
      </c>
      <c r="V31" s="667" t="s">
        <v>18</v>
      </c>
      <c r="W31" s="668">
        <f t="shared" si="14"/>
        <v>100</v>
      </c>
      <c r="X31" s="1264"/>
      <c r="Y31" s="3420"/>
      <c r="Z31" s="1263">
        <f t="shared" si="18"/>
        <v>111</v>
      </c>
      <c r="AA31" s="1263">
        <f t="shared" si="15"/>
        <v>1</v>
      </c>
      <c r="AB31" s="1263">
        <f t="shared" si="16"/>
        <v>1</v>
      </c>
      <c r="AC31" s="1263">
        <f t="shared" si="17"/>
        <v>1</v>
      </c>
    </row>
    <row r="32" spans="1:29" ht="15">
      <c r="A32" s="379" t="s">
        <v>1694</v>
      </c>
      <c r="B32" s="60" t="s">
        <v>1695</v>
      </c>
      <c r="C32" s="1763" t="s">
        <v>3685</v>
      </c>
      <c r="D32" s="405">
        <v>100</v>
      </c>
      <c r="E32" s="1763" t="s">
        <v>3685</v>
      </c>
      <c r="F32" s="400">
        <f>SUMIF(100:100,E32,101:101)-SUMIF(100:100,C32,101:101)+100</f>
        <v>100</v>
      </c>
      <c r="G32" s="1763" t="s">
        <v>3685</v>
      </c>
      <c r="H32" s="405">
        <f>SUMIF(100:100,G32,101:101)-SUMIF(100:100,C32,101:101)+100</f>
        <v>100</v>
      </c>
      <c r="I32" s="1763" t="s">
        <v>3685</v>
      </c>
      <c r="J32" s="374">
        <f>SUMIF(100:100,I32,101:101)-SUMIF(100:100,C32,101:101)+100</f>
        <v>100</v>
      </c>
      <c r="K32" s="365">
        <v>1</v>
      </c>
      <c r="L32" s="2490"/>
      <c r="M32" s="2485"/>
      <c r="N32" s="2485"/>
      <c r="O32" s="2485"/>
      <c r="P32" s="3421" t="s">
        <v>1696</v>
      </c>
      <c r="Q32" s="1262" t="str">
        <f t="shared" si="11"/>
        <v>建筑类型</v>
      </c>
      <c r="R32" s="667" t="s">
        <v>18</v>
      </c>
      <c r="S32" s="668">
        <f t="shared" si="12"/>
        <v>100</v>
      </c>
      <c r="T32" s="667" t="s">
        <v>18</v>
      </c>
      <c r="U32" s="668">
        <f t="shared" si="13"/>
        <v>100</v>
      </c>
      <c r="V32" s="667" t="s">
        <v>18</v>
      </c>
      <c r="W32" s="668">
        <f t="shared" si="14"/>
        <v>100</v>
      </c>
      <c r="X32" s="1264"/>
      <c r="Y32" s="3424" t="s">
        <v>1696</v>
      </c>
      <c r="Z32" s="1263" t="str">
        <f t="shared" si="18"/>
        <v>建筑类型</v>
      </c>
      <c r="AA32" s="1263">
        <f t="shared" si="15"/>
        <v>1</v>
      </c>
      <c r="AB32" s="1263">
        <f t="shared" si="16"/>
        <v>1</v>
      </c>
      <c r="AC32" s="1263">
        <f t="shared" si="17"/>
        <v>1</v>
      </c>
    </row>
    <row r="33" spans="1:29" s="408" customFormat="1" ht="15">
      <c r="A33" s="406"/>
      <c r="B33" s="364" t="s">
        <v>1697</v>
      </c>
      <c r="C33" s="407">
        <f>项目基本情况!C17</f>
        <v>55.92</v>
      </c>
      <c r="D33" s="119">
        <v>100</v>
      </c>
      <c r="E33" s="407">
        <f>案例!L20</f>
        <v>58.85</v>
      </c>
      <c r="F33" s="119">
        <f>LOOKUP(E33,103:103,104:104)-LOOKUP(C33,103:103,104:104)+100</f>
        <v>100</v>
      </c>
      <c r="G33" s="407">
        <f>案例!L21</f>
        <v>65.849999999999994</v>
      </c>
      <c r="H33" s="119">
        <f>LOOKUP(G33,103:103,104:104)-LOOKUP(C33,103:103,104:104)+100</f>
        <v>100</v>
      </c>
      <c r="I33" s="369">
        <f>案例!L25</f>
        <v>58.9</v>
      </c>
      <c r="J33" s="119">
        <f>LOOKUP(I33,103:103,104:104)-LOOKUP(C33,103:103,104:104)+100</f>
        <v>100</v>
      </c>
      <c r="K33" s="1747"/>
      <c r="L33" s="2489"/>
      <c r="M33" s="2491"/>
      <c r="N33" s="2491"/>
      <c r="O33" s="2491"/>
      <c r="P33" s="3422"/>
      <c r="Q33" s="531" t="str">
        <f t="shared" si="11"/>
        <v>项目建筑规模</v>
      </c>
      <c r="R33" s="669" t="s">
        <v>18</v>
      </c>
      <c r="S33" s="670">
        <f t="shared" si="12"/>
        <v>100</v>
      </c>
      <c r="T33" s="669" t="s">
        <v>18</v>
      </c>
      <c r="U33" s="670">
        <f t="shared" si="13"/>
        <v>100</v>
      </c>
      <c r="V33" s="669" t="s">
        <v>18</v>
      </c>
      <c r="W33" s="670">
        <f t="shared" si="14"/>
        <v>100</v>
      </c>
      <c r="X33" s="671"/>
      <c r="Y33" s="3424"/>
      <c r="Z33" s="672" t="str">
        <f t="shared" si="18"/>
        <v>项目建筑规模</v>
      </c>
      <c r="AA33" s="1263">
        <f t="shared" si="15"/>
        <v>1</v>
      </c>
      <c r="AB33" s="1263">
        <f t="shared" si="16"/>
        <v>1</v>
      </c>
      <c r="AC33" s="1263">
        <f t="shared" si="17"/>
        <v>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0"/>
      <c r="M34" s="2485"/>
      <c r="N34" s="2485"/>
      <c r="O34" s="2485"/>
      <c r="P34" s="3422"/>
      <c r="Q34" s="1262" t="str">
        <f t="shared" si="11"/>
        <v>建筑结构</v>
      </c>
      <c r="R34" s="667" t="s">
        <v>18</v>
      </c>
      <c r="S34" s="668">
        <f t="shared" si="12"/>
        <v>100</v>
      </c>
      <c r="T34" s="667" t="s">
        <v>18</v>
      </c>
      <c r="U34" s="668">
        <f t="shared" si="13"/>
        <v>100</v>
      </c>
      <c r="V34" s="667" t="s">
        <v>18</v>
      </c>
      <c r="W34" s="668">
        <f t="shared" si="14"/>
        <v>100</v>
      </c>
      <c r="X34" s="1264"/>
      <c r="Y34" s="3424"/>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422"/>
      <c r="Q35" s="1262" t="str">
        <f t="shared" si="11"/>
        <v>建筑品质</v>
      </c>
      <c r="R35" s="667" t="s">
        <v>18</v>
      </c>
      <c r="S35" s="668">
        <f t="shared" si="12"/>
        <v>100</v>
      </c>
      <c r="T35" s="667" t="s">
        <v>18</v>
      </c>
      <c r="U35" s="668">
        <f t="shared" si="13"/>
        <v>100</v>
      </c>
      <c r="V35" s="667" t="s">
        <v>18</v>
      </c>
      <c r="W35" s="668">
        <f t="shared" si="14"/>
        <v>100</v>
      </c>
      <c r="X35" s="1264"/>
      <c r="Y35" s="3424"/>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422"/>
      <c r="Q36" s="1262" t="str">
        <f t="shared" si="11"/>
        <v>公共部分装修</v>
      </c>
      <c r="R36" s="667" t="s">
        <v>18</v>
      </c>
      <c r="S36" s="668">
        <f t="shared" si="12"/>
        <v>100</v>
      </c>
      <c r="T36" s="667" t="s">
        <v>18</v>
      </c>
      <c r="U36" s="668">
        <f t="shared" si="13"/>
        <v>100</v>
      </c>
      <c r="V36" s="667" t="s">
        <v>18</v>
      </c>
      <c r="W36" s="668">
        <f t="shared" si="14"/>
        <v>100</v>
      </c>
      <c r="X36" s="1264"/>
      <c r="Y36" s="3424"/>
      <c r="Z36" s="1263" t="str">
        <f t="shared" si="18"/>
        <v>公共部分装修</v>
      </c>
      <c r="AA36" s="1263">
        <f t="shared" si="15"/>
        <v>1</v>
      </c>
      <c r="AB36" s="1263">
        <f t="shared" si="16"/>
        <v>1</v>
      </c>
      <c r="AC36" s="1263">
        <f t="shared" si="17"/>
        <v>1</v>
      </c>
    </row>
    <row r="37" spans="1:29" s="102" customFormat="1" ht="15">
      <c r="A37" s="410"/>
      <c r="B37" s="364" t="s">
        <v>1701</v>
      </c>
      <c r="C37" s="411">
        <v>0.6</v>
      </c>
      <c r="D37" s="119">
        <v>100</v>
      </c>
      <c r="E37" s="411">
        <v>0.6</v>
      </c>
      <c r="F37" s="364">
        <f>LOOKUP(E37,112:112,113:113)-LOOKUP(C37,112:112,113:113)+100</f>
        <v>100</v>
      </c>
      <c r="G37" s="413">
        <v>0.6</v>
      </c>
      <c r="H37" s="119">
        <f>LOOKUP(G37,112:112,113:113)-LOOKUP(C37,112:112,113:113)+100</f>
        <v>100</v>
      </c>
      <c r="I37" s="412">
        <v>0.6</v>
      </c>
      <c r="J37" s="119">
        <f>LOOKUP(I37,112:112,113:113)-LOOKUP(C37,112:112,113:113)+100</f>
        <v>100</v>
      </c>
      <c r="K37" s="365">
        <v>2</v>
      </c>
      <c r="L37" s="2486"/>
      <c r="M37" s="2437"/>
      <c r="N37" s="2437"/>
      <c r="O37" s="2437"/>
      <c r="P37" s="3422"/>
      <c r="Q37" s="530" t="str">
        <f t="shared" si="11"/>
        <v>成新度</v>
      </c>
      <c r="R37" s="664" t="s">
        <v>18</v>
      </c>
      <c r="S37" s="665">
        <f t="shared" si="12"/>
        <v>100</v>
      </c>
      <c r="T37" s="664" t="s">
        <v>18</v>
      </c>
      <c r="U37" s="665">
        <f t="shared" si="13"/>
        <v>100</v>
      </c>
      <c r="V37" s="664" t="s">
        <v>18</v>
      </c>
      <c r="W37" s="665">
        <f t="shared" si="14"/>
        <v>100</v>
      </c>
      <c r="X37" s="666"/>
      <c r="Y37" s="3424"/>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422" t="s">
        <v>1696</v>
      </c>
      <c r="Q38" s="1262" t="str">
        <f t="shared" si="11"/>
        <v>物业管理</v>
      </c>
      <c r="R38" s="667" t="s">
        <v>18</v>
      </c>
      <c r="S38" s="668">
        <f t="shared" si="12"/>
        <v>100</v>
      </c>
      <c r="T38" s="667" t="s">
        <v>18</v>
      </c>
      <c r="U38" s="668">
        <f t="shared" si="13"/>
        <v>100</v>
      </c>
      <c r="V38" s="667" t="s">
        <v>18</v>
      </c>
      <c r="W38" s="668">
        <f t="shared" si="14"/>
        <v>100</v>
      </c>
      <c r="X38" s="1264"/>
      <c r="Y38" s="3424"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422"/>
      <c r="Q39" s="1262" t="str">
        <f t="shared" si="11"/>
        <v>市政基础设施</v>
      </c>
      <c r="R39" s="667" t="s">
        <v>18</v>
      </c>
      <c r="S39" s="668">
        <f t="shared" si="12"/>
        <v>100</v>
      </c>
      <c r="T39" s="667" t="s">
        <v>18</v>
      </c>
      <c r="U39" s="668">
        <f t="shared" si="13"/>
        <v>100</v>
      </c>
      <c r="V39" s="667" t="s">
        <v>18</v>
      </c>
      <c r="W39" s="668">
        <f t="shared" si="14"/>
        <v>100</v>
      </c>
      <c r="X39" s="1264"/>
      <c r="Y39" s="3424"/>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46">
        <f>ROUND((1-2%)*(2012-1982)/50,2)</f>
        <v>0.59</v>
      </c>
      <c r="N40" s="2485"/>
      <c r="O40" s="2485"/>
      <c r="P40" s="3422"/>
      <c r="Q40" s="1262" t="str">
        <f t="shared" si="11"/>
        <v>房型</v>
      </c>
      <c r="R40" s="667" t="s">
        <v>18</v>
      </c>
      <c r="S40" s="668">
        <f t="shared" si="12"/>
        <v>100</v>
      </c>
      <c r="T40" s="667" t="s">
        <v>18</v>
      </c>
      <c r="U40" s="668">
        <f t="shared" si="13"/>
        <v>100</v>
      </c>
      <c r="V40" s="667" t="s">
        <v>18</v>
      </c>
      <c r="W40" s="668">
        <f t="shared" si="14"/>
        <v>100</v>
      </c>
      <c r="X40" s="1264"/>
      <c r="Y40" s="3424"/>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46">
        <f>ROUND(1-(2011-2000)/60,2)</f>
        <v>0.82</v>
      </c>
      <c r="N41" s="2491"/>
      <c r="O41" s="2491"/>
      <c r="P41" s="3422"/>
      <c r="Q41" s="531" t="str">
        <f t="shared" si="11"/>
        <v>单套/主力户型建筑面积</v>
      </c>
      <c r="R41" s="669" t="s">
        <v>18</v>
      </c>
      <c r="S41" s="670">
        <f t="shared" si="12"/>
        <v>100</v>
      </c>
      <c r="T41" s="669" t="s">
        <v>18</v>
      </c>
      <c r="U41" s="670">
        <f t="shared" si="13"/>
        <v>100</v>
      </c>
      <c r="V41" s="669" t="s">
        <v>18</v>
      </c>
      <c r="W41" s="670">
        <f t="shared" si="14"/>
        <v>100</v>
      </c>
      <c r="X41" s="671"/>
      <c r="Y41" s="3424"/>
      <c r="Z41" s="672" t="str">
        <f t="shared" si="18"/>
        <v>单套/主力户型建筑面积</v>
      </c>
      <c r="AA41" s="1263">
        <f t="shared" si="15"/>
        <v>1</v>
      </c>
      <c r="AB41" s="1263">
        <f t="shared" si="16"/>
        <v>1</v>
      </c>
      <c r="AC41" s="1263">
        <f t="shared" si="17"/>
        <v>1</v>
      </c>
    </row>
    <row r="42" spans="1:29" ht="15">
      <c r="A42" s="409"/>
      <c r="B42" s="364" t="s">
        <v>1706</v>
      </c>
      <c r="C42" s="3147" t="s">
        <v>3403</v>
      </c>
      <c r="D42" s="374">
        <v>100</v>
      </c>
      <c r="E42" s="1760" t="s">
        <v>3692</v>
      </c>
      <c r="F42" s="400">
        <f>SUMIF(122:122,E42,123:123)-SUMIF(122:122,C42,123:123)+100</f>
        <v>102</v>
      </c>
      <c r="G42" s="1759" t="s">
        <v>3692</v>
      </c>
      <c r="H42" s="374">
        <f>SUMIF(122:122,G42,123:123)-SUMIF(122:122,C42,123:123)+100</f>
        <v>102</v>
      </c>
      <c r="I42" s="1760" t="s">
        <v>3692</v>
      </c>
      <c r="J42" s="374">
        <f>SUMIF(122:122,I42,123:123)-SUMIF(122:122,C42,123:123)+100</f>
        <v>102</v>
      </c>
      <c r="K42" s="365">
        <v>1</v>
      </c>
      <c r="L42" s="2490"/>
      <c r="M42" s="2446">
        <f>ROUND(1-(2011-1990)/60,2)</f>
        <v>0.65</v>
      </c>
      <c r="N42" s="2485"/>
      <c r="O42" s="2485"/>
      <c r="P42" s="3422"/>
      <c r="Q42" s="1262" t="str">
        <f t="shared" si="11"/>
        <v>内部装修</v>
      </c>
      <c r="R42" s="667" t="s">
        <v>18</v>
      </c>
      <c r="S42" s="668">
        <f t="shared" si="12"/>
        <v>102</v>
      </c>
      <c r="T42" s="667" t="s">
        <v>18</v>
      </c>
      <c r="U42" s="668">
        <f t="shared" si="13"/>
        <v>102</v>
      </c>
      <c r="V42" s="667" t="s">
        <v>18</v>
      </c>
      <c r="W42" s="668">
        <f t="shared" si="14"/>
        <v>102</v>
      </c>
      <c r="X42" s="1264"/>
      <c r="Y42" s="3424"/>
      <c r="Z42" s="1263" t="str">
        <f t="shared" si="18"/>
        <v>内部装修</v>
      </c>
      <c r="AA42" s="1263">
        <f t="shared" si="15"/>
        <v>0.98039215686274506</v>
      </c>
      <c r="AB42" s="1263">
        <f t="shared" si="16"/>
        <v>0.98039215686274506</v>
      </c>
      <c r="AC42" s="1263">
        <f t="shared" si="17"/>
        <v>0.98039215686274506</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422"/>
      <c r="Q43" s="1262" t="str">
        <f t="shared" si="11"/>
        <v>内部装修维护情况</v>
      </c>
      <c r="R43" s="667" t="s">
        <v>18</v>
      </c>
      <c r="S43" s="668">
        <f t="shared" si="12"/>
        <v>100</v>
      </c>
      <c r="T43" s="667" t="s">
        <v>18</v>
      </c>
      <c r="U43" s="668">
        <f t="shared" si="13"/>
        <v>100</v>
      </c>
      <c r="V43" s="667" t="s">
        <v>18</v>
      </c>
      <c r="W43" s="668">
        <f t="shared" si="14"/>
        <v>100</v>
      </c>
      <c r="X43" s="1264"/>
      <c r="Y43" s="3424"/>
      <c r="Z43" s="1263" t="str">
        <f t="shared" si="18"/>
        <v>内部装修维护情况</v>
      </c>
      <c r="AA43" s="1263">
        <f t="shared" si="15"/>
        <v>1</v>
      </c>
      <c r="AB43" s="1263">
        <f t="shared" si="16"/>
        <v>1</v>
      </c>
      <c r="AC43" s="1263">
        <f t="shared" si="17"/>
        <v>1</v>
      </c>
    </row>
    <row r="44" spans="1:29" s="102" customFormat="1" ht="15" hidden="1">
      <c r="A44" s="410"/>
      <c r="B44" s="3146" t="s">
        <v>3408</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7"/>
      <c r="L44" s="2486"/>
      <c r="M44" s="2437"/>
      <c r="N44" s="2437"/>
      <c r="O44" s="2437"/>
      <c r="P44" s="3422"/>
      <c r="Q44" s="530" t="str">
        <f t="shared" si="11"/>
        <v>建成年代</v>
      </c>
      <c r="R44" s="664" t="s">
        <v>18</v>
      </c>
      <c r="S44" s="665">
        <f t="shared" si="12"/>
        <v>100</v>
      </c>
      <c r="T44" s="664" t="s">
        <v>18</v>
      </c>
      <c r="U44" s="665">
        <f t="shared" si="13"/>
        <v>100</v>
      </c>
      <c r="V44" s="664" t="s">
        <v>18</v>
      </c>
      <c r="W44" s="665">
        <f t="shared" si="14"/>
        <v>100</v>
      </c>
      <c r="X44" s="666"/>
      <c r="Y44" s="3424"/>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22"/>
      <c r="Q45" s="1262">
        <f t="shared" si="11"/>
        <v>111</v>
      </c>
      <c r="R45" s="667" t="s">
        <v>18</v>
      </c>
      <c r="S45" s="668">
        <f t="shared" si="12"/>
        <v>100</v>
      </c>
      <c r="T45" s="667" t="s">
        <v>18</v>
      </c>
      <c r="U45" s="668">
        <f t="shared" si="13"/>
        <v>100</v>
      </c>
      <c r="V45" s="667" t="s">
        <v>18</v>
      </c>
      <c r="W45" s="668">
        <f t="shared" si="14"/>
        <v>100</v>
      </c>
      <c r="X45" s="1264"/>
      <c r="Y45" s="3424"/>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23"/>
      <c r="Q46" s="1262">
        <f t="shared" si="11"/>
        <v>111</v>
      </c>
      <c r="R46" s="667" t="s">
        <v>17</v>
      </c>
      <c r="S46" s="668">
        <f t="shared" si="12"/>
        <v>100</v>
      </c>
      <c r="T46" s="667" t="s">
        <v>17</v>
      </c>
      <c r="U46" s="668">
        <f t="shared" si="13"/>
        <v>100</v>
      </c>
      <c r="V46" s="667" t="s">
        <v>17</v>
      </c>
      <c r="W46" s="668">
        <f t="shared" si="14"/>
        <v>100</v>
      </c>
      <c r="X46" s="1264"/>
      <c r="Y46" s="3425"/>
      <c r="Z46" s="1263">
        <f t="shared" si="18"/>
        <v>111</v>
      </c>
      <c r="AA46" s="1263">
        <f t="shared" si="15"/>
        <v>1</v>
      </c>
      <c r="AB46" s="1263">
        <f t="shared" si="16"/>
        <v>1</v>
      </c>
      <c r="AC46" s="1263">
        <f t="shared" si="17"/>
        <v>1</v>
      </c>
    </row>
    <row r="47" spans="1:29" ht="15">
      <c r="A47" s="416" t="s">
        <v>1708</v>
      </c>
      <c r="B47" s="417"/>
      <c r="C47" s="1081" t="s">
        <v>16</v>
      </c>
      <c r="D47" s="418"/>
      <c r="E47" s="419">
        <f>案例!W20</f>
        <v>8071</v>
      </c>
      <c r="F47" s="420"/>
      <c r="G47" s="421">
        <f>案例!W21</f>
        <v>7897</v>
      </c>
      <c r="H47" s="422"/>
      <c r="I47" s="419">
        <f>案例!W25</f>
        <v>8489</v>
      </c>
      <c r="J47" s="422"/>
      <c r="K47" s="1765"/>
      <c r="L47" s="2492"/>
      <c r="M47" s="2485"/>
      <c r="N47" s="2485"/>
      <c r="O47" s="2485"/>
      <c r="P47" s="3418" t="str">
        <f>A47</f>
        <v>成交单价（元/平方米）</v>
      </c>
      <c r="Q47" s="3418"/>
      <c r="R47" s="3413">
        <f>E47</f>
        <v>8071</v>
      </c>
      <c r="S47" s="3413"/>
      <c r="T47" s="3413">
        <f>G47</f>
        <v>7897</v>
      </c>
      <c r="U47" s="3413"/>
      <c r="V47" s="3413">
        <f>I47</f>
        <v>8489</v>
      </c>
      <c r="W47" s="3413"/>
      <c r="X47" s="385"/>
      <c r="Y47" s="673"/>
      <c r="Z47" s="385"/>
      <c r="AA47" s="385"/>
      <c r="AB47" s="385"/>
      <c r="AC47" s="385"/>
    </row>
    <row r="48" spans="1:29" ht="15.75" thickBot="1">
      <c r="A48" s="423" t="s">
        <v>1709</v>
      </c>
      <c r="B48" s="424"/>
      <c r="C48" s="1082">
        <f>R49</f>
        <v>8169</v>
      </c>
      <c r="D48" s="2139" t="s">
        <v>2138</v>
      </c>
      <c r="E48" s="1083">
        <f>R48</f>
        <v>8033</v>
      </c>
      <c r="F48" s="2140"/>
      <c r="G48" s="1082">
        <f>T48</f>
        <v>7982</v>
      </c>
      <c r="H48" s="2140"/>
      <c r="I48" s="1083">
        <f>V48</f>
        <v>8492</v>
      </c>
      <c r="J48" s="2140"/>
      <c r="K48" s="2141">
        <f>F48+H48+J48</f>
        <v>0</v>
      </c>
      <c r="L48" s="2492"/>
      <c r="M48" s="2485"/>
      <c r="N48" s="2485"/>
      <c r="O48" s="2485"/>
      <c r="P48" s="3418" t="str">
        <f>A48</f>
        <v>比较价值（元/平方米）</v>
      </c>
      <c r="Q48" s="3418"/>
      <c r="R48" s="3413">
        <f>IF(F1="售价",ROUND(PRODUCT(R47,AA7:AA46),0),ROUND(PRODUCT(R47,AA7:AA46),1))</f>
        <v>8033</v>
      </c>
      <c r="S48" s="3413"/>
      <c r="T48" s="3413">
        <f>IF(F1="售价",ROUND(PRODUCT(T47,AB7:AB46),0),ROUND(PRODUCT(T47,AB7:AB46),1))</f>
        <v>7982</v>
      </c>
      <c r="U48" s="3413"/>
      <c r="V48" s="3413">
        <f>IF(F1="售价",ROUND(PRODUCT(V47,AC7:AC46),0),ROUND(PRODUCT(V47,AC7:AC46),1))</f>
        <v>8492</v>
      </c>
      <c r="W48" s="3413"/>
      <c r="X48" s="385"/>
      <c r="Y48" s="385"/>
      <c r="Z48" s="385"/>
      <c r="AA48" s="385"/>
      <c r="AB48" s="385"/>
      <c r="AC48" s="385"/>
    </row>
    <row r="49" spans="1:29" ht="15.75" thickBot="1">
      <c r="A49" s="427" t="s">
        <v>1710</v>
      </c>
      <c r="B49" s="428"/>
      <c r="C49" s="1084">
        <f>R49</f>
        <v>8169</v>
      </c>
      <c r="D49" s="351"/>
      <c r="E49" s="351"/>
      <c r="F49" s="351"/>
      <c r="G49" s="351"/>
      <c r="H49" s="351"/>
      <c r="I49" s="351"/>
      <c r="J49" s="351"/>
      <c r="K49" s="1766"/>
      <c r="L49" s="2492"/>
      <c r="M49" s="2485"/>
      <c r="N49" s="2485"/>
      <c r="O49" s="2485"/>
      <c r="P49" s="3415" t="str">
        <f>A49</f>
        <v>估价对象XX用房的比较价值（楼面单价，元/平方米）</v>
      </c>
      <c r="Q49" s="3416"/>
      <c r="R49" s="3417">
        <f>IF(F1="售价",ROUND(IF(D48="简单平均",AVERAGE(R48:V48),R48*F48+T48*H48+V48*J48),0),ROUND(IF(D48="简单平均",AVERAGE(R48:V48),R48*F48+T48*H48+V48*J48),1))</f>
        <v>8169</v>
      </c>
      <c r="S49" s="3417"/>
      <c r="T49" s="3417"/>
      <c r="U49" s="3417"/>
      <c r="V49" s="3417"/>
      <c r="W49" s="3417"/>
      <c r="X49" s="385"/>
      <c r="Y49" s="385"/>
      <c r="Z49" s="385"/>
      <c r="AA49" s="385"/>
      <c r="AB49" s="385"/>
      <c r="AC49" s="385"/>
    </row>
    <row r="50" spans="1:29">
      <c r="A50" s="2485"/>
      <c r="B50" s="2485"/>
      <c r="C50" s="2485">
        <v>1982</v>
      </c>
      <c r="D50" s="2485"/>
      <c r="E50" s="2485">
        <v>1982</v>
      </c>
      <c r="F50" s="2485"/>
      <c r="G50" s="2496">
        <v>19.82</v>
      </c>
      <c r="H50" s="2485"/>
      <c r="I50" s="2485">
        <v>1982</v>
      </c>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4.7304867421884556E-3</v>
      </c>
      <c r="F52" s="435" t="str">
        <f>IF(OR(E52&gt;=0.3,E52&lt;=-0.3),"超过30%","")</f>
        <v/>
      </c>
      <c r="G52" s="434">
        <f>IF(G47&lt;G48,G48/G47-1,G47/G48-1)</f>
        <v>1.0763581106749465E-2</v>
      </c>
      <c r="H52" s="435" t="str">
        <f>IF(OR(G52&gt;=0.3,G52&lt;=-0.3),"超过30%","")</f>
        <v/>
      </c>
      <c r="I52" s="434">
        <f>IF(I47&lt;I48,I48/I47-1,I47/I48-1)</f>
        <v>3.5339851572624426E-4</v>
      </c>
      <c r="J52" s="435" t="str">
        <f>IF(OR(I52&gt;=0.3,I52&lt;=-0.3),"超过30%","")</f>
        <v/>
      </c>
      <c r="K52" s="2497"/>
      <c r="L52" s="2493"/>
      <c r="M52" s="2485"/>
      <c r="N52" s="2485"/>
      <c r="O52" s="2485"/>
    </row>
    <row r="53" spans="1:29" ht="13.5" customHeight="1">
      <c r="A53" s="2485"/>
      <c r="B53" s="2485"/>
      <c r="C53" s="432" t="s">
        <v>1712</v>
      </c>
      <c r="D53" s="436"/>
      <c r="E53" s="434">
        <f>IF(E48&lt;G48,G48/E48-1,E48/G48-1)</f>
        <v>6.3893760962165924E-3</v>
      </c>
      <c r="F53" s="435" t="str">
        <f>IF(OR(E53&gt;=0.2,E53&lt;=-0.2),"超过20%","")</f>
        <v/>
      </c>
      <c r="G53" s="434">
        <f>IF(G48&lt;I48,I48/G48-1,G48/I48-1)</f>
        <v>6.3893760962164814E-2</v>
      </c>
      <c r="H53" s="435" t="str">
        <f>IF(OR(G53&gt;=0.2,G53&lt;=-0.2),"超过20%","")</f>
        <v/>
      </c>
      <c r="I53" s="434">
        <f>IF(I48&lt;E48,E48/I48-1,I48/E48-1)</f>
        <v>5.7139300385908198E-2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2.2033683677345817E-2</v>
      </c>
      <c r="F54" s="435" t="str">
        <f>IF(OR(E54&gt;=0.3,E54&lt;=-0.3),"超过30%","")</f>
        <v/>
      </c>
      <c r="G54" s="434">
        <f>IF(G47&lt;I47,I47/G47-1,G47/I47-1)</f>
        <v>7.4965176649360421E-2</v>
      </c>
      <c r="H54" s="435" t="str">
        <f>IF(OR(G54&gt;=0.3,G54&lt;=-0.3),"超过30%","")</f>
        <v/>
      </c>
      <c r="I54" s="434">
        <f>IF(I47&lt;E47,E47/I47-1,I47/E47-1)</f>
        <v>5.1790360550117764E-2</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2012-7</v>
      </c>
      <c r="D58" s="1103">
        <f>EDATE(C58,-1)</f>
        <v>41061</v>
      </c>
      <c r="E58" s="1103">
        <f>EDATE(D58,-1)</f>
        <v>41030</v>
      </c>
      <c r="F58" s="1103">
        <f t="shared" ref="F58:O58" si="19">EDATE(E58,-1)</f>
        <v>41000</v>
      </c>
      <c r="G58" s="1103">
        <f t="shared" si="19"/>
        <v>40969</v>
      </c>
      <c r="H58" s="1103">
        <f t="shared" si="19"/>
        <v>40940</v>
      </c>
      <c r="I58" s="1103">
        <f t="shared" si="19"/>
        <v>40909</v>
      </c>
      <c r="J58" s="1103">
        <f t="shared" si="19"/>
        <v>40878</v>
      </c>
      <c r="K58" s="1103">
        <f t="shared" si="19"/>
        <v>40848</v>
      </c>
      <c r="L58" s="1103">
        <f t="shared" si="19"/>
        <v>40817</v>
      </c>
      <c r="M58" s="1103">
        <f t="shared" si="19"/>
        <v>40787</v>
      </c>
      <c r="N58" s="1103">
        <f t="shared" si="19"/>
        <v>40756</v>
      </c>
      <c r="O58" s="1103">
        <f t="shared" si="19"/>
        <v>40725</v>
      </c>
      <c r="P58" s="3153">
        <f t="shared" ref="P58" si="20">EDATE(O58,-1)</f>
        <v>40695</v>
      </c>
      <c r="Q58" s="3153">
        <f t="shared" ref="Q58" si="21">EDATE(P58,-1)</f>
        <v>40664</v>
      </c>
      <c r="R58" s="3153">
        <f t="shared" ref="R58" si="22">EDATE(Q58,-1)</f>
        <v>40634</v>
      </c>
      <c r="S58" s="3153">
        <f t="shared" ref="S58" si="23">EDATE(R58,-1)</f>
        <v>40603</v>
      </c>
      <c r="T58" s="3153">
        <f t="shared" ref="T58" si="24">EDATE(S58,-1)</f>
        <v>40575</v>
      </c>
    </row>
    <row r="59" spans="1:29" s="102" customFormat="1" ht="15">
      <c r="A59" s="443"/>
      <c r="B59" s="1770"/>
      <c r="C59" s="1101">
        <v>100</v>
      </c>
      <c r="D59" s="445">
        <v>100</v>
      </c>
      <c r="E59" s="446">
        <v>99.5</v>
      </c>
      <c r="F59" s="446">
        <f>E59</f>
        <v>99.5</v>
      </c>
      <c r="G59" s="446">
        <f>E59</f>
        <v>99.5</v>
      </c>
      <c r="H59" s="446">
        <v>99</v>
      </c>
      <c r="I59" s="446">
        <f>H59</f>
        <v>99</v>
      </c>
      <c r="J59" s="446">
        <f>H59</f>
        <v>99</v>
      </c>
      <c r="K59" s="446">
        <v>98.5</v>
      </c>
      <c r="L59" s="446">
        <f>K59</f>
        <v>98.5</v>
      </c>
      <c r="M59" s="447">
        <f>K59</f>
        <v>98.5</v>
      </c>
      <c r="N59" s="446">
        <v>98</v>
      </c>
      <c r="O59" s="447">
        <v>98</v>
      </c>
      <c r="P59" s="447">
        <v>98</v>
      </c>
      <c r="Q59" s="102">
        <v>97.5</v>
      </c>
      <c r="R59" s="102">
        <v>97.5</v>
      </c>
      <c r="S59" s="102">
        <v>97.5</v>
      </c>
      <c r="T59" s="102">
        <v>97</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1（含）-3</v>
      </c>
      <c r="D67" s="478" t="str">
        <f t="shared" ref="D67:L67" si="25">D68&amp;"（含）"&amp;"-"&amp;E68</f>
        <v>3（含）-</v>
      </c>
      <c r="E67" s="478" t="str">
        <f t="shared" si="25"/>
        <v>（含）-</v>
      </c>
      <c r="F67" s="478" t="str">
        <f t="shared" si="25"/>
        <v>（含）-</v>
      </c>
      <c r="G67" s="478" t="str">
        <f t="shared" si="25"/>
        <v>（含）-</v>
      </c>
      <c r="H67" s="478" t="str">
        <f t="shared" si="25"/>
        <v>（含）-</v>
      </c>
      <c r="I67" s="478" t="str">
        <f t="shared" si="25"/>
        <v>（含）-</v>
      </c>
      <c r="J67" s="478" t="str">
        <f t="shared" si="25"/>
        <v>（含）-</v>
      </c>
      <c r="K67" s="478" t="str">
        <f>K68&amp;"（含）"&amp;"-"&amp;L68</f>
        <v>（含）-</v>
      </c>
      <c r="L67" s="478" t="str">
        <f t="shared" si="25"/>
        <v>（含）-</v>
      </c>
      <c r="M67" s="387" t="str">
        <f>M68&amp;"（含）"&amp;"-"&amp;P68</f>
        <v>（含）-</v>
      </c>
      <c r="N67" s="880"/>
      <c r="O67" s="880"/>
      <c r="P67" s="1773"/>
      <c r="Q67" s="439"/>
    </row>
    <row r="68" spans="1:17" ht="15">
      <c r="A68" s="367"/>
      <c r="B68" s="479"/>
      <c r="C68" s="480">
        <v>1</v>
      </c>
      <c r="D68" s="480">
        <v>3</v>
      </c>
      <c r="E68" s="480"/>
      <c r="F68" s="480"/>
      <c r="G68" s="480"/>
      <c r="H68" s="480"/>
      <c r="I68" s="480"/>
      <c r="J68" s="480"/>
      <c r="K68" s="481"/>
      <c r="L68" s="482"/>
      <c r="M68" s="483"/>
      <c r="N68" s="879"/>
      <c r="O68" s="879"/>
      <c r="P68" s="1773"/>
      <c r="Q68" s="439"/>
    </row>
    <row r="69" spans="1:17" ht="15.75" thickBot="1">
      <c r="A69" s="367"/>
      <c r="B69" s="466"/>
      <c r="C69" s="475">
        <v>100</v>
      </c>
      <c r="D69" s="475">
        <f t="shared" ref="D69:M69" si="26">C69-$K11</f>
        <v>100</v>
      </c>
      <c r="E69" s="475">
        <f t="shared" si="26"/>
        <v>100</v>
      </c>
      <c r="F69" s="475">
        <f t="shared" si="26"/>
        <v>100</v>
      </c>
      <c r="G69" s="475">
        <f t="shared" si="26"/>
        <v>100</v>
      </c>
      <c r="H69" s="475">
        <f t="shared" si="26"/>
        <v>100</v>
      </c>
      <c r="I69" s="475">
        <f t="shared" si="26"/>
        <v>100</v>
      </c>
      <c r="J69" s="475">
        <f t="shared" si="26"/>
        <v>100</v>
      </c>
      <c r="K69" s="475">
        <f t="shared" si="26"/>
        <v>100</v>
      </c>
      <c r="L69" s="475">
        <f t="shared" si="26"/>
        <v>100</v>
      </c>
      <c r="M69" s="476">
        <f t="shared" si="26"/>
        <v>100</v>
      </c>
      <c r="N69" s="880"/>
      <c r="O69" s="880"/>
      <c r="P69" s="1773"/>
      <c r="Q69" s="439"/>
    </row>
    <row r="70" spans="1:17" s="408" customFormat="1" ht="15.75" thickTop="1">
      <c r="A70" s="484"/>
      <c r="B70" s="469">
        <f>B12</f>
        <v>111</v>
      </c>
      <c r="C70" s="3143" t="s">
        <v>3415</v>
      </c>
      <c r="D70" s="3143" t="s">
        <v>3414</v>
      </c>
      <c r="E70" s="485"/>
      <c r="F70" s="485"/>
      <c r="G70" s="485"/>
      <c r="H70" s="486"/>
      <c r="I70" s="486"/>
      <c r="J70" s="486"/>
      <c r="K70" s="486"/>
      <c r="L70" s="487"/>
      <c r="M70" s="488"/>
      <c r="N70" s="881"/>
      <c r="O70" s="881"/>
      <c r="P70" s="1774"/>
      <c r="Q70" s="490"/>
    </row>
    <row r="71" spans="1:17" s="408" customFormat="1" ht="15.75" thickBot="1">
      <c r="A71" s="484"/>
      <c r="B71" s="474"/>
      <c r="C71" s="491">
        <v>100</v>
      </c>
      <c r="D71" s="467">
        <v>98</v>
      </c>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99</v>
      </c>
      <c r="E81" s="475">
        <f>D81-$K19</f>
        <v>98</v>
      </c>
      <c r="F81" s="475">
        <f>E81-$K19</f>
        <v>97</v>
      </c>
      <c r="G81" s="475">
        <f>F81-$K19</f>
        <v>96</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7">D83-$K21</f>
        <v>100</v>
      </c>
      <c r="F83" s="581">
        <f t="shared" si="27"/>
        <v>100</v>
      </c>
      <c r="G83" s="581">
        <f t="shared" si="27"/>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8">$C$87-($C$86-D86)*$K$25</f>
        <v>100</v>
      </c>
      <c r="E87" s="475">
        <f t="shared" si="28"/>
        <v>100</v>
      </c>
      <c r="F87" s="475">
        <f t="shared" si="28"/>
        <v>100</v>
      </c>
      <c r="G87" s="475">
        <f t="shared" si="28"/>
        <v>100</v>
      </c>
      <c r="H87" s="475">
        <f t="shared" si="28"/>
        <v>100</v>
      </c>
      <c r="I87" s="475">
        <f t="shared" si="28"/>
        <v>100</v>
      </c>
      <c r="J87" s="475">
        <f t="shared" si="28"/>
        <v>100</v>
      </c>
      <c r="K87" s="475">
        <f t="shared" si="28"/>
        <v>100</v>
      </c>
      <c r="L87" s="475">
        <f t="shared" si="28"/>
        <v>100</v>
      </c>
      <c r="M87" s="475">
        <f t="shared" si="28"/>
        <v>100</v>
      </c>
      <c r="N87" s="880"/>
      <c r="O87" s="880"/>
      <c r="P87" s="1773"/>
      <c r="Q87" s="439"/>
    </row>
    <row r="88" spans="1:17" s="102" customFormat="1" ht="15.75" thickTop="1">
      <c r="A88" s="370"/>
      <c r="B88" s="469" t="s">
        <v>1735</v>
      </c>
      <c r="C88" s="3143" t="s">
        <v>3409</v>
      </c>
      <c r="D88" s="3143" t="s">
        <v>3422</v>
      </c>
      <c r="E88" s="3143" t="s">
        <v>3429</v>
      </c>
      <c r="F88" s="3149" t="s">
        <v>3691</v>
      </c>
      <c r="G88" s="3143" t="s">
        <v>3424</v>
      </c>
      <c r="H88" s="485"/>
      <c r="I88" s="485"/>
      <c r="J88" s="485"/>
      <c r="K88" s="485"/>
      <c r="L88" s="485"/>
      <c r="M88" s="511"/>
      <c r="N88" s="878"/>
      <c r="O88" s="878"/>
      <c r="P88" s="1773"/>
      <c r="Q88" s="439"/>
    </row>
    <row r="89" spans="1:17" s="102" customFormat="1" ht="15.75" thickBot="1">
      <c r="A89" s="370"/>
      <c r="B89" s="474"/>
      <c r="C89" s="512">
        <v>100</v>
      </c>
      <c r="D89" s="475">
        <f t="shared" ref="D89:M89" si="29">C89-$K26</f>
        <v>99</v>
      </c>
      <c r="E89" s="475">
        <f t="shared" si="29"/>
        <v>98</v>
      </c>
      <c r="F89" s="475">
        <f t="shared" si="29"/>
        <v>97</v>
      </c>
      <c r="G89" s="475">
        <f t="shared" si="29"/>
        <v>96</v>
      </c>
      <c r="H89" s="475">
        <f t="shared" si="29"/>
        <v>95</v>
      </c>
      <c r="I89" s="475">
        <f t="shared" si="29"/>
        <v>94</v>
      </c>
      <c r="J89" s="475">
        <f t="shared" si="29"/>
        <v>93</v>
      </c>
      <c r="K89" s="475">
        <f t="shared" si="29"/>
        <v>92</v>
      </c>
      <c r="L89" s="475">
        <f t="shared" si="29"/>
        <v>91</v>
      </c>
      <c r="M89" s="475">
        <f t="shared" si="29"/>
        <v>90</v>
      </c>
      <c r="N89" s="880"/>
      <c r="O89" s="880"/>
      <c r="P89" s="1773"/>
      <c r="Q89" s="439"/>
    </row>
    <row r="90" spans="1:17" s="408" customFormat="1" ht="15.75" thickTop="1">
      <c r="A90" s="484"/>
      <c r="B90" s="469" t="str">
        <f>B27</f>
        <v>楼层</v>
      </c>
      <c r="C90" s="3150" t="str">
        <f>C27</f>
        <v>3/5</v>
      </c>
      <c r="D90" s="3150" t="str">
        <f>E27</f>
        <v>4/5</v>
      </c>
      <c r="E90" s="3150" t="str">
        <f>G27</f>
        <v>1/5</v>
      </c>
      <c r="F90" s="3150"/>
      <c r="G90" s="3150"/>
      <c r="H90" s="486"/>
      <c r="I90" s="486"/>
      <c r="J90" s="486"/>
      <c r="K90" s="486"/>
      <c r="L90" s="487"/>
      <c r="M90" s="488"/>
      <c r="N90" s="881"/>
      <c r="O90" s="881"/>
      <c r="P90" s="1774"/>
      <c r="Q90" s="490"/>
    </row>
    <row r="91" spans="1:17" s="408" customFormat="1" ht="15.75" thickBot="1">
      <c r="A91" s="484"/>
      <c r="B91" s="474"/>
      <c r="C91" s="491">
        <v>100</v>
      </c>
      <c r="D91" s="491">
        <v>99</v>
      </c>
      <c r="E91" s="491">
        <v>97</v>
      </c>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5" t="s">
        <v>3406</v>
      </c>
      <c r="D100" s="3145" t="s">
        <v>3412</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30">C101-$K32</f>
        <v>99</v>
      </c>
      <c r="E101" s="475">
        <f t="shared" si="30"/>
        <v>98</v>
      </c>
      <c r="F101" s="475">
        <f t="shared" si="30"/>
        <v>97</v>
      </c>
      <c r="G101" s="475">
        <f t="shared" si="30"/>
        <v>96</v>
      </c>
      <c r="H101" s="475">
        <f t="shared" si="30"/>
        <v>95</v>
      </c>
      <c r="I101" s="475">
        <f t="shared" si="30"/>
        <v>94</v>
      </c>
      <c r="J101" s="475">
        <f t="shared" si="30"/>
        <v>93</v>
      </c>
      <c r="K101" s="475">
        <f t="shared" si="30"/>
        <v>92</v>
      </c>
      <c r="L101" s="475">
        <f t="shared" si="30"/>
        <v>91</v>
      </c>
      <c r="M101" s="475">
        <f t="shared" si="30"/>
        <v>90</v>
      </c>
      <c r="N101" s="880"/>
      <c r="O101" s="880"/>
      <c r="P101" s="1773"/>
      <c r="Q101" s="439"/>
    </row>
    <row r="102" spans="1:17" ht="15.75" thickTop="1">
      <c r="A102" s="367"/>
      <c r="B102" s="469" t="s">
        <v>1737</v>
      </c>
      <c r="C102" s="509" t="str">
        <f>C103&amp;"(含)"&amp;"-"&amp;D103</f>
        <v>0(含)-70</v>
      </c>
      <c r="D102" s="509" t="str">
        <f t="shared" ref="D102:L102" si="31">D103&amp;"(含)"&amp;"-"&amp;E103</f>
        <v>70(含)-100</v>
      </c>
      <c r="E102" s="509" t="str">
        <f t="shared" si="31"/>
        <v>100(含)-120</v>
      </c>
      <c r="F102" s="509" t="str">
        <f t="shared" si="31"/>
        <v>120(含)-</v>
      </c>
      <c r="G102" s="509" t="str">
        <f t="shared" si="31"/>
        <v>(含)-</v>
      </c>
      <c r="H102" s="509" t="str">
        <f t="shared" si="31"/>
        <v>(含)-</v>
      </c>
      <c r="I102" s="509" t="str">
        <f t="shared" si="31"/>
        <v>(含)-</v>
      </c>
      <c r="J102" s="509" t="str">
        <f t="shared" si="31"/>
        <v>(含)-</v>
      </c>
      <c r="K102" s="509" t="str">
        <f>K103&amp;"(含)"&amp;"-"&amp;L103</f>
        <v>(含)-</v>
      </c>
      <c r="L102" s="509" t="str">
        <f t="shared" si="31"/>
        <v>(含)-</v>
      </c>
      <c r="M102" s="509" t="str">
        <f>M103&amp;"(含)"&amp;"-"&amp;P103</f>
        <v>(含)-</v>
      </c>
      <c r="N102" s="878"/>
      <c r="O102" s="878"/>
      <c r="P102" s="1773"/>
      <c r="Q102" s="439"/>
    </row>
    <row r="103" spans="1:17" s="408" customFormat="1">
      <c r="A103" s="406"/>
      <c r="B103" s="523"/>
      <c r="C103" s="6">
        <v>0</v>
      </c>
      <c r="D103" s="6">
        <v>70</v>
      </c>
      <c r="E103" s="6">
        <v>100</v>
      </c>
      <c r="F103" s="6">
        <v>120</v>
      </c>
      <c r="G103" s="6"/>
      <c r="H103" s="6"/>
      <c r="I103" s="6"/>
      <c r="J103" s="524"/>
      <c r="K103" s="524"/>
      <c r="L103" s="525"/>
      <c r="M103" s="526"/>
      <c r="N103" s="881"/>
      <c r="O103" s="881"/>
      <c r="P103" s="1774"/>
      <c r="Q103" s="490"/>
    </row>
    <row r="104" spans="1:17" s="408" customFormat="1" ht="15.75" thickBot="1">
      <c r="A104" s="484"/>
      <c r="B104" s="474"/>
      <c r="C104" s="491">
        <v>100</v>
      </c>
      <c r="D104" s="467">
        <f>C104-$G$104</f>
        <v>98</v>
      </c>
      <c r="E104" s="467">
        <f t="shared" ref="E104:F104" si="32">D104-$G$104</f>
        <v>96</v>
      </c>
      <c r="F104" s="467">
        <f t="shared" si="32"/>
        <v>94</v>
      </c>
      <c r="G104" s="467">
        <v>2</v>
      </c>
      <c r="H104" s="467"/>
      <c r="I104" s="467"/>
      <c r="J104" s="467"/>
      <c r="K104" s="467"/>
      <c r="L104" s="467"/>
      <c r="M104" s="467"/>
      <c r="N104" s="880"/>
      <c r="O104" s="880"/>
      <c r="P104" s="1774"/>
      <c r="Q104" s="490"/>
    </row>
    <row r="105" spans="1:17" ht="15" thickTop="1">
      <c r="A105" s="409"/>
      <c r="B105" s="469" t="s">
        <v>1738</v>
      </c>
      <c r="C105" s="3143" t="s">
        <v>3407</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33">C106-$K34</f>
        <v>100</v>
      </c>
      <c r="E106" s="475">
        <f t="shared" si="33"/>
        <v>100</v>
      </c>
      <c r="F106" s="475">
        <f t="shared" si="33"/>
        <v>100</v>
      </c>
      <c r="G106" s="475">
        <f t="shared" si="33"/>
        <v>100</v>
      </c>
      <c r="H106" s="475">
        <f t="shared" si="33"/>
        <v>100</v>
      </c>
      <c r="I106" s="475">
        <f t="shared" si="33"/>
        <v>100</v>
      </c>
      <c r="J106" s="475">
        <f t="shared" si="33"/>
        <v>100</v>
      </c>
      <c r="K106" s="475">
        <f t="shared" si="33"/>
        <v>100</v>
      </c>
      <c r="L106" s="475">
        <f t="shared" si="33"/>
        <v>100</v>
      </c>
      <c r="M106" s="475">
        <f t="shared" si="33"/>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34">C108-$K35</f>
        <v>100</v>
      </c>
      <c r="E108" s="475">
        <f t="shared" si="34"/>
        <v>100</v>
      </c>
      <c r="F108" s="475">
        <f t="shared" si="34"/>
        <v>100</v>
      </c>
      <c r="G108" s="475">
        <f t="shared" si="34"/>
        <v>100</v>
      </c>
      <c r="H108" s="475">
        <f t="shared" si="34"/>
        <v>100</v>
      </c>
      <c r="I108" s="475">
        <f t="shared" si="34"/>
        <v>100</v>
      </c>
      <c r="J108" s="475">
        <f t="shared" si="34"/>
        <v>100</v>
      </c>
      <c r="K108" s="475">
        <f t="shared" si="34"/>
        <v>100</v>
      </c>
      <c r="L108" s="475">
        <f t="shared" si="34"/>
        <v>100</v>
      </c>
      <c r="M108" s="475">
        <f t="shared" si="34"/>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5">C110-$K36</f>
        <v>100</v>
      </c>
      <c r="E110" s="475">
        <f t="shared" si="35"/>
        <v>100</v>
      </c>
      <c r="F110" s="475">
        <f t="shared" si="35"/>
        <v>100</v>
      </c>
      <c r="G110" s="475">
        <f t="shared" si="35"/>
        <v>100</v>
      </c>
      <c r="H110" s="475">
        <f t="shared" si="35"/>
        <v>100</v>
      </c>
      <c r="I110" s="475">
        <f t="shared" si="35"/>
        <v>100</v>
      </c>
      <c r="J110" s="475">
        <f t="shared" si="35"/>
        <v>100</v>
      </c>
      <c r="K110" s="475">
        <f t="shared" si="35"/>
        <v>100</v>
      </c>
      <c r="L110" s="475">
        <f t="shared" si="35"/>
        <v>100</v>
      </c>
      <c r="M110" s="475">
        <f t="shared" si="35"/>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6">C115-$K38</f>
        <v>100</v>
      </c>
      <c r="E115" s="475">
        <f t="shared" si="36"/>
        <v>100</v>
      </c>
      <c r="F115" s="475">
        <f t="shared" si="36"/>
        <v>100</v>
      </c>
      <c r="G115" s="475">
        <f t="shared" si="36"/>
        <v>100</v>
      </c>
      <c r="H115" s="475">
        <f t="shared" si="36"/>
        <v>100</v>
      </c>
      <c r="I115" s="475">
        <f t="shared" si="36"/>
        <v>100</v>
      </c>
      <c r="J115" s="475">
        <f t="shared" si="36"/>
        <v>100</v>
      </c>
      <c r="K115" s="475">
        <f t="shared" si="36"/>
        <v>100</v>
      </c>
      <c r="L115" s="475">
        <f t="shared" si="36"/>
        <v>100</v>
      </c>
      <c r="M115" s="475">
        <f t="shared" si="36"/>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4" t="s">
        <v>3405</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7">C119-$K40</f>
        <v>100</v>
      </c>
      <c r="E119" s="475">
        <f t="shared" si="37"/>
        <v>100</v>
      </c>
      <c r="F119" s="475">
        <f t="shared" si="37"/>
        <v>100</v>
      </c>
      <c r="G119" s="475">
        <f t="shared" si="37"/>
        <v>100</v>
      </c>
      <c r="H119" s="475">
        <f t="shared" si="37"/>
        <v>100</v>
      </c>
      <c r="I119" s="475">
        <f t="shared" si="37"/>
        <v>100</v>
      </c>
      <c r="J119" s="475">
        <f t="shared" si="37"/>
        <v>100</v>
      </c>
      <c r="K119" s="475">
        <f t="shared" si="37"/>
        <v>100</v>
      </c>
      <c r="L119" s="475">
        <f t="shared" si="37"/>
        <v>100</v>
      </c>
      <c r="M119" s="475">
        <f t="shared" si="37"/>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3" t="s">
        <v>3400</v>
      </c>
      <c r="D122" s="3143" t="s">
        <v>3401</v>
      </c>
      <c r="E122" s="3143" t="s">
        <v>3402</v>
      </c>
      <c r="F122" s="3144" t="s">
        <v>3404</v>
      </c>
      <c r="G122" s="513"/>
      <c r="H122" s="513"/>
      <c r="I122" s="513"/>
      <c r="J122" s="513"/>
      <c r="K122" s="514"/>
      <c r="L122" s="515"/>
      <c r="M122" s="516"/>
      <c r="N122" s="879"/>
      <c r="O122" s="879"/>
      <c r="P122" s="1773"/>
      <c r="Q122" s="439"/>
    </row>
    <row r="123" spans="1:17" ht="15.75" thickBot="1">
      <c r="A123" s="367"/>
      <c r="B123" s="474"/>
      <c r="C123" s="475">
        <v>100</v>
      </c>
      <c r="D123" s="475">
        <f t="shared" ref="D123:M123" si="38">C123-$K42</f>
        <v>99</v>
      </c>
      <c r="E123" s="475">
        <f t="shared" si="38"/>
        <v>98</v>
      </c>
      <c r="F123" s="475">
        <f t="shared" si="38"/>
        <v>97</v>
      </c>
      <c r="G123" s="475">
        <f t="shared" si="38"/>
        <v>96</v>
      </c>
      <c r="H123" s="475">
        <f t="shared" si="38"/>
        <v>95</v>
      </c>
      <c r="I123" s="475">
        <f t="shared" si="38"/>
        <v>94</v>
      </c>
      <c r="J123" s="475">
        <f t="shared" si="38"/>
        <v>93</v>
      </c>
      <c r="K123" s="475">
        <f t="shared" si="38"/>
        <v>92</v>
      </c>
      <c r="L123" s="475">
        <f t="shared" si="38"/>
        <v>91</v>
      </c>
      <c r="M123" s="475">
        <f t="shared" si="38"/>
        <v>90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4"/>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32 H7:H46 J7:J46 F34:F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3390</v>
      </c>
      <c r="C1" s="1716" t="s">
        <v>1563</v>
      </c>
      <c r="D1" s="190"/>
      <c r="E1" s="190"/>
      <c r="F1" s="190"/>
      <c r="G1" s="1062">
        <f>MATCH(B1,'数据-取费表'!A6:A16,0)+5</f>
        <v>6</v>
      </c>
      <c r="H1" s="998" t="str">
        <f>IF(ISERROR(FIND("住宅",B1)),"非住宅","住宅")</f>
        <v>住宅</v>
      </c>
    </row>
    <row r="2" spans="1:8" s="192" customFormat="1" ht="18" customHeight="1">
      <c r="A2" s="193" t="s">
        <v>1462</v>
      </c>
      <c r="B2" s="3120">
        <f ca="1">ROUND(IF(D2="——",C52/10000,C52/10000-E2),4)</f>
        <v>37.795000000000002</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6759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219438</v>
      </c>
      <c r="D5" s="203" t="s">
        <v>1469</v>
      </c>
      <c r="E5" s="204" t="s">
        <v>1470</v>
      </c>
      <c r="F5" s="204" t="s">
        <v>1471</v>
      </c>
      <c r="G5" s="205"/>
    </row>
    <row r="6" spans="1:8" s="206" customFormat="1" ht="13.5" customHeight="1">
      <c r="A6" s="732" t="s">
        <v>1472</v>
      </c>
      <c r="B6" s="207" t="s">
        <v>1473</v>
      </c>
      <c r="C6" s="208">
        <f>'[2]2002基准地价'!$E$18</f>
        <v>212943</v>
      </c>
      <c r="D6" s="209"/>
      <c r="E6" s="210"/>
      <c r="F6" s="210"/>
      <c r="G6" s="211"/>
    </row>
    <row r="7" spans="1:8" s="206" customFormat="1" ht="13.5" customHeight="1">
      <c r="A7" s="732" t="s">
        <v>1474</v>
      </c>
      <c r="B7" s="207" t="s">
        <v>1475</v>
      </c>
      <c r="C7" s="212">
        <f>ROUND(C6*F7,0)</f>
        <v>6495</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3" t="s">
        <v>451</v>
      </c>
    </row>
    <row r="9" spans="1:8" s="206" customFormat="1" ht="13.5" customHeight="1">
      <c r="A9" s="733" t="s">
        <v>355</v>
      </c>
      <c r="B9" s="216" t="s">
        <v>1478</v>
      </c>
      <c r="C9" s="217">
        <f ca="1">ROUND(D9*E9,0)</f>
        <v>0</v>
      </c>
      <c r="D9" s="795">
        <f ca="1">IF(B1="",'数据-汇总表'!E5,IF(INDIRECT("'数据-取费表'!c"&amp;$G$1)="住宅",INDIRECT("'数据-取费表'!k"&amp;$G$1),0))</f>
        <v>55.92</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55.92</v>
      </c>
      <c r="E19" s="203">
        <f>'数据-取费表'!B31</f>
        <v>0</v>
      </c>
      <c r="F19" s="223"/>
      <c r="G19" s="1713" t="s">
        <v>3410</v>
      </c>
    </row>
    <row r="20" spans="1:7" s="206" customFormat="1" ht="13.5" customHeight="1">
      <c r="A20" s="247" t="s">
        <v>1574</v>
      </c>
      <c r="B20" s="202" t="s">
        <v>1575</v>
      </c>
      <c r="C20" s="224">
        <f>ROUND((C5+C19)*F20,0)</f>
        <v>2194</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27956</v>
      </c>
      <c r="D22" s="227">
        <f ca="1">C26</f>
        <v>5.9999999999999995E-4</v>
      </c>
      <c r="E22" s="228" t="s">
        <v>1579</v>
      </c>
      <c r="F22" s="229">
        <f ca="1">'数据-取费表'!B40</f>
        <v>6.1500000000000006E-2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27821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135</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22163</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ROUND((C5+C19+C20)*F27,0)</f>
        <v>22163</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291453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114581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100656</v>
      </c>
      <c r="D34" s="209"/>
      <c r="E34" s="212"/>
      <c r="F34" s="249"/>
      <c r="G34" s="211"/>
    </row>
    <row r="35" spans="1:7" ht="13.5" customHeight="1">
      <c r="A35" s="734" t="s">
        <v>351</v>
      </c>
      <c r="B35" s="207" t="s">
        <v>1527</v>
      </c>
      <c r="C35" s="212">
        <f ca="1">ROUND(C34*F35,0)</f>
        <v>3020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1007</v>
      </c>
      <c r="D36" s="212"/>
      <c r="E36" s="212"/>
      <c r="F36" s="251">
        <f>'数据-取费表'!B34</f>
        <v>0.01</v>
      </c>
      <c r="G36" s="252" t="s">
        <v>1530</v>
      </c>
    </row>
    <row r="37" spans="1:7" s="250" customFormat="1" ht="13.5" customHeight="1">
      <c r="A37" s="734" t="s">
        <v>353</v>
      </c>
      <c r="B37" s="207" t="s">
        <v>1531</v>
      </c>
      <c r="C37" s="241">
        <f ca="1">ROUND(E37*D37,0)</f>
        <v>8388</v>
      </c>
      <c r="D37" s="209">
        <f ca="1">D19</f>
        <v>55.92</v>
      </c>
      <c r="E37" s="241">
        <f>'数据-取费表'!B35</f>
        <v>150</v>
      </c>
      <c r="F37" s="251"/>
      <c r="G37" s="253"/>
    </row>
    <row r="38" spans="1:7" ht="13.5" customHeight="1">
      <c r="A38" s="734" t="s">
        <v>354</v>
      </c>
      <c r="B38" s="207" t="s">
        <v>1533</v>
      </c>
      <c r="C38" s="212">
        <f ca="1">ROUND(C34*F38,0)</f>
        <v>1510</v>
      </c>
      <c r="D38" s="212"/>
      <c r="E38" s="212"/>
      <c r="F38" s="251">
        <f>'数据-取费表'!B36</f>
        <v>1.4999999999999999E-2</v>
      </c>
      <c r="G38" s="211" t="s">
        <v>1528</v>
      </c>
    </row>
    <row r="39" spans="1:7" s="206" customFormat="1" ht="13.5" customHeight="1">
      <c r="A39" s="247" t="s">
        <v>1534</v>
      </c>
      <c r="B39" s="202" t="s">
        <v>1535</v>
      </c>
      <c r="C39" s="224">
        <f ca="1">ROUND(C33*F20,0)</f>
        <v>1146</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7117</v>
      </c>
      <c r="D41" s="227">
        <f ca="1">C44</f>
        <v>5.9999999999999995E-4</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7047</v>
      </c>
      <c r="D42" s="230"/>
      <c r="E42" s="230"/>
      <c r="F42" s="231"/>
      <c r="G42" s="3380" t="s">
        <v>1591</v>
      </c>
    </row>
    <row r="43" spans="1:7" ht="13.5" customHeight="1">
      <c r="A43" s="734" t="s">
        <v>347</v>
      </c>
      <c r="B43" s="207" t="s">
        <v>1545</v>
      </c>
      <c r="C43" s="230">
        <f ca="1">ROUND(IF('数据-取费表'!B22&lt;=1,C39*F22*'数据-取费表'!B20/2,C39*(POWER((1+F22),'数据-取费表'!B20/2)-1)),0)</f>
        <v>70</v>
      </c>
      <c r="D43" s="230"/>
      <c r="E43" s="230"/>
      <c r="F43" s="231"/>
      <c r="G43" s="3381"/>
    </row>
    <row r="44" spans="1:7" ht="13.5" customHeight="1">
      <c r="A44" s="734" t="s">
        <v>348</v>
      </c>
      <c r="B44" s="207" t="s">
        <v>1546</v>
      </c>
      <c r="C44" s="230">
        <f ca="1">ROUND(IF('数据-取费表'!B22&lt;=1,C40*F22*'数据-取费表'!B20/2,C40*(POWER((1+F22),'数据-取费表'!B20/2)-1)),4)</f>
        <v>5.9999999999999995E-4</v>
      </c>
      <c r="D44" s="230"/>
      <c r="E44" s="230"/>
      <c r="F44" s="231"/>
      <c r="G44" s="3382"/>
    </row>
    <row r="45" spans="1:7" s="206" customFormat="1" ht="13.5" customHeight="1">
      <c r="A45" s="247" t="s">
        <v>1547</v>
      </c>
      <c r="B45" s="236" t="s">
        <v>1513</v>
      </c>
      <c r="C45" s="237">
        <f ca="1">C46</f>
        <v>11573</v>
      </c>
      <c r="D45" s="227">
        <f ca="1">C47</f>
        <v>1E-3</v>
      </c>
      <c r="E45" s="228" t="s">
        <v>1539</v>
      </c>
      <c r="F45" s="238">
        <f ca="1">F27</f>
        <v>0.1</v>
      </c>
      <c r="G45" s="239" t="s">
        <v>1548</v>
      </c>
    </row>
    <row r="46" spans="1:7" s="206" customFormat="1" ht="13.5" customHeight="1">
      <c r="A46" s="734" t="s">
        <v>346</v>
      </c>
      <c r="B46" s="240" t="s">
        <v>1549</v>
      </c>
      <c r="C46" s="241">
        <f ca="1">ROUND((C33+C39)*F27,0)</f>
        <v>11573</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144162</v>
      </c>
      <c r="D49" s="224"/>
      <c r="E49" s="224"/>
      <c r="F49" s="256"/>
      <c r="G49" s="226" t="s">
        <v>1554</v>
      </c>
    </row>
    <row r="50" spans="1:7" s="250" customFormat="1">
      <c r="A50" s="247" t="s">
        <v>1555</v>
      </c>
      <c r="B50" s="202" t="s">
        <v>1556</v>
      </c>
      <c r="C50" s="224"/>
      <c r="D50" s="224"/>
      <c r="E50" s="224"/>
      <c r="F50" s="256">
        <f>IF('数据-取费表'!B24=0,'数据-取费表'!N16,1)</f>
        <v>0.6</v>
      </c>
      <c r="G50" s="239"/>
    </row>
    <row r="51" spans="1:7" ht="16.5" customHeight="1">
      <c r="A51" s="247" t="s">
        <v>1558</v>
      </c>
      <c r="B51" s="202" t="s">
        <v>1593</v>
      </c>
      <c r="C51" s="224">
        <f ca="1">ROUND(C49*F50,0)</f>
        <v>86497</v>
      </c>
      <c r="D51" s="224"/>
      <c r="E51" s="224"/>
      <c r="F51" s="256"/>
      <c r="G51" s="226" t="s">
        <v>1560</v>
      </c>
    </row>
    <row r="52" spans="1:7" s="200" customFormat="1" ht="16.5" thickBot="1">
      <c r="A52" s="257" t="s">
        <v>1561</v>
      </c>
      <c r="B52" s="258"/>
      <c r="C52" s="259">
        <f ca="1">C31+C51</f>
        <v>377950</v>
      </c>
      <c r="D52" s="258"/>
      <c r="E52" s="258"/>
      <c r="F52" s="258"/>
      <c r="G52" s="260"/>
    </row>
    <row r="55" spans="1:7" ht="15">
      <c r="B55" s="262" t="s">
        <v>1562</v>
      </c>
      <c r="C55" s="263"/>
    </row>
    <row r="56" spans="1:7">
      <c r="B56" s="265" t="s">
        <v>802</v>
      </c>
      <c r="C56" s="267">
        <f ca="1">1-C57</f>
        <v>0.77100000000000002</v>
      </c>
    </row>
    <row r="57" spans="1:7">
      <c r="B57" s="265" t="s">
        <v>803</v>
      </c>
      <c r="C57" s="266">
        <f ca="1">ROUND(C51/C52,3)</f>
        <v>0.22900000000000001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55.92</v>
      </c>
      <c r="E14" s="21">
        <f>'数据-取费表'!B35</f>
        <v>150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55.92</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55.92</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6.1500000000000006E-2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30" t="s">
        <v>694</v>
      </c>
      <c r="C6" s="1011">
        <f ca="1">ROUND(F6*F8*F7*(1-F9)/10000,0)</f>
        <v>0</v>
      </c>
      <c r="D6" s="147" t="s">
        <v>2109</v>
      </c>
      <c r="E6" s="294" t="s">
        <v>696</v>
      </c>
      <c r="F6" s="295">
        <f ca="1">INDIRECT("'数据-取费表'!u"&amp;$G$1)</f>
        <v>0</v>
      </c>
      <c r="G6" s="1291"/>
      <c r="H6" s="1006" t="s">
        <v>398</v>
      </c>
      <c r="I6" s="3430" t="s">
        <v>694</v>
      </c>
      <c r="J6" s="293">
        <f ca="1">ROUND(M6*M8*M7*(1-M9)/10000,0)</f>
        <v>0</v>
      </c>
      <c r="K6" s="147" t="s">
        <v>2108</v>
      </c>
      <c r="L6" s="294" t="s">
        <v>696</v>
      </c>
      <c r="M6" s="295">
        <f ca="1">INDIRECT("'数据-取费表'!z"&amp;$G$1)</f>
        <v>0</v>
      </c>
    </row>
    <row r="7" spans="1:37" ht="18" customHeight="1">
      <c r="A7" s="1010"/>
      <c r="B7" s="3431"/>
      <c r="C7" s="1012"/>
      <c r="D7" s="299"/>
      <c r="E7" s="1013" t="s">
        <v>697</v>
      </c>
      <c r="F7" s="295">
        <f ca="1">IF(INDIRECT("'数据-取费表'!ah"&amp;$G$1)="",INDIRECT("'数据-取费表'!k"&amp;$G$1),INDIRECT("'数据-取费表'!ah"&amp;$G$1))</f>
        <v>0</v>
      </c>
      <c r="G7" s="1291"/>
      <c r="H7" s="296"/>
      <c r="I7" s="3431"/>
      <c r="J7" s="298"/>
      <c r="K7" s="299"/>
      <c r="L7" s="294" t="s">
        <v>697</v>
      </c>
      <c r="M7" s="295">
        <f ca="1">F7</f>
        <v>0</v>
      </c>
    </row>
    <row r="8" spans="1:37" ht="18" customHeight="1">
      <c r="A8" s="296"/>
      <c r="B8" s="3431"/>
      <c r="C8" s="298"/>
      <c r="D8" s="299"/>
      <c r="E8" s="294" t="s">
        <v>698</v>
      </c>
      <c r="F8" s="295">
        <f ca="1">INDIRECT("'数据-取费表'!ai"&amp;$G$1)</f>
        <v>0</v>
      </c>
      <c r="G8" s="1291"/>
      <c r="H8" s="296"/>
      <c r="I8" s="3431"/>
      <c r="J8" s="298"/>
      <c r="K8" s="299"/>
      <c r="L8" s="294" t="s">
        <v>698</v>
      </c>
      <c r="M8" s="295">
        <f ca="1">INDIRECT("'数据-取费表'!ai"&amp;$G$1)</f>
        <v>0</v>
      </c>
    </row>
    <row r="9" spans="1:37" ht="18" customHeight="1">
      <c r="A9" s="296"/>
      <c r="B9" s="3432"/>
      <c r="C9" s="298"/>
      <c r="D9" s="299"/>
      <c r="E9" s="294" t="s">
        <v>699</v>
      </c>
      <c r="F9" s="304">
        <f ca="1">INDIRECT("'数据-取费表'!w"&amp;$G$1)</f>
        <v>0</v>
      </c>
      <c r="G9" s="1291"/>
      <c r="H9" s="296"/>
      <c r="I9" s="3432"/>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0.03</v>
      </c>
      <c r="G11" s="1291"/>
      <c r="H11" s="1014"/>
      <c r="I11" s="1274" t="s">
        <v>679</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150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6.1500000000000006E-2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428" t="s">
        <v>837</v>
      </c>
      <c r="L53" s="3429"/>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30" t="s">
        <v>694</v>
      </c>
      <c r="C6" s="1011">
        <f ca="1">ROUND(F6*F8*F7*(1-F9),0)</f>
        <v>0</v>
      </c>
      <c r="D6" s="147" t="s">
        <v>2106</v>
      </c>
      <c r="E6" s="294" t="s">
        <v>696</v>
      </c>
      <c r="F6" s="295">
        <f ca="1">INDIRECT("'数据-取费表'!u"&amp;$G$1)</f>
        <v>0</v>
      </c>
      <c r="G6" s="1291"/>
      <c r="H6" s="1006" t="s">
        <v>398</v>
      </c>
      <c r="I6" s="3430" t="s">
        <v>694</v>
      </c>
      <c r="J6" s="293">
        <f ca="1">ROUND(M6*M8*M7*(1-M9),0)</f>
        <v>0</v>
      </c>
      <c r="K6" s="1283" t="s">
        <v>2107</v>
      </c>
      <c r="L6" s="294" t="s">
        <v>696</v>
      </c>
      <c r="M6" s="295">
        <f ca="1">INDIRECT("'数据-取费表'!z"&amp;$G$1)</f>
        <v>0</v>
      </c>
    </row>
    <row r="7" spans="1:37" ht="18" customHeight="1">
      <c r="A7" s="1010"/>
      <c r="B7" s="3431"/>
      <c r="C7" s="1012"/>
      <c r="D7" s="299"/>
      <c r="E7" s="1013" t="s">
        <v>697</v>
      </c>
      <c r="F7" s="295">
        <f ca="1">IF(INDIRECT("'数据-取费表'!ah"&amp;$G$1)="",INDIRECT("'数据-取费表'!k"&amp;$G$1),INDIRECT("'数据-取费表'!ah"&amp;$G$1))</f>
        <v>0</v>
      </c>
      <c r="G7" s="1291"/>
      <c r="H7" s="296"/>
      <c r="I7" s="3431"/>
      <c r="J7" s="298"/>
      <c r="K7" s="299"/>
      <c r="L7" s="294" t="s">
        <v>697</v>
      </c>
      <c r="M7" s="295">
        <f ca="1">F7</f>
        <v>0</v>
      </c>
    </row>
    <row r="8" spans="1:37" ht="18" customHeight="1">
      <c r="A8" s="296"/>
      <c r="B8" s="3431"/>
      <c r="C8" s="298"/>
      <c r="D8" s="299"/>
      <c r="E8" s="294" t="s">
        <v>698</v>
      </c>
      <c r="F8" s="295">
        <f ca="1">INDIRECT("'数据-取费表'!ai"&amp;$G$1)</f>
        <v>0</v>
      </c>
      <c r="G8" s="1291"/>
      <c r="H8" s="296"/>
      <c r="I8" s="3431"/>
      <c r="J8" s="298"/>
      <c r="K8" s="299"/>
      <c r="L8" s="294" t="s">
        <v>698</v>
      </c>
      <c r="M8" s="295">
        <f ca="1">INDIRECT("'数据-取费表'!ai"&amp;$G$1)</f>
        <v>0</v>
      </c>
    </row>
    <row r="9" spans="1:37" ht="18" customHeight="1">
      <c r="A9" s="296"/>
      <c r="B9" s="3432"/>
      <c r="C9" s="298"/>
      <c r="D9" s="299"/>
      <c r="E9" s="294" t="s">
        <v>699</v>
      </c>
      <c r="F9" s="304">
        <f ca="1">INDIRECT("'数据-取费表'!w"&amp;$G$1)</f>
        <v>0</v>
      </c>
      <c r="G9" s="1291"/>
      <c r="H9" s="296"/>
      <c r="I9" s="3432"/>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0.03</v>
      </c>
      <c r="G11" s="1291"/>
      <c r="H11" s="1014"/>
      <c r="I11" s="1274" t="s">
        <v>891</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150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6.1500000000000006E-2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ROUND(IF(AND(项目基本情况!B11="自然人",项目基本情况!B10="北京市"),C6*F31/(1+'数据-取费表'!C42),C32+C33+C34),0)</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ROUND(C13*F37,0)</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ROUND(C5*F38,0)</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3354</v>
      </c>
      <c r="B45" s="1306"/>
      <c r="C45" s="1375" t="e">
        <f ca="1">ROUND((C68-C40)/10000,4)</f>
        <v>#DIV/0!</v>
      </c>
      <c r="D45" s="3128" t="s">
        <v>3355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0</v>
      </c>
      <c r="K53" s="3428" t="s">
        <v>837</v>
      </c>
      <c r="L53" s="3429"/>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2" t="s">
        <v>2317</v>
      </c>
      <c r="B2" s="2592" t="e">
        <f>IF(D2="——",C40,C40+E2)</f>
        <v>#DIV/0!</v>
      </c>
      <c r="C2" s="2593" t="s">
        <v>2318</v>
      </c>
      <c r="D2" s="3136" t="s">
        <v>3361</v>
      </c>
      <c r="E2" s="3137"/>
      <c r="F2" s="2595"/>
      <c r="G2" s="2596"/>
      <c r="H2" s="2597"/>
      <c r="I2" s="2598"/>
      <c r="J2" s="3433" t="s">
        <v>2319</v>
      </c>
      <c r="K2" s="3434"/>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435" t="s">
        <v>2329</v>
      </c>
      <c r="K3" s="3436"/>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435" t="s">
        <v>2331</v>
      </c>
      <c r="K4" s="3436"/>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37" t="s">
        <v>2335</v>
      </c>
      <c r="B6" s="3438"/>
      <c r="C6" s="3439"/>
      <c r="D6" s="2619"/>
      <c r="E6" s="2620"/>
      <c r="F6" s="2621"/>
      <c r="G6" s="2622"/>
      <c r="H6" s="2597"/>
      <c r="I6" s="2598"/>
      <c r="J6" s="3440">
        <v>1</v>
      </c>
      <c r="K6" s="3441"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440"/>
      <c r="K7" s="3442"/>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44" t="s">
        <v>2349</v>
      </c>
      <c r="C8" s="3445"/>
      <c r="D8" s="2638" t="s">
        <v>2350</v>
      </c>
      <c r="E8" s="2639" t="s">
        <v>2351</v>
      </c>
      <c r="F8" s="2640" t="s">
        <v>2352</v>
      </c>
      <c r="G8" s="2641"/>
      <c r="H8" s="2597"/>
      <c r="I8" s="2598"/>
      <c r="J8" s="3440"/>
      <c r="K8" s="3442"/>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44" t="s">
        <v>2355</v>
      </c>
      <c r="C9" s="3445"/>
      <c r="D9" s="2638">
        <f>ROUND(D6*E9,0)</f>
        <v>0</v>
      </c>
      <c r="E9" s="2642"/>
      <c r="F9" s="2643" t="s">
        <v>2356</v>
      </c>
      <c r="G9" s="2622"/>
      <c r="H9" s="2597"/>
      <c r="I9" s="2598"/>
      <c r="J9" s="3440"/>
      <c r="K9" s="3442"/>
      <c r="L9" s="2632" t="s">
        <v>2357</v>
      </c>
      <c r="M9" s="2633"/>
      <c r="N9" s="2609"/>
      <c r="O9" s="2634"/>
      <c r="P9" s="2634"/>
      <c r="Q9" s="2635">
        <v>365</v>
      </c>
      <c r="R9" s="2636">
        <f t="shared" si="0"/>
        <v>0</v>
      </c>
      <c r="S9" s="2590"/>
      <c r="T9" s="2590"/>
      <c r="U9" s="2590"/>
      <c r="V9" s="2598"/>
    </row>
    <row r="10" spans="1:22" s="2602" customFormat="1" ht="13.15" customHeight="1">
      <c r="A10" s="2637">
        <v>2</v>
      </c>
      <c r="B10" s="3444" t="s">
        <v>2358</v>
      </c>
      <c r="C10" s="3445"/>
      <c r="D10" s="2638">
        <f>ROUND(D6*E10,0)</f>
        <v>0</v>
      </c>
      <c r="E10" s="2642"/>
      <c r="F10" s="2643" t="s">
        <v>2359</v>
      </c>
      <c r="G10" s="2622"/>
      <c r="H10" s="2597"/>
      <c r="I10" s="2598"/>
      <c r="J10" s="3440"/>
      <c r="K10" s="3442"/>
      <c r="L10" s="2632" t="s">
        <v>2360</v>
      </c>
      <c r="M10" s="2633"/>
      <c r="N10" s="2609"/>
      <c r="O10" s="2634"/>
      <c r="P10" s="2634"/>
      <c r="Q10" s="2635">
        <v>365</v>
      </c>
      <c r="R10" s="2636">
        <f t="shared" si="0"/>
        <v>0</v>
      </c>
      <c r="S10" s="2590"/>
      <c r="T10" s="2590"/>
      <c r="U10" s="2590"/>
      <c r="V10" s="2598"/>
    </row>
    <row r="11" spans="1:22" s="2602" customFormat="1" ht="13.15" customHeight="1">
      <c r="A11" s="2637">
        <v>3</v>
      </c>
      <c r="B11" s="3444" t="s">
        <v>2361</v>
      </c>
      <c r="C11" s="3445"/>
      <c r="D11" s="2638">
        <f>D12+D14+D15+D16</f>
        <v>0</v>
      </c>
      <c r="E11" s="2644" t="e">
        <f>D11/D6</f>
        <v>#DIV/0!</v>
      </c>
      <c r="F11" s="2640"/>
      <c r="G11" s="2641"/>
      <c r="H11" s="2597"/>
      <c r="I11" s="2598"/>
      <c r="J11" s="3440"/>
      <c r="K11" s="3442"/>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446" t="s">
        <v>2364</v>
      </c>
      <c r="C12" s="3447"/>
      <c r="D12" s="2646">
        <f>ROUND(D13*1.2%*(1-30%),0)</f>
        <v>0</v>
      </c>
      <c r="E12" s="2647">
        <v>1.2E-2</v>
      </c>
      <c r="F12" s="2640" t="s">
        <v>2365</v>
      </c>
      <c r="G12" s="2641"/>
      <c r="H12" s="2597"/>
      <c r="I12" s="2598"/>
      <c r="J12" s="3440"/>
      <c r="K12" s="3442"/>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440"/>
      <c r="K13" s="3442"/>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446" t="s">
        <v>2370</v>
      </c>
      <c r="C14" s="3447"/>
      <c r="D14" s="2646">
        <f>ROUND(E14*B5/10000,0)</f>
        <v>0</v>
      </c>
      <c r="E14" s="2635"/>
      <c r="F14" s="2640" t="s">
        <v>2371</v>
      </c>
      <c r="G14" s="2641"/>
      <c r="H14" s="2597"/>
      <c r="I14" s="2598"/>
      <c r="J14" s="3440"/>
      <c r="K14" s="3443"/>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446" t="s">
        <v>2374</v>
      </c>
      <c r="C15" s="3447"/>
      <c r="D15" s="2646">
        <f>ROUND(D6*E15,0)</f>
        <v>0</v>
      </c>
      <c r="E15" s="2647">
        <v>5.5E-2</v>
      </c>
      <c r="F15" s="2640" t="s">
        <v>2375</v>
      </c>
      <c r="G15" s="2622"/>
      <c r="H15" s="2597"/>
      <c r="I15" s="2598"/>
      <c r="J15" s="3440">
        <v>2</v>
      </c>
      <c r="K15" s="3441"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446" t="s">
        <v>2383</v>
      </c>
      <c r="C16" s="3447"/>
      <c r="D16" s="2657">
        <f>D6*E16</f>
        <v>0</v>
      </c>
      <c r="E16" s="2658"/>
      <c r="F16" s="2643" t="s">
        <v>2384</v>
      </c>
      <c r="G16" s="2622"/>
      <c r="H16" s="2597"/>
      <c r="I16" s="2598"/>
      <c r="J16" s="3440"/>
      <c r="K16" s="3442"/>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48" t="s">
        <v>2386</v>
      </c>
      <c r="C17" s="3449"/>
      <c r="D17" s="2660">
        <f>ROUND(D6*E17,0)</f>
        <v>0</v>
      </c>
      <c r="E17" s="2661"/>
      <c r="F17" s="2662" t="s">
        <v>2387</v>
      </c>
      <c r="G17" s="2622"/>
      <c r="H17" s="2597"/>
      <c r="I17" s="2598"/>
      <c r="J17" s="3440"/>
      <c r="K17" s="3442"/>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440"/>
      <c r="K18" s="3442"/>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440"/>
      <c r="K19" s="3443"/>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40">
        <v>3</v>
      </c>
      <c r="K20" s="3441"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440"/>
      <c r="K21" s="3442"/>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440"/>
      <c r="K22" s="3442"/>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440"/>
      <c r="K23" s="3442"/>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440"/>
      <c r="K24" s="3443"/>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450">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451"/>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433" t="s">
        <v>2319</v>
      </c>
      <c r="K32" s="3434"/>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435" t="s">
        <v>2329</v>
      </c>
      <c r="K33" s="3436"/>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435" t="s">
        <v>2331</v>
      </c>
      <c r="K34" s="3436"/>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440">
        <v>1</v>
      </c>
      <c r="K36" s="3441"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440"/>
      <c r="K37" s="3442"/>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40"/>
      <c r="K38" s="3442"/>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440"/>
      <c r="K39" s="3442"/>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440"/>
      <c r="K40" s="3443"/>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450">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451"/>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1">
        <f ca="1">SUMIF(B6:B13,"&lt;&gt;#ref!",B6:B13)</f>
        <v>0</v>
      </c>
      <c r="C2" s="1728" t="s">
        <v>1651</v>
      </c>
      <c r="D2" s="1729" t="s">
        <v>1652</v>
      </c>
      <c r="E2" s="2390">
        <f>SUM(E6:E13)</f>
        <v>0</v>
      </c>
      <c r="F2" s="2477"/>
      <c r="G2" s="459"/>
      <c r="H2" s="459"/>
      <c r="I2" s="459"/>
      <c r="J2" s="459"/>
      <c r="K2" s="459"/>
      <c r="L2" s="459"/>
      <c r="M2" s="459"/>
      <c r="N2" s="459"/>
      <c r="O2" s="459"/>
      <c r="P2" s="459"/>
      <c r="Q2" s="459"/>
      <c r="R2" s="459"/>
      <c r="S2" s="459"/>
    </row>
    <row r="3" spans="1:22" ht="15.75">
      <c r="A3" s="1727" t="s">
        <v>686</v>
      </c>
      <c r="B3" s="2384" t="e">
        <f ca="1">ROUND(B2*10000/E2,0)</f>
        <v>#DIV/0!</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52" t="s">
        <v>1654</v>
      </c>
      <c r="C5" s="3453"/>
      <c r="D5" s="2478"/>
      <c r="E5" s="1730" t="s">
        <v>1655</v>
      </c>
      <c r="F5" s="129" t="s">
        <v>1656</v>
      </c>
      <c r="G5" s="459"/>
      <c r="H5" s="459"/>
      <c r="I5" s="459"/>
      <c r="J5" s="459"/>
      <c r="K5" s="459"/>
      <c r="L5" s="459"/>
      <c r="M5" s="459"/>
      <c r="N5" s="459"/>
      <c r="O5" s="459"/>
      <c r="P5" s="459"/>
      <c r="Q5" s="459"/>
      <c r="R5" s="459"/>
      <c r="S5" s="459"/>
    </row>
    <row r="6" spans="1:22">
      <c r="A6" s="2387">
        <f>'数据-取费表'!AN6</f>
        <v>0</v>
      </c>
      <c r="B6" s="2385" t="e">
        <f ca="1">IF(F6="是",'数据-取费表'!AO6,0)</f>
        <v>#REF!</v>
      </c>
      <c r="C6" s="1728" t="s">
        <v>1651</v>
      </c>
      <c r="D6" s="2477"/>
      <c r="E6" s="2389">
        <f>IF(OR(A6=0,F6="否"),0,'数据-取费表'!K6+'数据-取费表'!S6)</f>
        <v>0</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7"/>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7"/>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E49"/>
  <sheetViews>
    <sheetView workbookViewId="0">
      <selection activeCell="W21" sqref="W21"/>
    </sheetView>
  </sheetViews>
  <sheetFormatPr defaultRowHeight="13.5"/>
  <cols>
    <col min="3" max="5" width="0" hidden="1" customWidth="1"/>
    <col min="10" max="10" width="22.25" bestFit="1" customWidth="1"/>
    <col min="11" max="11" width="8.5" bestFit="1" customWidth="1"/>
    <col min="12" max="12" width="12.25" bestFit="1" customWidth="1"/>
    <col min="13" max="13" width="8.5" bestFit="1" customWidth="1"/>
    <col min="14" max="14" width="15" style="3156" bestFit="1" customWidth="1"/>
    <col min="15" max="15" width="19.75" bestFit="1" customWidth="1"/>
    <col min="16" max="16" width="9.375" style="3157" bestFit="1" customWidth="1"/>
    <col min="18" max="19" width="0" hidden="1" customWidth="1"/>
    <col min="20" max="20" width="13.75" hidden="1" customWidth="1"/>
    <col min="21" max="21" width="10.25" hidden="1" customWidth="1"/>
    <col min="22" max="22" width="0" hidden="1" customWidth="1"/>
    <col min="23" max="23" width="9.25" style="3157" bestFit="1" customWidth="1"/>
    <col min="28" max="29" width="10.25" bestFit="1" customWidth="1"/>
  </cols>
  <sheetData>
    <row r="2" spans="2:31" s="3188" customFormat="1">
      <c r="B2" s="3184" t="s">
        <v>3433</v>
      </c>
      <c r="C2" s="3182" t="s">
        <v>3434</v>
      </c>
      <c r="D2" s="3183" t="s">
        <v>3435</v>
      </c>
      <c r="E2" s="3183" t="s">
        <v>3436</v>
      </c>
      <c r="F2" s="3184" t="s">
        <v>3416</v>
      </c>
      <c r="G2" s="3184" t="s">
        <v>3417</v>
      </c>
      <c r="H2" s="3184" t="s">
        <v>3437</v>
      </c>
      <c r="I2" s="3184" t="s">
        <v>3438</v>
      </c>
      <c r="J2" s="3184" t="s">
        <v>3439</v>
      </c>
      <c r="K2" s="3184" t="s">
        <v>3440</v>
      </c>
      <c r="L2" s="3184" t="s">
        <v>3441</v>
      </c>
      <c r="M2" s="3184" t="s">
        <v>3418</v>
      </c>
      <c r="N2" s="3184" t="s">
        <v>3419</v>
      </c>
      <c r="O2" s="3184" t="s">
        <v>3442</v>
      </c>
      <c r="P2" s="3184" t="s">
        <v>3443</v>
      </c>
      <c r="Q2" s="3184" t="s">
        <v>3444</v>
      </c>
      <c r="R2" s="3185" t="s">
        <v>3445</v>
      </c>
      <c r="S2" s="3184" t="s">
        <v>3446</v>
      </c>
      <c r="T2" s="3185" t="s">
        <v>3447</v>
      </c>
      <c r="U2" s="3185" t="s">
        <v>3448</v>
      </c>
      <c r="V2" s="3185" t="s">
        <v>3449</v>
      </c>
      <c r="W2" s="3189" t="s">
        <v>3450</v>
      </c>
      <c r="X2" s="3184" t="s">
        <v>3451</v>
      </c>
      <c r="Y2" s="3184" t="s">
        <v>3452</v>
      </c>
      <c r="Z2" s="3184" t="s">
        <v>3453</v>
      </c>
      <c r="AA2" s="3184" t="s">
        <v>3454</v>
      </c>
      <c r="AB2" s="3187" t="s">
        <v>3455</v>
      </c>
    </row>
    <row r="3" spans="2:31">
      <c r="B3" s="3154" t="s">
        <v>3665</v>
      </c>
      <c r="C3" s="3154" t="s">
        <v>3666</v>
      </c>
      <c r="D3" s="3154" t="s">
        <v>3667</v>
      </c>
      <c r="E3" s="3154" t="s">
        <v>3668</v>
      </c>
      <c r="F3" s="3154" t="s">
        <v>3521</v>
      </c>
      <c r="G3" s="3154" t="s">
        <v>3522</v>
      </c>
      <c r="I3" s="3154" t="s">
        <v>3421</v>
      </c>
      <c r="J3" s="3154" t="s">
        <v>3669</v>
      </c>
      <c r="K3" s="3154" t="s">
        <v>3670</v>
      </c>
      <c r="L3" s="3154">
        <v>54.73</v>
      </c>
      <c r="M3">
        <v>5</v>
      </c>
      <c r="N3" s="3154" t="s">
        <v>3671</v>
      </c>
      <c r="O3" s="3154" t="s">
        <v>3420</v>
      </c>
      <c r="P3"/>
      <c r="Q3">
        <v>1982</v>
      </c>
      <c r="W3" s="3157">
        <v>5938</v>
      </c>
      <c r="X3">
        <v>325000</v>
      </c>
      <c r="Y3">
        <v>5275</v>
      </c>
      <c r="Z3">
        <v>288700</v>
      </c>
      <c r="AA3" t="s">
        <v>3672</v>
      </c>
      <c r="AB3" s="3155">
        <v>40262</v>
      </c>
      <c r="AE3" s="3190" t="s">
        <v>3684</v>
      </c>
    </row>
    <row r="4" spans="2:31">
      <c r="B4" s="3154" t="s">
        <v>3673</v>
      </c>
      <c r="C4" s="3154" t="s">
        <v>3674</v>
      </c>
      <c r="E4" s="3154"/>
      <c r="F4" s="3154" t="s">
        <v>3675</v>
      </c>
      <c r="G4" s="3154" t="s">
        <v>3676</v>
      </c>
      <c r="I4" s="3154"/>
      <c r="J4" s="3154"/>
      <c r="K4" s="3154"/>
      <c r="L4" s="3154">
        <v>73.64</v>
      </c>
      <c r="M4">
        <v>5</v>
      </c>
      <c r="N4" s="3154">
        <v>2</v>
      </c>
      <c r="O4" s="3154"/>
      <c r="P4" t="s">
        <v>43</v>
      </c>
      <c r="Q4">
        <v>1992</v>
      </c>
      <c r="W4" s="3157">
        <v>7876</v>
      </c>
      <c r="Y4">
        <v>6844</v>
      </c>
      <c r="Z4">
        <v>503992</v>
      </c>
      <c r="AB4" s="3155">
        <v>40556</v>
      </c>
    </row>
    <row r="5" spans="2:31">
      <c r="B5" s="3154" t="s">
        <v>3677</v>
      </c>
      <c r="C5" s="3154" t="s">
        <v>3678</v>
      </c>
      <c r="E5" s="3154"/>
      <c r="F5" s="3154" t="s">
        <v>3675</v>
      </c>
      <c r="G5" s="3154" t="s">
        <v>3683</v>
      </c>
      <c r="I5" s="3154"/>
      <c r="J5" s="3154"/>
      <c r="K5" s="3154"/>
      <c r="L5" s="3154">
        <v>90.91</v>
      </c>
      <c r="M5" s="3156" t="s">
        <v>3679</v>
      </c>
      <c r="N5" s="3154">
        <v>6</v>
      </c>
      <c r="O5" s="3154" t="s">
        <v>43</v>
      </c>
      <c r="P5"/>
      <c r="Q5">
        <v>2000</v>
      </c>
      <c r="W5" s="3157">
        <v>7040</v>
      </c>
      <c r="Y5">
        <v>6460</v>
      </c>
      <c r="Z5">
        <v>587279</v>
      </c>
      <c r="AB5" s="3155">
        <v>40385</v>
      </c>
    </row>
    <row r="6" spans="2:31">
      <c r="B6" s="3154" t="s">
        <v>3680</v>
      </c>
      <c r="C6" s="3154" t="s">
        <v>3681</v>
      </c>
      <c r="F6" s="3154" t="s">
        <v>3675</v>
      </c>
      <c r="G6" s="3154" t="s">
        <v>3682</v>
      </c>
      <c r="I6" s="3154"/>
      <c r="J6" s="3154"/>
      <c r="K6" s="3154"/>
      <c r="L6" s="3154">
        <v>51.58</v>
      </c>
      <c r="M6">
        <v>5</v>
      </c>
      <c r="N6" s="3154">
        <v>5</v>
      </c>
      <c r="O6" s="3154" t="s">
        <v>43</v>
      </c>
      <c r="P6"/>
      <c r="Q6">
        <v>1990</v>
      </c>
      <c r="R6" t="s">
        <v>43</v>
      </c>
      <c r="W6" s="3157">
        <v>7173</v>
      </c>
      <c r="Y6">
        <v>6899</v>
      </c>
      <c r="Z6">
        <v>355850</v>
      </c>
      <c r="AB6" s="3155">
        <v>40366</v>
      </c>
    </row>
    <row r="12" spans="2:31">
      <c r="AE12">
        <f>W6-W3</f>
        <v>1235</v>
      </c>
    </row>
    <row r="13" spans="2:31" s="3188" customFormat="1">
      <c r="B13" s="3184" t="s">
        <v>3433</v>
      </c>
      <c r="C13" s="3182" t="s">
        <v>3434</v>
      </c>
      <c r="D13" s="3183" t="s">
        <v>3435</v>
      </c>
      <c r="E13" s="3183" t="s">
        <v>3436</v>
      </c>
      <c r="F13" s="3184" t="s">
        <v>3416</v>
      </c>
      <c r="G13" s="3184" t="s">
        <v>3417</v>
      </c>
      <c r="H13" s="3184" t="s">
        <v>3437</v>
      </c>
      <c r="I13" s="3184" t="s">
        <v>3438</v>
      </c>
      <c r="J13" s="3184" t="s">
        <v>3439</v>
      </c>
      <c r="K13" s="3184" t="s">
        <v>3440</v>
      </c>
      <c r="L13" s="3184" t="s">
        <v>3441</v>
      </c>
      <c r="M13" s="3184" t="s">
        <v>3418</v>
      </c>
      <c r="N13" s="3184" t="s">
        <v>3419</v>
      </c>
      <c r="O13" s="3184" t="s">
        <v>3442</v>
      </c>
      <c r="P13" s="3184" t="s">
        <v>3443</v>
      </c>
      <c r="Q13" s="3184" t="s">
        <v>3444</v>
      </c>
      <c r="R13" s="3185" t="s">
        <v>3445</v>
      </c>
      <c r="S13" s="3184" t="s">
        <v>3446</v>
      </c>
      <c r="T13" s="3185" t="s">
        <v>3447</v>
      </c>
      <c r="U13" s="3185" t="s">
        <v>3448</v>
      </c>
      <c r="V13" s="3185" t="s">
        <v>3449</v>
      </c>
      <c r="W13" s="3189" t="s">
        <v>3450</v>
      </c>
      <c r="X13" s="3184" t="s">
        <v>3451</v>
      </c>
      <c r="Y13" s="3184" t="s">
        <v>3452</v>
      </c>
      <c r="Z13" s="3184" t="s">
        <v>3453</v>
      </c>
      <c r="AA13" s="3184" t="s">
        <v>3454</v>
      </c>
      <c r="AB13" s="3187" t="s">
        <v>3455</v>
      </c>
      <c r="AE13" s="3157">
        <f>AE12/W3</f>
        <v>0.20798248568541597</v>
      </c>
    </row>
    <row r="14" spans="2:31">
      <c r="B14" s="3154" t="s">
        <v>3592</v>
      </c>
      <c r="C14" s="3154" t="s">
        <v>3593</v>
      </c>
      <c r="D14" s="3161" t="s">
        <v>3594</v>
      </c>
      <c r="E14" s="3154">
        <v>13301202667</v>
      </c>
      <c r="F14" s="3154" t="s">
        <v>2771</v>
      </c>
      <c r="G14" s="3154" t="s">
        <v>3459</v>
      </c>
      <c r="I14" s="3154" t="s">
        <v>3427</v>
      </c>
      <c r="J14" s="3154" t="s">
        <v>3505</v>
      </c>
      <c r="K14" s="3154" t="s">
        <v>3595</v>
      </c>
      <c r="L14" s="3154">
        <v>40.98</v>
      </c>
      <c r="N14" s="3154">
        <v>3</v>
      </c>
      <c r="O14" s="3154" t="s">
        <v>3538</v>
      </c>
      <c r="P14"/>
      <c r="Q14">
        <v>1982</v>
      </c>
      <c r="W14" s="3157">
        <v>6101</v>
      </c>
      <c r="X14">
        <v>250000</v>
      </c>
      <c r="Y14">
        <v>8171</v>
      </c>
      <c r="Z14">
        <v>334799.99999999994</v>
      </c>
      <c r="AA14" t="s">
        <v>3596</v>
      </c>
      <c r="AB14" s="3155">
        <v>40968</v>
      </c>
    </row>
    <row r="15" spans="2:31">
      <c r="B15" s="3154" t="s">
        <v>3597</v>
      </c>
      <c r="C15" s="3154" t="s">
        <v>3598</v>
      </c>
      <c r="D15" s="3161" t="s">
        <v>3599</v>
      </c>
      <c r="E15" s="3154">
        <v>13552018887</v>
      </c>
      <c r="F15" s="3154" t="s">
        <v>2771</v>
      </c>
      <c r="G15" s="3154" t="s">
        <v>3586</v>
      </c>
      <c r="I15" s="3154" t="s">
        <v>3425</v>
      </c>
      <c r="J15" s="3154" t="s">
        <v>3580</v>
      </c>
      <c r="K15" s="3154" t="s">
        <v>3600</v>
      </c>
      <c r="L15" s="3154">
        <v>57.23</v>
      </c>
      <c r="N15" s="3154">
        <v>5</v>
      </c>
      <c r="O15" s="3154" t="s">
        <v>3478</v>
      </c>
      <c r="P15"/>
      <c r="Q15">
        <v>1990</v>
      </c>
      <c r="W15" s="3157">
        <v>6989</v>
      </c>
      <c r="X15">
        <v>400000</v>
      </c>
      <c r="Y15">
        <v>8010</v>
      </c>
      <c r="Z15">
        <v>458400.00000000006</v>
      </c>
      <c r="AA15" t="s">
        <v>3601</v>
      </c>
      <c r="AB15" s="3155">
        <v>40999</v>
      </c>
    </row>
    <row r="16" spans="2:31">
      <c r="B16" s="3154" t="s">
        <v>3602</v>
      </c>
      <c r="C16" s="3154" t="s">
        <v>3603</v>
      </c>
      <c r="D16" s="3161" t="s">
        <v>3604</v>
      </c>
      <c r="E16" s="3154">
        <v>13641389365</v>
      </c>
      <c r="F16" s="3154" t="s">
        <v>2771</v>
      </c>
      <c r="G16" s="3154" t="s">
        <v>3605</v>
      </c>
      <c r="I16" s="3154" t="s">
        <v>3606</v>
      </c>
      <c r="J16" s="3154" t="s">
        <v>3607</v>
      </c>
      <c r="K16" s="3154" t="s">
        <v>3608</v>
      </c>
      <c r="L16" s="3154">
        <v>66.64</v>
      </c>
      <c r="N16" s="3154">
        <v>3</v>
      </c>
      <c r="O16" s="3154" t="s">
        <v>3426</v>
      </c>
      <c r="P16"/>
      <c r="Q16">
        <v>2001</v>
      </c>
      <c r="W16" s="3157">
        <v>6903</v>
      </c>
      <c r="X16">
        <v>460000</v>
      </c>
      <c r="Y16">
        <v>8102</v>
      </c>
      <c r="Z16">
        <v>539900</v>
      </c>
      <c r="AA16" t="s">
        <v>3601</v>
      </c>
      <c r="AB16" s="3155">
        <v>41000</v>
      </c>
    </row>
    <row r="17" spans="1:28">
      <c r="B17" s="3154" t="s">
        <v>3609</v>
      </c>
      <c r="C17" s="3154" t="s">
        <v>3610</v>
      </c>
      <c r="D17" s="3161" t="s">
        <v>3611</v>
      </c>
      <c r="E17" s="3154">
        <v>13671079254</v>
      </c>
      <c r="F17" s="3154" t="s">
        <v>2771</v>
      </c>
      <c r="G17" s="3154" t="s">
        <v>3612</v>
      </c>
      <c r="I17" s="3154" t="s">
        <v>3421</v>
      </c>
      <c r="J17" s="3154" t="s">
        <v>3613</v>
      </c>
      <c r="K17" s="3154" t="s">
        <v>3614</v>
      </c>
      <c r="L17" s="3154">
        <v>58.18</v>
      </c>
      <c r="N17" s="3154">
        <v>5</v>
      </c>
      <c r="O17" s="3154" t="s">
        <v>3426</v>
      </c>
      <c r="P17"/>
      <c r="W17" s="3157">
        <v>7941</v>
      </c>
      <c r="X17">
        <v>462000</v>
      </c>
      <c r="Y17">
        <v>8014</v>
      </c>
      <c r="Z17">
        <v>466200</v>
      </c>
      <c r="AA17" t="s">
        <v>3615</v>
      </c>
      <c r="AB17" s="3155">
        <v>41022</v>
      </c>
    </row>
    <row r="18" spans="1:28">
      <c r="B18" s="3154" t="s">
        <v>3616</v>
      </c>
      <c r="C18" s="3154" t="s">
        <v>3617</v>
      </c>
      <c r="D18" s="3161" t="s">
        <v>3618</v>
      </c>
      <c r="E18" s="3154">
        <v>13811113084</v>
      </c>
      <c r="F18" s="3154" t="s">
        <v>2771</v>
      </c>
      <c r="G18" s="3154" t="s">
        <v>3459</v>
      </c>
      <c r="I18" s="3154" t="s">
        <v>3619</v>
      </c>
      <c r="J18" s="3154" t="s">
        <v>3620</v>
      </c>
      <c r="K18" s="3154">
        <v>14</v>
      </c>
      <c r="L18" s="3154">
        <v>55.34</v>
      </c>
      <c r="N18" s="3154">
        <v>5</v>
      </c>
      <c r="O18" s="3154" t="s">
        <v>3426</v>
      </c>
      <c r="P18"/>
      <c r="W18" s="3157">
        <v>7282</v>
      </c>
      <c r="X18">
        <v>403000</v>
      </c>
      <c r="Y18">
        <v>8076</v>
      </c>
      <c r="Z18">
        <v>446900</v>
      </c>
      <c r="AA18" t="s">
        <v>3621</v>
      </c>
      <c r="AB18" s="3155">
        <v>41066</v>
      </c>
    </row>
    <row r="19" spans="1:28">
      <c r="B19" s="3154" t="s">
        <v>3622</v>
      </c>
      <c r="C19" s="3154" t="s">
        <v>3623</v>
      </c>
      <c r="D19" s="3161" t="s">
        <v>3624</v>
      </c>
      <c r="E19" s="3154">
        <v>13717751815</v>
      </c>
      <c r="F19" s="3154" t="s">
        <v>2771</v>
      </c>
      <c r="G19" s="3154" t="s">
        <v>3625</v>
      </c>
      <c r="I19" s="3154" t="s">
        <v>3468</v>
      </c>
      <c r="J19" s="3154" t="s">
        <v>3626</v>
      </c>
      <c r="K19" s="3154">
        <v>601</v>
      </c>
      <c r="L19" s="3154">
        <v>64.33</v>
      </c>
      <c r="N19" s="3154">
        <v>6</v>
      </c>
      <c r="O19" s="3154" t="s">
        <v>3426</v>
      </c>
      <c r="P19"/>
      <c r="W19" s="3157">
        <v>7617</v>
      </c>
      <c r="X19">
        <v>490000</v>
      </c>
      <c r="Y19">
        <v>7874</v>
      </c>
      <c r="Z19">
        <v>506500</v>
      </c>
      <c r="AA19" t="s">
        <v>3627</v>
      </c>
      <c r="AB19" s="3155">
        <v>41033</v>
      </c>
    </row>
    <row r="20" spans="1:28">
      <c r="B20" s="3196" t="s">
        <v>3628</v>
      </c>
      <c r="C20" s="3196" t="s">
        <v>3629</v>
      </c>
      <c r="D20" s="3196" t="s">
        <v>3630</v>
      </c>
      <c r="E20" s="3196">
        <v>13466352635</v>
      </c>
      <c r="F20" s="3196" t="s">
        <v>2771</v>
      </c>
      <c r="G20" s="3196" t="s">
        <v>3459</v>
      </c>
      <c r="H20" s="3193"/>
      <c r="I20" s="3196" t="s">
        <v>3489</v>
      </c>
      <c r="J20" s="3196" t="s">
        <v>3631</v>
      </c>
      <c r="K20" s="3196">
        <v>443</v>
      </c>
      <c r="L20" s="3196">
        <v>58.85</v>
      </c>
      <c r="M20" s="3193">
        <v>5</v>
      </c>
      <c r="N20" s="3196">
        <v>4</v>
      </c>
      <c r="O20" s="3196" t="s">
        <v>3426</v>
      </c>
      <c r="P20" s="3193"/>
      <c r="Q20" s="3193"/>
      <c r="R20" s="3193"/>
      <c r="S20" s="3193"/>
      <c r="T20" s="3193"/>
      <c r="U20" s="3193"/>
      <c r="V20" s="3193"/>
      <c r="W20" s="3194">
        <v>8071</v>
      </c>
      <c r="X20" s="3193">
        <v>475000</v>
      </c>
      <c r="Y20" s="3193">
        <v>7655</v>
      </c>
      <c r="Z20" s="3193">
        <v>450400</v>
      </c>
      <c r="AA20" s="3193" t="s">
        <v>3632</v>
      </c>
      <c r="AB20" s="3197">
        <v>41057</v>
      </c>
    </row>
    <row r="21" spans="1:28">
      <c r="B21" s="3191" t="s">
        <v>3633</v>
      </c>
      <c r="C21" s="3191" t="s">
        <v>3634</v>
      </c>
      <c r="D21" s="3192" t="s">
        <v>3635</v>
      </c>
      <c r="E21" s="3191">
        <v>13121027922</v>
      </c>
      <c r="F21" s="3191" t="s">
        <v>2771</v>
      </c>
      <c r="G21" s="3191" t="s">
        <v>3459</v>
      </c>
      <c r="H21" s="3193"/>
      <c r="I21" s="3191" t="s">
        <v>3425</v>
      </c>
      <c r="J21" s="3191" t="s">
        <v>3636</v>
      </c>
      <c r="K21" s="3191">
        <v>1</v>
      </c>
      <c r="L21" s="3191">
        <v>65.849999999999994</v>
      </c>
      <c r="M21" s="3193">
        <v>5</v>
      </c>
      <c r="N21" s="3191">
        <v>1</v>
      </c>
      <c r="O21" s="3191" t="s">
        <v>3426</v>
      </c>
      <c r="P21" s="3193"/>
      <c r="Q21" s="3193"/>
      <c r="R21" s="3193"/>
      <c r="S21" s="3193"/>
      <c r="T21" s="3193"/>
      <c r="U21" s="3193"/>
      <c r="V21" s="3193"/>
      <c r="W21" s="3194">
        <v>7897</v>
      </c>
      <c r="X21" s="3193">
        <v>520000</v>
      </c>
      <c r="Y21" s="3193">
        <v>7964</v>
      </c>
      <c r="Z21" s="3193">
        <v>524400</v>
      </c>
      <c r="AA21" s="3193" t="s">
        <v>3637</v>
      </c>
      <c r="AB21" s="3195">
        <v>41089</v>
      </c>
    </row>
    <row r="22" spans="1:28">
      <c r="B22" s="3154" t="s">
        <v>3658</v>
      </c>
      <c r="C22" s="3154" t="s">
        <v>3659</v>
      </c>
      <c r="D22" s="3161" t="s">
        <v>3660</v>
      </c>
      <c r="E22" s="3161" t="s">
        <v>3661</v>
      </c>
      <c r="F22" s="3154" t="s">
        <v>2771</v>
      </c>
      <c r="G22" s="3154" t="s">
        <v>3662</v>
      </c>
      <c r="I22" s="3154"/>
      <c r="J22" s="3154" t="s">
        <v>3650</v>
      </c>
      <c r="K22" s="3161" t="s">
        <v>3663</v>
      </c>
      <c r="L22" s="3154">
        <v>61.8</v>
      </c>
      <c r="N22" s="3154">
        <v>2</v>
      </c>
      <c r="O22" s="3154" t="s">
        <v>3426</v>
      </c>
      <c r="P22"/>
      <c r="W22" s="3157">
        <v>9061</v>
      </c>
      <c r="X22">
        <v>560000</v>
      </c>
      <c r="Y22">
        <v>8208</v>
      </c>
      <c r="Z22">
        <v>507200</v>
      </c>
      <c r="AA22" t="s">
        <v>3664</v>
      </c>
      <c r="AB22" s="3163">
        <v>40758</v>
      </c>
    </row>
    <row r="23" spans="1:28">
      <c r="A23" s="3164"/>
      <c r="B23" s="3154" t="s">
        <v>3638</v>
      </c>
      <c r="C23" s="3154" t="s">
        <v>3639</v>
      </c>
      <c r="D23" s="3161" t="s">
        <v>3640</v>
      </c>
      <c r="E23" s="3154">
        <v>13522200584</v>
      </c>
      <c r="F23" s="3154" t="s">
        <v>2771</v>
      </c>
      <c r="G23" s="3154" t="s">
        <v>3641</v>
      </c>
      <c r="I23" s="3154" t="s">
        <v>3642</v>
      </c>
      <c r="J23" s="3154" t="s">
        <v>3643</v>
      </c>
      <c r="K23" s="3154" t="s">
        <v>3644</v>
      </c>
      <c r="L23" s="3154">
        <v>61.01</v>
      </c>
      <c r="N23" s="3154">
        <v>4</v>
      </c>
      <c r="O23" s="3154" t="s">
        <v>3426</v>
      </c>
      <c r="P23"/>
      <c r="W23" s="3157">
        <v>8327</v>
      </c>
      <c r="X23">
        <v>508000</v>
      </c>
      <c r="Y23">
        <v>7712</v>
      </c>
      <c r="Z23">
        <v>470500</v>
      </c>
      <c r="AA23" t="s">
        <v>3645</v>
      </c>
      <c r="AB23" s="3155">
        <v>40829</v>
      </c>
    </row>
    <row r="24" spans="1:28">
      <c r="A24" s="3164"/>
      <c r="B24" s="3154" t="s">
        <v>3646</v>
      </c>
      <c r="C24" s="3154" t="s">
        <v>3647</v>
      </c>
      <c r="D24" s="3161" t="s">
        <v>3648</v>
      </c>
      <c r="E24" s="3154">
        <v>13683047753</v>
      </c>
      <c r="F24" s="3154" t="s">
        <v>2771</v>
      </c>
      <c r="G24" s="3154" t="s">
        <v>3649</v>
      </c>
      <c r="I24" s="3154"/>
      <c r="J24" s="3154" t="s">
        <v>3650</v>
      </c>
      <c r="K24" s="3154" t="s">
        <v>3651</v>
      </c>
      <c r="L24" s="3154">
        <v>59.75</v>
      </c>
      <c r="N24" s="3154">
        <v>2</v>
      </c>
      <c r="O24" s="3154" t="s">
        <v>3426</v>
      </c>
      <c r="P24"/>
      <c r="W24" s="3157">
        <v>8033</v>
      </c>
      <c r="X24">
        <v>480000</v>
      </c>
      <c r="Y24">
        <v>8425</v>
      </c>
      <c r="Z24">
        <v>503300</v>
      </c>
      <c r="AA24" t="s">
        <v>3652</v>
      </c>
      <c r="AB24" s="3155">
        <v>40868</v>
      </c>
    </row>
    <row r="25" spans="1:28">
      <c r="A25" s="3164"/>
      <c r="B25" s="3191" t="s">
        <v>3653</v>
      </c>
      <c r="C25" s="3191" t="s">
        <v>3654</v>
      </c>
      <c r="D25" s="3192" t="s">
        <v>3655</v>
      </c>
      <c r="E25" s="3191">
        <v>13581587171</v>
      </c>
      <c r="F25" s="3191" t="s">
        <v>2771</v>
      </c>
      <c r="G25" s="3191" t="s">
        <v>3459</v>
      </c>
      <c r="H25" s="3193"/>
      <c r="I25" s="3191" t="s">
        <v>3536</v>
      </c>
      <c r="J25" s="3191" t="s">
        <v>3643</v>
      </c>
      <c r="K25" s="3191" t="s">
        <v>3656</v>
      </c>
      <c r="L25" s="3191">
        <v>58.9</v>
      </c>
      <c r="M25" s="3193">
        <v>5</v>
      </c>
      <c r="N25" s="3191">
        <v>4</v>
      </c>
      <c r="O25" s="3191" t="s">
        <v>3426</v>
      </c>
      <c r="P25" s="3193"/>
      <c r="Q25" s="3193"/>
      <c r="R25" s="3193"/>
      <c r="S25" s="3193"/>
      <c r="T25" s="3193"/>
      <c r="U25" s="3193"/>
      <c r="V25" s="3193"/>
      <c r="W25" s="3194">
        <v>8489</v>
      </c>
      <c r="X25" s="3193">
        <v>500000</v>
      </c>
      <c r="Y25" s="3193">
        <v>7762</v>
      </c>
      <c r="Z25" s="3193">
        <v>457100</v>
      </c>
      <c r="AA25" s="3193" t="s">
        <v>3657</v>
      </c>
      <c r="AB25" s="3195">
        <v>40896</v>
      </c>
    </row>
    <row r="26" spans="1:28">
      <c r="A26" s="3164"/>
      <c r="B26" s="3164"/>
      <c r="C26" s="3165"/>
      <c r="D26" s="3165"/>
      <c r="E26" s="3164"/>
      <c r="F26" s="3164"/>
      <c r="H26" s="3164"/>
      <c r="I26" s="3164"/>
      <c r="J26" s="3165"/>
      <c r="K26" s="3164"/>
      <c r="M26" s="3164"/>
      <c r="N26" s="3164"/>
      <c r="P26"/>
      <c r="V26" s="3162"/>
      <c r="AA26" s="3166"/>
    </row>
    <row r="28" spans="1:28">
      <c r="A28" s="3159" t="s">
        <v>3432</v>
      </c>
      <c r="B28" s="3158" t="s">
        <v>3433</v>
      </c>
      <c r="C28" s="3182" t="s">
        <v>3434</v>
      </c>
      <c r="D28" s="3183" t="s">
        <v>3435</v>
      </c>
      <c r="E28" s="3183" t="s">
        <v>3436</v>
      </c>
      <c r="F28" s="3184" t="s">
        <v>3416</v>
      </c>
      <c r="G28" s="3184" t="s">
        <v>3417</v>
      </c>
      <c r="H28" s="3184" t="s">
        <v>3437</v>
      </c>
      <c r="I28" s="3184" t="s">
        <v>3438</v>
      </c>
      <c r="J28" s="3184" t="s">
        <v>3439</v>
      </c>
      <c r="K28" s="3184" t="s">
        <v>3440</v>
      </c>
      <c r="L28" s="3184" t="s">
        <v>3441</v>
      </c>
      <c r="M28" s="3184" t="s">
        <v>3418</v>
      </c>
      <c r="N28" s="3184" t="s">
        <v>3419</v>
      </c>
      <c r="O28" s="3184" t="s">
        <v>3442</v>
      </c>
      <c r="P28" s="3184" t="s">
        <v>3443</v>
      </c>
      <c r="Q28" s="3184" t="s">
        <v>3444</v>
      </c>
      <c r="R28" s="3185" t="s">
        <v>3445</v>
      </c>
      <c r="S28" s="3184" t="s">
        <v>3446</v>
      </c>
      <c r="T28" s="3185" t="s">
        <v>3447</v>
      </c>
      <c r="U28" s="3185" t="s">
        <v>3448</v>
      </c>
      <c r="V28" s="3185" t="s">
        <v>3449</v>
      </c>
      <c r="W28" s="3189" t="s">
        <v>3450</v>
      </c>
      <c r="X28" s="3184" t="s">
        <v>3451</v>
      </c>
      <c r="Y28" s="3184" t="s">
        <v>3452</v>
      </c>
      <c r="Z28" s="3184" t="s">
        <v>3453</v>
      </c>
      <c r="AA28" s="3184" t="s">
        <v>3454</v>
      </c>
      <c r="AB28" s="3160" t="s">
        <v>3455</v>
      </c>
    </row>
    <row r="29" spans="1:28">
      <c r="B29" s="3168" t="s">
        <v>3456</v>
      </c>
      <c r="C29" s="3169" t="s">
        <v>3457</v>
      </c>
      <c r="D29" s="3170" t="s">
        <v>3458</v>
      </c>
      <c r="E29" s="3170">
        <v>13811517706</v>
      </c>
      <c r="F29" s="3169" t="s">
        <v>2771</v>
      </c>
      <c r="G29" s="3169" t="s">
        <v>3459</v>
      </c>
      <c r="I29" s="3169" t="s">
        <v>3460</v>
      </c>
      <c r="J29" s="3169" t="s">
        <v>3461</v>
      </c>
      <c r="K29" s="3170">
        <v>421</v>
      </c>
      <c r="L29" s="3171">
        <v>53.76</v>
      </c>
      <c r="N29" s="3169">
        <v>2</v>
      </c>
      <c r="O29" s="3169" t="s">
        <v>3426</v>
      </c>
      <c r="P29"/>
      <c r="W29" s="3157">
        <v>15811</v>
      </c>
      <c r="X29">
        <v>850000</v>
      </c>
      <c r="Y29">
        <v>15029</v>
      </c>
      <c r="Z29">
        <v>807900.00000000012</v>
      </c>
      <c r="AA29" t="s">
        <v>3462</v>
      </c>
      <c r="AB29" s="3186">
        <v>41627</v>
      </c>
    </row>
    <row r="30" spans="1:28">
      <c r="B30" s="3169" t="s">
        <v>3463</v>
      </c>
      <c r="C30" s="3169" t="s">
        <v>3464</v>
      </c>
      <c r="D30" s="3173" t="s">
        <v>3465</v>
      </c>
      <c r="E30" s="3169" t="s">
        <v>3466</v>
      </c>
      <c r="F30" s="3169" t="s">
        <v>2771</v>
      </c>
      <c r="G30" s="3169" t="s">
        <v>3467</v>
      </c>
      <c r="I30" s="3169" t="s">
        <v>3468</v>
      </c>
      <c r="J30" s="3169" t="s">
        <v>3469</v>
      </c>
      <c r="K30" s="3174" t="s">
        <v>3470</v>
      </c>
      <c r="L30" s="3175">
        <v>54.54</v>
      </c>
      <c r="N30" s="3169">
        <v>2</v>
      </c>
      <c r="O30" s="3169" t="s">
        <v>3426</v>
      </c>
      <c r="P30"/>
      <c r="W30" s="3157">
        <v>12651</v>
      </c>
      <c r="X30">
        <v>690000</v>
      </c>
      <c r="Y30">
        <v>14766</v>
      </c>
      <c r="Z30">
        <v>805300</v>
      </c>
      <c r="AA30" t="s">
        <v>3471</v>
      </c>
      <c r="AB30" s="3172">
        <v>41604</v>
      </c>
    </row>
    <row r="31" spans="1:28">
      <c r="B31" s="3168" t="s">
        <v>3472</v>
      </c>
      <c r="C31" s="3169" t="s">
        <v>3473</v>
      </c>
      <c r="D31" s="3170" t="s">
        <v>3474</v>
      </c>
      <c r="E31" s="3170">
        <v>13426322423</v>
      </c>
      <c r="F31" s="3169" t="s">
        <v>2771</v>
      </c>
      <c r="G31" s="3169" t="s">
        <v>3475</v>
      </c>
      <c r="I31" s="3169" t="s">
        <v>3476</v>
      </c>
      <c r="J31" s="3169" t="s">
        <v>3477</v>
      </c>
      <c r="K31" s="3170">
        <v>311</v>
      </c>
      <c r="L31" s="3171">
        <v>59.12</v>
      </c>
      <c r="N31" s="3169">
        <v>1</v>
      </c>
      <c r="O31" s="3169" t="s">
        <v>3478</v>
      </c>
      <c r="P31"/>
      <c r="W31" s="3157">
        <v>10825</v>
      </c>
      <c r="X31">
        <v>640000</v>
      </c>
      <c r="Y31">
        <v>14192</v>
      </c>
      <c r="Z31">
        <v>839000</v>
      </c>
      <c r="AA31" t="s">
        <v>3479</v>
      </c>
      <c r="AB31" s="3167">
        <v>41634</v>
      </c>
    </row>
    <row r="32" spans="1:28">
      <c r="B32" s="3169" t="s">
        <v>3480</v>
      </c>
      <c r="C32" s="3169" t="s">
        <v>3481</v>
      </c>
      <c r="D32" s="3173" t="s">
        <v>3482</v>
      </c>
      <c r="E32" s="3169">
        <v>18611165259</v>
      </c>
      <c r="F32" s="3169" t="s">
        <v>2771</v>
      </c>
      <c r="G32" s="3169" t="s">
        <v>3483</v>
      </c>
      <c r="I32" s="3169" t="s">
        <v>3425</v>
      </c>
      <c r="J32" s="3169" t="s">
        <v>3484</v>
      </c>
      <c r="K32" s="3174">
        <v>301</v>
      </c>
      <c r="L32" s="3175">
        <v>75.599999999999994</v>
      </c>
      <c r="N32" s="3169">
        <v>3</v>
      </c>
      <c r="O32" s="3169" t="s">
        <v>3426</v>
      </c>
      <c r="P32"/>
      <c r="W32" s="3157">
        <v>13228</v>
      </c>
      <c r="X32">
        <v>1000000</v>
      </c>
      <c r="Y32">
        <v>14276</v>
      </c>
      <c r="Z32">
        <v>1079200</v>
      </c>
      <c r="AA32" t="s">
        <v>3485</v>
      </c>
      <c r="AB32" s="3172">
        <v>41635</v>
      </c>
    </row>
    <row r="33" spans="2:28">
      <c r="B33" s="3169" t="s">
        <v>3486</v>
      </c>
      <c r="C33" s="3169" t="s">
        <v>3487</v>
      </c>
      <c r="D33" s="3173" t="s">
        <v>3488</v>
      </c>
      <c r="E33" s="3169">
        <v>15901132346</v>
      </c>
      <c r="F33" s="3169" t="s">
        <v>2771</v>
      </c>
      <c r="G33" s="3169" t="s">
        <v>3459</v>
      </c>
      <c r="I33" s="3169" t="s">
        <v>3489</v>
      </c>
      <c r="J33" s="3169" t="s">
        <v>3490</v>
      </c>
      <c r="K33" s="3174">
        <v>252</v>
      </c>
      <c r="L33" s="3175">
        <v>55.87</v>
      </c>
      <c r="N33" s="3169">
        <v>5</v>
      </c>
      <c r="O33" s="3169" t="s">
        <v>3426</v>
      </c>
      <c r="P33"/>
      <c r="W33" s="3157">
        <v>11992</v>
      </c>
      <c r="X33">
        <v>670000</v>
      </c>
      <c r="Y33">
        <v>14801</v>
      </c>
      <c r="Z33">
        <v>826900</v>
      </c>
      <c r="AA33" t="s">
        <v>3491</v>
      </c>
      <c r="AB33" s="3172">
        <v>41635</v>
      </c>
    </row>
    <row r="34" spans="2:28">
      <c r="B34" s="3168" t="s">
        <v>3492</v>
      </c>
      <c r="C34" s="3169" t="s">
        <v>3493</v>
      </c>
      <c r="D34" s="3170" t="s">
        <v>3494</v>
      </c>
      <c r="E34" s="3170" t="s">
        <v>3495</v>
      </c>
      <c r="F34" s="3169" t="s">
        <v>2771</v>
      </c>
      <c r="G34" s="3169" t="s">
        <v>3496</v>
      </c>
      <c r="I34" s="3169" t="s">
        <v>3497</v>
      </c>
      <c r="J34" s="3169" t="s">
        <v>3498</v>
      </c>
      <c r="K34" s="3170" t="s">
        <v>3499</v>
      </c>
      <c r="L34" s="3171">
        <v>62.97</v>
      </c>
      <c r="N34" s="3169">
        <v>6</v>
      </c>
      <c r="O34" s="3169" t="s">
        <v>3426</v>
      </c>
      <c r="P34"/>
      <c r="W34" s="3157">
        <v>10958</v>
      </c>
      <c r="X34">
        <v>690000</v>
      </c>
      <c r="Y34">
        <v>14720</v>
      </c>
      <c r="Z34">
        <v>926900</v>
      </c>
      <c r="AA34" t="s">
        <v>3500</v>
      </c>
      <c r="AB34" s="3167">
        <v>41654</v>
      </c>
    </row>
    <row r="35" spans="2:28">
      <c r="B35" s="3168" t="s">
        <v>3501</v>
      </c>
      <c r="C35" s="3169" t="s">
        <v>3502</v>
      </c>
      <c r="D35" s="3170" t="s">
        <v>3503</v>
      </c>
      <c r="E35" s="3176">
        <v>15810214038</v>
      </c>
      <c r="F35" s="3169" t="s">
        <v>2771</v>
      </c>
      <c r="G35" s="3169" t="s">
        <v>3459</v>
      </c>
      <c r="I35" s="3169" t="s">
        <v>3504</v>
      </c>
      <c r="J35" s="3169" t="s">
        <v>3505</v>
      </c>
      <c r="K35" s="3174">
        <v>332</v>
      </c>
      <c r="L35" s="3175">
        <v>56.87</v>
      </c>
      <c r="N35" s="3169">
        <v>3</v>
      </c>
      <c r="O35" s="3169" t="s">
        <v>3426</v>
      </c>
      <c r="P35"/>
      <c r="W35" s="3157">
        <v>13540</v>
      </c>
      <c r="X35">
        <v>770000</v>
      </c>
      <c r="Y35">
        <v>14852</v>
      </c>
      <c r="Z35">
        <v>844599.99999999988</v>
      </c>
      <c r="AA35" t="s">
        <v>3506</v>
      </c>
      <c r="AB35" s="3172">
        <v>41660</v>
      </c>
    </row>
    <row r="36" spans="2:28">
      <c r="B36" s="3169" t="s">
        <v>3507</v>
      </c>
      <c r="C36" s="3169" t="s">
        <v>3508</v>
      </c>
      <c r="D36" s="3174" t="s">
        <v>3509</v>
      </c>
      <c r="E36" s="3169">
        <v>13146160554</v>
      </c>
      <c r="F36" s="3169" t="s">
        <v>2771</v>
      </c>
      <c r="G36" s="3169" t="s">
        <v>3459</v>
      </c>
      <c r="I36" s="3169" t="s">
        <v>3510</v>
      </c>
      <c r="J36" s="3169" t="s">
        <v>3511</v>
      </c>
      <c r="K36" s="3169">
        <v>1</v>
      </c>
      <c r="L36" s="3171">
        <v>58.85</v>
      </c>
      <c r="N36" s="3169">
        <v>5</v>
      </c>
      <c r="O36" s="3169" t="s">
        <v>3426</v>
      </c>
      <c r="P36"/>
      <c r="W36" s="3157">
        <v>13594</v>
      </c>
      <c r="X36">
        <v>800000</v>
      </c>
      <c r="Y36">
        <v>14996</v>
      </c>
      <c r="Z36">
        <v>882500</v>
      </c>
      <c r="AA36" t="s">
        <v>3512</v>
      </c>
      <c r="AB36" s="3172">
        <v>41680</v>
      </c>
    </row>
    <row r="37" spans="2:28" ht="15.75">
      <c r="B37" s="3177" t="s">
        <v>3513</v>
      </c>
      <c r="C37" s="3169" t="s">
        <v>3514</v>
      </c>
      <c r="D37" s="3174" t="s">
        <v>3515</v>
      </c>
      <c r="E37" s="3169">
        <v>15910758136</v>
      </c>
      <c r="F37" s="3169" t="s">
        <v>2771</v>
      </c>
      <c r="G37" s="3169" t="s">
        <v>3459</v>
      </c>
      <c r="I37" s="3169" t="s">
        <v>3516</v>
      </c>
      <c r="J37" s="3169" t="s">
        <v>3484</v>
      </c>
      <c r="K37" s="3169">
        <v>4231</v>
      </c>
      <c r="L37" s="3171">
        <v>58.85</v>
      </c>
      <c r="N37" s="3169">
        <v>3</v>
      </c>
      <c r="O37" s="3169" t="s">
        <v>3426</v>
      </c>
      <c r="P37"/>
      <c r="W37" s="3157">
        <v>10705</v>
      </c>
      <c r="X37">
        <v>630000</v>
      </c>
      <c r="Y37">
        <v>15234</v>
      </c>
      <c r="Z37">
        <v>896500</v>
      </c>
      <c r="AA37" t="s">
        <v>3517</v>
      </c>
      <c r="AB37" s="3172">
        <v>41686</v>
      </c>
    </row>
    <row r="38" spans="2:28">
      <c r="B38" s="3169" t="s">
        <v>3518</v>
      </c>
      <c r="C38" s="3169" t="s">
        <v>3519</v>
      </c>
      <c r="D38" s="3174" t="s">
        <v>3520</v>
      </c>
      <c r="E38" s="3169">
        <v>15810350090</v>
      </c>
      <c r="F38" s="3169" t="s">
        <v>3521</v>
      </c>
      <c r="G38" s="3169" t="s">
        <v>3522</v>
      </c>
      <c r="I38" s="3169" t="s">
        <v>3523</v>
      </c>
      <c r="J38" s="3169" t="s">
        <v>3524</v>
      </c>
      <c r="K38" s="3169">
        <v>1</v>
      </c>
      <c r="L38" s="3171">
        <v>53.76</v>
      </c>
      <c r="N38" s="3169">
        <v>3</v>
      </c>
      <c r="O38" s="3169" t="s">
        <v>3426</v>
      </c>
      <c r="P38"/>
      <c r="W38" s="3157">
        <v>9859</v>
      </c>
      <c r="X38">
        <v>530000</v>
      </c>
      <c r="Y38">
        <v>15326</v>
      </c>
      <c r="Z38">
        <v>823900</v>
      </c>
      <c r="AA38" t="s">
        <v>3525</v>
      </c>
      <c r="AB38" s="3172">
        <v>41709</v>
      </c>
    </row>
    <row r="39" spans="2:28">
      <c r="B39" s="3169" t="s">
        <v>3526</v>
      </c>
      <c r="C39" s="3169" t="s">
        <v>3527</v>
      </c>
      <c r="D39" s="3178" t="s">
        <v>3528</v>
      </c>
      <c r="E39" s="3169">
        <v>18911643120</v>
      </c>
      <c r="F39" s="3169" t="s">
        <v>2771</v>
      </c>
      <c r="G39" s="3169" t="s">
        <v>3529</v>
      </c>
      <c r="I39" s="3169"/>
      <c r="J39" s="3169" t="s">
        <v>3530</v>
      </c>
      <c r="K39" s="3169">
        <v>15</v>
      </c>
      <c r="L39" s="3175">
        <v>61.09</v>
      </c>
      <c r="N39" s="3169">
        <v>5</v>
      </c>
      <c r="O39" s="3169" t="s">
        <v>3426</v>
      </c>
      <c r="P39"/>
      <c r="W39" s="3157">
        <v>12441</v>
      </c>
      <c r="X39">
        <v>760000</v>
      </c>
      <c r="Y39">
        <v>15061</v>
      </c>
      <c r="Z39">
        <v>920000</v>
      </c>
      <c r="AA39" t="s">
        <v>3531</v>
      </c>
      <c r="AB39" s="3172">
        <v>41717</v>
      </c>
    </row>
    <row r="40" spans="2:28">
      <c r="B40" s="3168" t="s">
        <v>3532</v>
      </c>
      <c r="C40" s="3168" t="s">
        <v>3533</v>
      </c>
      <c r="D40" s="3170" t="s">
        <v>3534</v>
      </c>
      <c r="E40" s="3168">
        <v>13071181107</v>
      </c>
      <c r="F40" s="3168" t="s">
        <v>2771</v>
      </c>
      <c r="G40" s="3168" t="s">
        <v>3535</v>
      </c>
      <c r="I40" s="3168" t="s">
        <v>3536</v>
      </c>
      <c r="J40" s="3168" t="s">
        <v>3537</v>
      </c>
      <c r="K40" s="3173">
        <v>112</v>
      </c>
      <c r="L40" s="3171">
        <v>38</v>
      </c>
      <c r="N40" s="3168">
        <v>1</v>
      </c>
      <c r="O40" s="3169" t="s">
        <v>3538</v>
      </c>
      <c r="P40"/>
      <c r="W40" s="3157">
        <v>12895</v>
      </c>
      <c r="X40">
        <v>490000</v>
      </c>
      <c r="Y40">
        <v>15915</v>
      </c>
      <c r="Z40">
        <v>604700</v>
      </c>
      <c r="AA40" t="s">
        <v>3539</v>
      </c>
      <c r="AB40" s="3179">
        <v>41719</v>
      </c>
    </row>
    <row r="41" spans="2:28">
      <c r="B41" s="3168" t="s">
        <v>3540</v>
      </c>
      <c r="C41" s="3169" t="s">
        <v>3541</v>
      </c>
      <c r="D41" s="3170" t="s">
        <v>3542</v>
      </c>
      <c r="E41" s="3169">
        <v>18910421004</v>
      </c>
      <c r="F41" s="3169" t="s">
        <v>2771</v>
      </c>
      <c r="G41" s="3169" t="s">
        <v>3543</v>
      </c>
      <c r="I41" s="3169" t="s">
        <v>3468</v>
      </c>
      <c r="J41" s="3169" t="s">
        <v>3537</v>
      </c>
      <c r="K41" s="3169">
        <v>102</v>
      </c>
      <c r="L41" s="3171">
        <v>62.92</v>
      </c>
      <c r="N41" s="3169">
        <v>1</v>
      </c>
      <c r="O41" s="3169" t="s">
        <v>3426</v>
      </c>
      <c r="P41"/>
      <c r="W41" s="3157">
        <v>16847</v>
      </c>
      <c r="X41">
        <v>1060000</v>
      </c>
      <c r="Y41">
        <v>15062</v>
      </c>
      <c r="Z41">
        <v>947700</v>
      </c>
      <c r="AA41" t="s">
        <v>3544</v>
      </c>
      <c r="AB41" s="3172">
        <v>41729</v>
      </c>
    </row>
    <row r="42" spans="2:28">
      <c r="B42" s="3168" t="s">
        <v>3545</v>
      </c>
      <c r="C42" s="3169" t="s">
        <v>3546</v>
      </c>
      <c r="D42" s="3170" t="s">
        <v>3547</v>
      </c>
      <c r="E42" s="3170">
        <v>13811586436</v>
      </c>
      <c r="F42" s="3169" t="s">
        <v>2771</v>
      </c>
      <c r="G42" s="3169" t="s">
        <v>3548</v>
      </c>
      <c r="I42" s="3169"/>
      <c r="J42" s="3169" t="s">
        <v>3549</v>
      </c>
      <c r="K42" s="3170" t="s">
        <v>3550</v>
      </c>
      <c r="L42" s="3171">
        <v>72.42</v>
      </c>
      <c r="N42" s="3169">
        <v>6</v>
      </c>
      <c r="O42" s="3169" t="s">
        <v>3426</v>
      </c>
      <c r="P42"/>
      <c r="W42" s="3157">
        <v>12428</v>
      </c>
      <c r="X42">
        <v>900000</v>
      </c>
      <c r="Y42">
        <v>14813</v>
      </c>
      <c r="Z42">
        <v>1072700</v>
      </c>
      <c r="AA42" t="s">
        <v>3551</v>
      </c>
      <c r="AB42" s="3167">
        <v>41758</v>
      </c>
    </row>
    <row r="43" spans="2:28">
      <c r="B43" s="3169" t="s">
        <v>3552</v>
      </c>
      <c r="C43" s="3169" t="s">
        <v>3553</v>
      </c>
      <c r="D43" s="3174" t="s">
        <v>3554</v>
      </c>
      <c r="E43" s="3169">
        <v>18613800204</v>
      </c>
      <c r="F43" s="3169" t="s">
        <v>3521</v>
      </c>
      <c r="G43" s="3169" t="s">
        <v>3555</v>
      </c>
      <c r="I43" s="3168"/>
      <c r="J43" s="3169" t="s">
        <v>3556</v>
      </c>
      <c r="K43" s="3170" t="s">
        <v>3557</v>
      </c>
      <c r="L43" s="3171">
        <v>63.05</v>
      </c>
      <c r="N43" s="3169">
        <v>1</v>
      </c>
      <c r="O43" s="3169" t="s">
        <v>3538</v>
      </c>
      <c r="P43"/>
      <c r="W43" s="3157">
        <v>15385</v>
      </c>
      <c r="X43">
        <v>970000</v>
      </c>
      <c r="Y43">
        <v>15278</v>
      </c>
      <c r="Z43">
        <v>963199.99999999988</v>
      </c>
      <c r="AA43" t="s">
        <v>3558</v>
      </c>
      <c r="AB43" s="3172">
        <v>41772</v>
      </c>
    </row>
    <row r="44" spans="2:28">
      <c r="B44" s="3169" t="s">
        <v>3559</v>
      </c>
      <c r="C44" s="3169" t="s">
        <v>3560</v>
      </c>
      <c r="D44" s="3174" t="s">
        <v>3561</v>
      </c>
      <c r="E44" s="3169">
        <v>15801314815</v>
      </c>
      <c r="F44" s="3169" t="s">
        <v>2771</v>
      </c>
      <c r="G44" s="3169" t="s">
        <v>3562</v>
      </c>
      <c r="I44" s="3169" t="s">
        <v>3523</v>
      </c>
      <c r="J44" s="3169" t="s">
        <v>3563</v>
      </c>
      <c r="K44" s="3169">
        <v>361</v>
      </c>
      <c r="L44" s="3171">
        <v>54.4</v>
      </c>
      <c r="N44" s="3169">
        <v>6</v>
      </c>
      <c r="O44" s="3169" t="s">
        <v>3426</v>
      </c>
      <c r="P44"/>
      <c r="W44" s="3157">
        <v>12040</v>
      </c>
      <c r="X44">
        <v>655000</v>
      </c>
      <c r="Y44">
        <v>14258</v>
      </c>
      <c r="Z44">
        <v>775600</v>
      </c>
      <c r="AA44" t="s">
        <v>3564</v>
      </c>
      <c r="AB44" s="3172">
        <v>41795</v>
      </c>
    </row>
    <row r="45" spans="2:28">
      <c r="B45" s="3169" t="s">
        <v>3565</v>
      </c>
      <c r="C45" s="3169" t="s">
        <v>3566</v>
      </c>
      <c r="D45" s="3170" t="s">
        <v>3567</v>
      </c>
      <c r="E45" s="3169">
        <v>13910039365</v>
      </c>
      <c r="F45" s="3169" t="s">
        <v>2771</v>
      </c>
      <c r="G45" s="3169" t="s">
        <v>3568</v>
      </c>
      <c r="I45" s="3169" t="s">
        <v>3497</v>
      </c>
      <c r="J45" s="3169" t="s">
        <v>3537</v>
      </c>
      <c r="K45" s="3169">
        <v>1</v>
      </c>
      <c r="L45" s="3171">
        <v>67.64</v>
      </c>
      <c r="N45" s="3169">
        <v>1</v>
      </c>
      <c r="O45" s="3169" t="s">
        <v>3420</v>
      </c>
      <c r="P45"/>
      <c r="W45" s="3157">
        <v>14341</v>
      </c>
      <c r="X45">
        <v>970000</v>
      </c>
      <c r="Y45">
        <v>14839</v>
      </c>
      <c r="Z45">
        <v>1003700</v>
      </c>
      <c r="AA45" t="s">
        <v>3569</v>
      </c>
      <c r="AB45" s="3172">
        <v>41772</v>
      </c>
    </row>
    <row r="46" spans="2:28">
      <c r="B46" s="3168" t="s">
        <v>3570</v>
      </c>
      <c r="C46" s="3169" t="s">
        <v>3571</v>
      </c>
      <c r="D46" s="3170" t="s">
        <v>3572</v>
      </c>
      <c r="E46" s="3180">
        <v>13426450134</v>
      </c>
      <c r="F46" s="3169" t="s">
        <v>2771</v>
      </c>
      <c r="G46" s="3169" t="s">
        <v>3573</v>
      </c>
      <c r="I46" s="3169" t="s">
        <v>3425</v>
      </c>
      <c r="J46" s="3169" t="s">
        <v>3490</v>
      </c>
      <c r="K46" s="3169">
        <v>502</v>
      </c>
      <c r="L46" s="3171">
        <v>92.81</v>
      </c>
      <c r="N46" s="3171">
        <v>5</v>
      </c>
      <c r="O46" s="3169" t="s">
        <v>3428</v>
      </c>
      <c r="P46"/>
      <c r="W46" s="3157">
        <v>16485</v>
      </c>
      <c r="X46">
        <v>1530000</v>
      </c>
      <c r="Y46">
        <v>16496</v>
      </c>
      <c r="Z46">
        <v>1530900</v>
      </c>
      <c r="AA46" t="s">
        <v>3574</v>
      </c>
      <c r="AB46" s="3172">
        <v>41775</v>
      </c>
    </row>
    <row r="47" spans="2:28">
      <c r="B47" s="3168" t="s">
        <v>3575</v>
      </c>
      <c r="C47" s="3169" t="s">
        <v>3576</v>
      </c>
      <c r="D47" s="3170" t="s">
        <v>3577</v>
      </c>
      <c r="E47" s="3181">
        <v>13269013453</v>
      </c>
      <c r="F47" s="3169" t="s">
        <v>3521</v>
      </c>
      <c r="G47" s="3169" t="s">
        <v>3578</v>
      </c>
      <c r="I47" s="3169" t="s">
        <v>3579</v>
      </c>
      <c r="J47" s="3169" t="s">
        <v>3580</v>
      </c>
      <c r="K47" s="3170" t="s">
        <v>3581</v>
      </c>
      <c r="L47" s="3171">
        <v>44.7</v>
      </c>
      <c r="N47" s="3169">
        <v>5</v>
      </c>
      <c r="O47" s="3169" t="s">
        <v>3538</v>
      </c>
      <c r="P47"/>
      <c r="W47" s="3157">
        <v>12975</v>
      </c>
      <c r="X47">
        <v>580000</v>
      </c>
      <c r="Y47">
        <v>14619</v>
      </c>
      <c r="Z47">
        <v>653400</v>
      </c>
      <c r="AA47" t="s">
        <v>3582</v>
      </c>
      <c r="AB47" s="3167">
        <v>41780</v>
      </c>
    </row>
    <row r="48" spans="2:28">
      <c r="B48" s="3168" t="s">
        <v>3583</v>
      </c>
      <c r="C48" s="3169" t="s">
        <v>3584</v>
      </c>
      <c r="D48" s="3170" t="s">
        <v>3585</v>
      </c>
      <c r="E48" s="3180">
        <v>15901179363</v>
      </c>
      <c r="F48" s="3169" t="s">
        <v>2771</v>
      </c>
      <c r="G48" s="3169" t="s">
        <v>3586</v>
      </c>
      <c r="I48" s="3169" t="s">
        <v>3427</v>
      </c>
      <c r="J48" s="3169" t="s">
        <v>3580</v>
      </c>
      <c r="K48" s="3169">
        <v>13</v>
      </c>
      <c r="L48" s="3171">
        <v>61.8</v>
      </c>
      <c r="N48" s="3171">
        <v>5</v>
      </c>
      <c r="O48" s="3169" t="s">
        <v>3426</v>
      </c>
      <c r="P48"/>
      <c r="W48" s="3157">
        <v>13916</v>
      </c>
      <c r="X48">
        <v>860000</v>
      </c>
      <c r="Y48">
        <v>14289</v>
      </c>
      <c r="Z48">
        <v>883000</v>
      </c>
      <c r="AA48" t="s">
        <v>3587</v>
      </c>
      <c r="AB48" s="3172">
        <v>41780</v>
      </c>
    </row>
    <row r="49" spans="2:28">
      <c r="B49" s="3169" t="s">
        <v>3588</v>
      </c>
      <c r="C49" s="3169" t="s">
        <v>3589</v>
      </c>
      <c r="D49" s="3170" t="s">
        <v>3590</v>
      </c>
      <c r="E49" s="3168">
        <v>13488747552</v>
      </c>
      <c r="F49" s="3168" t="s">
        <v>2771</v>
      </c>
      <c r="G49" s="3168" t="s">
        <v>3535</v>
      </c>
      <c r="I49" s="3168" t="s">
        <v>3536</v>
      </c>
      <c r="J49" s="3168" t="s">
        <v>3498</v>
      </c>
      <c r="K49" s="3168">
        <v>163</v>
      </c>
      <c r="L49" s="3171">
        <v>54.4</v>
      </c>
      <c r="N49" s="3168">
        <v>6</v>
      </c>
      <c r="O49" s="3169" t="s">
        <v>3426</v>
      </c>
      <c r="P49"/>
      <c r="W49" s="3157">
        <v>6985</v>
      </c>
      <c r="X49">
        <v>380000</v>
      </c>
      <c r="Y49">
        <v>13774</v>
      </c>
      <c r="Z49">
        <v>749300.00000000012</v>
      </c>
      <c r="AA49" t="s">
        <v>3591</v>
      </c>
      <c r="AB49" s="3179">
        <v>41788</v>
      </c>
    </row>
  </sheetData>
  <phoneticPr fontId="134" type="noConversion"/>
  <hyperlinks>
    <hyperlink ref="AE3" r:id="rId1" xr:uid="{AC8D8B37-885C-43A0-A765-0F4F56D1192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55.92</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4"/>
      <c r="Y4" s="3388" t="s">
        <v>1775</v>
      </c>
      <c r="Z4" s="3389"/>
      <c r="AA4" s="3383" t="s">
        <v>1771</v>
      </c>
      <c r="AB4" s="3413" t="s">
        <v>1772</v>
      </c>
      <c r="AC4" s="3383" t="s">
        <v>1773</v>
      </c>
    </row>
    <row r="5" spans="1:29" ht="15">
      <c r="A5" s="348"/>
      <c r="B5" s="349"/>
      <c r="C5" s="3455" t="s">
        <v>1673</v>
      </c>
      <c r="D5" s="3395"/>
      <c r="E5" s="3454" t="s">
        <v>1674</v>
      </c>
      <c r="F5" s="3393"/>
      <c r="G5" s="3455" t="s">
        <v>1675</v>
      </c>
      <c r="H5" s="3395"/>
      <c r="I5" s="3455" t="s">
        <v>1676</v>
      </c>
      <c r="J5" s="3395"/>
      <c r="K5" s="537"/>
      <c r="L5" s="2484"/>
      <c r="M5" s="2485"/>
      <c r="N5" s="2485"/>
      <c r="O5" s="2485"/>
      <c r="P5" s="3407"/>
      <c r="Q5" s="3408"/>
      <c r="R5" s="3390"/>
      <c r="S5" s="3391"/>
      <c r="T5" s="3390"/>
      <c r="U5" s="3391"/>
      <c r="V5" s="3413"/>
      <c r="W5" s="3413"/>
      <c r="X5" s="1264"/>
      <c r="Y5" s="3390"/>
      <c r="Z5" s="3391"/>
      <c r="AA5" s="3384"/>
      <c r="AB5" s="3413"/>
      <c r="AC5" s="3384"/>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0"/>
      <c r="S6" s="3391"/>
      <c r="T6" s="3411"/>
      <c r="U6" s="3412"/>
      <c r="V6" s="3413"/>
      <c r="W6" s="3413"/>
      <c r="X6" s="1264"/>
      <c r="Y6" s="3411"/>
      <c r="Z6" s="3412"/>
      <c r="AA6" s="3385"/>
      <c r="AB6" s="3413"/>
      <c r="AC6" s="3385"/>
    </row>
    <row r="7" spans="1:29" s="102" customFormat="1" ht="15.75" thickBot="1">
      <c r="A7" s="352" t="s">
        <v>1679</v>
      </c>
      <c r="B7" s="353"/>
      <c r="C7" s="354">
        <f>'数据-取费表'!B2</f>
        <v>41106</v>
      </c>
      <c r="D7" s="355">
        <v>100</v>
      </c>
      <c r="E7" s="356"/>
      <c r="F7" s="357">
        <f>SUMIF(58:58,YEAR(E7)&amp;"-"&amp;MONTH(E7),59:59)</f>
        <v>0</v>
      </c>
      <c r="G7" s="356"/>
      <c r="H7" s="355">
        <f>SUMIF(58:58,YEAR(G7)&amp;"-"&amp;MONTH(G7),59:59)</f>
        <v>0</v>
      </c>
      <c r="I7" s="356"/>
      <c r="J7" s="355">
        <f>SUMIF(58:58,YEAR(I7)&amp;"-"&amp;MONTH(I7),59:59)</f>
        <v>0</v>
      </c>
      <c r="K7" s="38"/>
      <c r="L7" s="2486"/>
      <c r="M7" s="2437"/>
      <c r="N7" s="2437"/>
      <c r="O7" s="2437"/>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86" t="s">
        <v>1683</v>
      </c>
      <c r="Q8" s="3387"/>
      <c r="R8" s="664" t="s">
        <v>14</v>
      </c>
      <c r="S8" s="665">
        <f t="shared" si="0"/>
        <v>100</v>
      </c>
      <c r="T8" s="664" t="s">
        <v>14</v>
      </c>
      <c r="U8" s="665">
        <f t="shared" si="1"/>
        <v>100</v>
      </c>
      <c r="V8" s="664" t="s">
        <v>14</v>
      </c>
      <c r="W8" s="665">
        <f t="shared" si="2"/>
        <v>100</v>
      </c>
      <c r="X8" s="666"/>
      <c r="Y8" s="3386" t="s">
        <v>1683</v>
      </c>
      <c r="Z8" s="338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00"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00"/>
      <c r="Q11" s="530" t="str">
        <f t="shared" si="6"/>
        <v>容积率</v>
      </c>
      <c r="R11" s="664" t="s">
        <v>14</v>
      </c>
      <c r="S11" s="665" t="e">
        <f t="shared" si="0"/>
        <v>#N/A</v>
      </c>
      <c r="T11" s="664" t="s">
        <v>14</v>
      </c>
      <c r="U11" s="665" t="e">
        <f t="shared" si="1"/>
        <v>#N/A</v>
      </c>
      <c r="V11" s="664" t="s">
        <v>14</v>
      </c>
      <c r="W11" s="665" t="e">
        <f t="shared" si="2"/>
        <v>#N/A</v>
      </c>
      <c r="X11" s="666"/>
      <c r="Y11" s="335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00"/>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00"/>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00"/>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26" t="s">
        <v>1691</v>
      </c>
      <c r="Q15" s="1262" t="str">
        <f t="shared" si="6"/>
        <v>商业繁华度</v>
      </c>
      <c r="R15" s="667" t="s">
        <v>14</v>
      </c>
      <c r="S15" s="668">
        <f t="shared" si="0"/>
        <v>100</v>
      </c>
      <c r="T15" s="667" t="s">
        <v>14</v>
      </c>
      <c r="U15" s="668">
        <f t="shared" si="1"/>
        <v>100</v>
      </c>
      <c r="V15" s="667" t="s">
        <v>14</v>
      </c>
      <c r="W15" s="668">
        <f t="shared" si="2"/>
        <v>100</v>
      </c>
      <c r="X15" s="1264"/>
      <c r="Y15" s="3419"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427"/>
      <c r="Q16" s="1262"/>
      <c r="R16" s="667"/>
      <c r="S16" s="668"/>
      <c r="T16" s="667"/>
      <c r="U16" s="668"/>
      <c r="V16" s="667"/>
      <c r="W16" s="668"/>
      <c r="X16" s="1264"/>
      <c r="Y16" s="3420"/>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27"/>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427"/>
      <c r="Q18" s="1262"/>
      <c r="R18" s="667"/>
      <c r="S18" s="668"/>
      <c r="T18" s="667"/>
      <c r="U18" s="668"/>
      <c r="V18" s="667"/>
      <c r="W18" s="668"/>
      <c r="X18" s="1264"/>
      <c r="Y18" s="3420"/>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27"/>
      <c r="Q19" s="1262" t="str">
        <f>B19</f>
        <v>公共配套设施</v>
      </c>
      <c r="R19" s="667" t="s">
        <v>14</v>
      </c>
      <c r="S19" s="668">
        <f>F19</f>
        <v>100</v>
      </c>
      <c r="T19" s="667" t="s">
        <v>14</v>
      </c>
      <c r="U19" s="668">
        <f>H19</f>
        <v>100</v>
      </c>
      <c r="V19" s="667" t="s">
        <v>14</v>
      </c>
      <c r="W19" s="668">
        <f>J19</f>
        <v>100</v>
      </c>
      <c r="X19" s="1264"/>
      <c r="Y19" s="342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427"/>
      <c r="Q20" s="1262"/>
      <c r="R20" s="667"/>
      <c r="S20" s="668"/>
      <c r="T20" s="667"/>
      <c r="U20" s="668"/>
      <c r="V20" s="667"/>
      <c r="W20" s="668"/>
      <c r="X20" s="1264"/>
      <c r="Y20" s="3420"/>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27"/>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427"/>
      <c r="Q22" s="1262"/>
      <c r="R22" s="667"/>
      <c r="S22" s="668"/>
      <c r="T22" s="667"/>
      <c r="U22" s="668"/>
      <c r="V22" s="667"/>
      <c r="W22" s="668"/>
      <c r="X22" s="1264"/>
      <c r="Y22" s="3420"/>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27"/>
      <c r="Q23" s="1262" t="str">
        <f>B23</f>
        <v>自然及人文环境</v>
      </c>
      <c r="R23" s="667" t="s">
        <v>14</v>
      </c>
      <c r="S23" s="668">
        <f>F23</f>
        <v>100</v>
      </c>
      <c r="T23" s="667" t="s">
        <v>14</v>
      </c>
      <c r="U23" s="668">
        <f>H23</f>
        <v>100</v>
      </c>
      <c r="V23" s="667" t="s">
        <v>14</v>
      </c>
      <c r="W23" s="668">
        <f>J23</f>
        <v>100</v>
      </c>
      <c r="X23" s="1264"/>
      <c r="Y23" s="3420"/>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427"/>
      <c r="Q24" s="1262"/>
      <c r="R24" s="667"/>
      <c r="S24" s="668"/>
      <c r="T24" s="667"/>
      <c r="U24" s="668"/>
      <c r="V24" s="667"/>
      <c r="W24" s="668"/>
      <c r="X24" s="1264"/>
      <c r="Y24" s="3420"/>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27"/>
      <c r="Q25" s="1262" t="str">
        <f t="shared" ref="Q25:Q46" si="11">B25</f>
        <v>临街状况</v>
      </c>
      <c r="R25" s="667" t="s">
        <v>14</v>
      </c>
      <c r="S25" s="668">
        <f>F25</f>
        <v>100</v>
      </c>
      <c r="T25" s="667" t="s">
        <v>14</v>
      </c>
      <c r="U25" s="668">
        <f>H25</f>
        <v>100</v>
      </c>
      <c r="V25" s="667" t="s">
        <v>14</v>
      </c>
      <c r="W25" s="668">
        <f>J25</f>
        <v>100</v>
      </c>
      <c r="X25" s="1264"/>
      <c r="Y25" s="3420"/>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27"/>
      <c r="Q26" s="1262" t="str">
        <f t="shared" si="11"/>
        <v>平面位置/可视性</v>
      </c>
      <c r="R26" s="667" t="s">
        <v>14</v>
      </c>
      <c r="S26" s="668">
        <f>F26</f>
        <v>100</v>
      </c>
      <c r="T26" s="667" t="s">
        <v>14</v>
      </c>
      <c r="U26" s="668">
        <f>H26</f>
        <v>100</v>
      </c>
      <c r="V26" s="667" t="s">
        <v>14</v>
      </c>
      <c r="W26" s="668">
        <f>J26</f>
        <v>100</v>
      </c>
      <c r="X26" s="1264"/>
      <c r="Y26" s="3420"/>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427"/>
      <c r="Q27" s="530" t="str">
        <f t="shared" si="11"/>
        <v>人流量</v>
      </c>
      <c r="R27" s="664" t="s">
        <v>14</v>
      </c>
      <c r="S27" s="665">
        <f>F27</f>
        <v>100</v>
      </c>
      <c r="T27" s="664" t="s">
        <v>14</v>
      </c>
      <c r="U27" s="665">
        <f>H27</f>
        <v>100</v>
      </c>
      <c r="V27" s="664" t="s">
        <v>14</v>
      </c>
      <c r="W27" s="665">
        <f>J27</f>
        <v>100</v>
      </c>
      <c r="X27" s="666"/>
      <c r="Y27" s="3420"/>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27"/>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20"/>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7"/>
      <c r="Q29" s="1262">
        <f t="shared" si="11"/>
        <v>111</v>
      </c>
      <c r="R29" s="667" t="s">
        <v>14</v>
      </c>
      <c r="S29" s="668">
        <f t="shared" si="12"/>
        <v>100</v>
      </c>
      <c r="T29" s="667" t="s">
        <v>14</v>
      </c>
      <c r="U29" s="668">
        <f t="shared" si="13"/>
        <v>100</v>
      </c>
      <c r="V29" s="667" t="s">
        <v>14</v>
      </c>
      <c r="W29" s="668">
        <f t="shared" si="14"/>
        <v>100</v>
      </c>
      <c r="X29" s="1264"/>
      <c r="Y29" s="3420"/>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7"/>
      <c r="Q30" s="1262">
        <f t="shared" si="11"/>
        <v>111</v>
      </c>
      <c r="R30" s="667" t="s">
        <v>14</v>
      </c>
      <c r="S30" s="668">
        <f t="shared" si="12"/>
        <v>100</v>
      </c>
      <c r="T30" s="667" t="s">
        <v>14</v>
      </c>
      <c r="U30" s="668">
        <f t="shared" si="13"/>
        <v>100</v>
      </c>
      <c r="V30" s="667" t="s">
        <v>14</v>
      </c>
      <c r="W30" s="668">
        <f t="shared" si="14"/>
        <v>100</v>
      </c>
      <c r="X30" s="1264"/>
      <c r="Y30" s="3420"/>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7"/>
      <c r="Q31" s="1262">
        <f t="shared" si="11"/>
        <v>111</v>
      </c>
      <c r="R31" s="667" t="s">
        <v>14</v>
      </c>
      <c r="S31" s="668">
        <f t="shared" si="12"/>
        <v>100</v>
      </c>
      <c r="T31" s="667" t="s">
        <v>14</v>
      </c>
      <c r="U31" s="668">
        <f t="shared" si="13"/>
        <v>100</v>
      </c>
      <c r="V31" s="667" t="s">
        <v>14</v>
      </c>
      <c r="W31" s="668">
        <f t="shared" si="14"/>
        <v>100</v>
      </c>
      <c r="X31" s="1264"/>
      <c r="Y31" s="3420"/>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21" t="s">
        <v>1696</v>
      </c>
      <c r="Q32" s="1262" t="str">
        <f t="shared" si="11"/>
        <v>商业类型</v>
      </c>
      <c r="R32" s="667" t="s">
        <v>14</v>
      </c>
      <c r="S32" s="668">
        <f t="shared" si="12"/>
        <v>100</v>
      </c>
      <c r="T32" s="667" t="s">
        <v>14</v>
      </c>
      <c r="U32" s="668">
        <f t="shared" si="13"/>
        <v>100</v>
      </c>
      <c r="V32" s="667" t="s">
        <v>14</v>
      </c>
      <c r="W32" s="668">
        <f t="shared" si="14"/>
        <v>100</v>
      </c>
      <c r="X32" s="1264"/>
      <c r="Y32" s="3424"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22"/>
      <c r="Q33" s="531" t="str">
        <f t="shared" si="11"/>
        <v>项目建筑规模</v>
      </c>
      <c r="R33" s="669" t="s">
        <v>14</v>
      </c>
      <c r="S33" s="670" t="e">
        <f t="shared" si="12"/>
        <v>#N/A</v>
      </c>
      <c r="T33" s="669" t="s">
        <v>14</v>
      </c>
      <c r="U33" s="670" t="e">
        <f t="shared" si="13"/>
        <v>#N/A</v>
      </c>
      <c r="V33" s="669" t="s">
        <v>14</v>
      </c>
      <c r="W33" s="670" t="e">
        <f t="shared" si="14"/>
        <v>#N/A</v>
      </c>
      <c r="X33" s="671"/>
      <c r="Y33" s="3424"/>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22"/>
      <c r="Q34" s="1262" t="str">
        <f t="shared" si="11"/>
        <v>建筑结构</v>
      </c>
      <c r="R34" s="667" t="s">
        <v>14</v>
      </c>
      <c r="S34" s="668">
        <f t="shared" si="12"/>
        <v>100</v>
      </c>
      <c r="T34" s="667" t="s">
        <v>14</v>
      </c>
      <c r="U34" s="668">
        <f t="shared" si="13"/>
        <v>100</v>
      </c>
      <c r="V34" s="667" t="s">
        <v>14</v>
      </c>
      <c r="W34" s="668">
        <f t="shared" si="14"/>
        <v>100</v>
      </c>
      <c r="X34" s="1264"/>
      <c r="Y34" s="3424"/>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22"/>
      <c r="Q35" s="1262" t="str">
        <f t="shared" si="11"/>
        <v>公共部分装修</v>
      </c>
      <c r="R35" s="667" t="s">
        <v>14</v>
      </c>
      <c r="S35" s="668">
        <f t="shared" si="12"/>
        <v>100</v>
      </c>
      <c r="T35" s="667" t="s">
        <v>14</v>
      </c>
      <c r="U35" s="668">
        <f t="shared" si="13"/>
        <v>100</v>
      </c>
      <c r="V35" s="667" t="s">
        <v>14</v>
      </c>
      <c r="W35" s="668">
        <f t="shared" si="14"/>
        <v>100</v>
      </c>
      <c r="X35" s="1264"/>
      <c r="Y35" s="3424"/>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22"/>
      <c r="Q36" s="1262" t="str">
        <f t="shared" si="11"/>
        <v>成新度</v>
      </c>
      <c r="R36" s="667" t="s">
        <v>14</v>
      </c>
      <c r="S36" s="668" t="e">
        <f t="shared" si="12"/>
        <v>#N/A</v>
      </c>
      <c r="T36" s="667" t="s">
        <v>14</v>
      </c>
      <c r="U36" s="668" t="e">
        <f t="shared" si="13"/>
        <v>#N/A</v>
      </c>
      <c r="V36" s="667" t="s">
        <v>14</v>
      </c>
      <c r="W36" s="668" t="e">
        <f t="shared" si="14"/>
        <v>#N/A</v>
      </c>
      <c r="X36" s="1264"/>
      <c r="Y36" s="3424"/>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422"/>
      <c r="Q37" s="530" t="str">
        <f t="shared" si="11"/>
        <v>市政基础设施</v>
      </c>
      <c r="R37" s="664" t="s">
        <v>14</v>
      </c>
      <c r="S37" s="665">
        <f t="shared" si="12"/>
        <v>100</v>
      </c>
      <c r="T37" s="664" t="s">
        <v>14</v>
      </c>
      <c r="U37" s="665">
        <f t="shared" si="13"/>
        <v>100</v>
      </c>
      <c r="V37" s="664" t="s">
        <v>14</v>
      </c>
      <c r="W37" s="665">
        <f t="shared" si="14"/>
        <v>100</v>
      </c>
      <c r="X37" s="666"/>
      <c r="Y37" s="3424"/>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22" t="s">
        <v>1696</v>
      </c>
      <c r="Q38" s="1262" t="str">
        <f t="shared" si="11"/>
        <v>业态</v>
      </c>
      <c r="R38" s="667" t="s">
        <v>14</v>
      </c>
      <c r="S38" s="668">
        <f t="shared" si="12"/>
        <v>100</v>
      </c>
      <c r="T38" s="667" t="s">
        <v>14</v>
      </c>
      <c r="U38" s="668">
        <f t="shared" si="13"/>
        <v>100</v>
      </c>
      <c r="V38" s="667" t="s">
        <v>14</v>
      </c>
      <c r="W38" s="668">
        <f t="shared" si="14"/>
        <v>100</v>
      </c>
      <c r="X38" s="1264"/>
      <c r="Y38" s="3424"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22"/>
      <c r="Q39" s="1262" t="str">
        <f t="shared" si="11"/>
        <v>层高</v>
      </c>
      <c r="R39" s="667" t="s">
        <v>14</v>
      </c>
      <c r="S39" s="668">
        <f t="shared" si="12"/>
        <v>100</v>
      </c>
      <c r="T39" s="667" t="s">
        <v>14</v>
      </c>
      <c r="U39" s="668">
        <f t="shared" si="13"/>
        <v>100</v>
      </c>
      <c r="V39" s="667" t="s">
        <v>14</v>
      </c>
      <c r="W39" s="668">
        <f t="shared" si="14"/>
        <v>100</v>
      </c>
      <c r="X39" s="1264"/>
      <c r="Y39" s="3424"/>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2"/>
      <c r="Q40" s="1262" t="str">
        <f t="shared" si="11"/>
        <v>单套建筑面积</v>
      </c>
      <c r="R40" s="667" t="s">
        <v>14</v>
      </c>
      <c r="S40" s="668">
        <f t="shared" si="12"/>
        <v>100</v>
      </c>
      <c r="T40" s="667" t="s">
        <v>14</v>
      </c>
      <c r="U40" s="668">
        <f t="shared" si="13"/>
        <v>100</v>
      </c>
      <c r="V40" s="667" t="s">
        <v>14</v>
      </c>
      <c r="W40" s="668">
        <f t="shared" si="14"/>
        <v>100</v>
      </c>
      <c r="X40" s="1264"/>
      <c r="Y40" s="3424"/>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2"/>
      <c r="Q41" s="531" t="str">
        <f t="shared" si="11"/>
        <v>进深比</v>
      </c>
      <c r="R41" s="669" t="s">
        <v>14</v>
      </c>
      <c r="S41" s="670">
        <f t="shared" si="12"/>
        <v>100</v>
      </c>
      <c r="T41" s="669" t="s">
        <v>14</v>
      </c>
      <c r="U41" s="670">
        <f t="shared" si="13"/>
        <v>100</v>
      </c>
      <c r="V41" s="669" t="s">
        <v>14</v>
      </c>
      <c r="W41" s="670">
        <f t="shared" si="14"/>
        <v>100</v>
      </c>
      <c r="X41" s="671"/>
      <c r="Y41" s="3424"/>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22"/>
      <c r="Q42" s="1262" t="str">
        <f t="shared" si="11"/>
        <v>内部装修</v>
      </c>
      <c r="R42" s="667" t="s">
        <v>14</v>
      </c>
      <c r="S42" s="668">
        <f t="shared" si="12"/>
        <v>100</v>
      </c>
      <c r="T42" s="667" t="s">
        <v>14</v>
      </c>
      <c r="U42" s="668">
        <f t="shared" si="13"/>
        <v>100</v>
      </c>
      <c r="V42" s="667" t="s">
        <v>14</v>
      </c>
      <c r="W42" s="668">
        <f t="shared" si="14"/>
        <v>100</v>
      </c>
      <c r="X42" s="1264"/>
      <c r="Y42" s="3424"/>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22"/>
      <c r="Q43" s="1262" t="str">
        <f t="shared" si="11"/>
        <v>内部装修维护情况</v>
      </c>
      <c r="R43" s="667" t="s">
        <v>14</v>
      </c>
      <c r="S43" s="668">
        <f t="shared" si="12"/>
        <v>100</v>
      </c>
      <c r="T43" s="667" t="s">
        <v>14</v>
      </c>
      <c r="U43" s="668">
        <f t="shared" si="13"/>
        <v>100</v>
      </c>
      <c r="V43" s="667" t="s">
        <v>14</v>
      </c>
      <c r="W43" s="668">
        <f t="shared" si="14"/>
        <v>100</v>
      </c>
      <c r="X43" s="1264"/>
      <c r="Y43" s="3424"/>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22"/>
      <c r="Q44" s="530">
        <f t="shared" si="11"/>
        <v>111</v>
      </c>
      <c r="R44" s="664" t="s">
        <v>14</v>
      </c>
      <c r="S44" s="665">
        <f t="shared" si="12"/>
        <v>100</v>
      </c>
      <c r="T44" s="664" t="s">
        <v>14</v>
      </c>
      <c r="U44" s="665">
        <f t="shared" si="13"/>
        <v>100</v>
      </c>
      <c r="V44" s="664" t="s">
        <v>14</v>
      </c>
      <c r="W44" s="665">
        <f t="shared" si="14"/>
        <v>100</v>
      </c>
      <c r="X44" s="666"/>
      <c r="Y44" s="342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2"/>
      <c r="Q45" s="1262">
        <f t="shared" si="11"/>
        <v>111</v>
      </c>
      <c r="R45" s="667" t="s">
        <v>14</v>
      </c>
      <c r="S45" s="668">
        <f t="shared" si="12"/>
        <v>100</v>
      </c>
      <c r="T45" s="667" t="s">
        <v>14</v>
      </c>
      <c r="U45" s="668">
        <f t="shared" si="13"/>
        <v>100</v>
      </c>
      <c r="V45" s="667" t="s">
        <v>14</v>
      </c>
      <c r="W45" s="668">
        <f t="shared" si="14"/>
        <v>100</v>
      </c>
      <c r="X45" s="1264"/>
      <c r="Y45" s="3424"/>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3"/>
      <c r="Q46" s="1262">
        <f t="shared" si="11"/>
        <v>111</v>
      </c>
      <c r="R46" s="667" t="s">
        <v>14</v>
      </c>
      <c r="S46" s="668">
        <f t="shared" si="12"/>
        <v>100</v>
      </c>
      <c r="T46" s="667" t="s">
        <v>14</v>
      </c>
      <c r="U46" s="668">
        <f t="shared" si="13"/>
        <v>100</v>
      </c>
      <c r="V46" s="667" t="s">
        <v>14</v>
      </c>
      <c r="W46" s="668">
        <f t="shared" si="14"/>
        <v>100</v>
      </c>
      <c r="X46" s="1264"/>
      <c r="Y46" s="3425"/>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2"/>
      <c r="M47" s="2485"/>
      <c r="N47" s="2485"/>
      <c r="O47" s="2485"/>
      <c r="P47" s="3418" t="str">
        <f>A47</f>
        <v>成交单价（元/平方米）</v>
      </c>
      <c r="Q47" s="3418"/>
      <c r="R47" s="3413">
        <f>E47</f>
        <v>0</v>
      </c>
      <c r="S47" s="3413"/>
      <c r="T47" s="3413">
        <f>G47</f>
        <v>0</v>
      </c>
      <c r="U47" s="3413"/>
      <c r="V47" s="3413">
        <f>I47</f>
        <v>0</v>
      </c>
      <c r="W47" s="3413"/>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2"/>
      <c r="M48" s="2485"/>
      <c r="N48" s="2485"/>
      <c r="O48" s="2485"/>
      <c r="P48" s="3418" t="str">
        <f>A48</f>
        <v>比较价值（元/平方米）</v>
      </c>
      <c r="Q48" s="3418"/>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2012-7</v>
      </c>
      <c r="D58" s="1103">
        <f>EDATE(C58,-1)</f>
        <v>41061</v>
      </c>
      <c r="E58" s="1103">
        <f t="shared" ref="E58:N58" si="16">EDATE(D58,-1)</f>
        <v>41030</v>
      </c>
      <c r="F58" s="1103">
        <f t="shared" si="16"/>
        <v>41000</v>
      </c>
      <c r="G58" s="1103">
        <f t="shared" si="16"/>
        <v>40969</v>
      </c>
      <c r="H58" s="1103">
        <f t="shared" si="16"/>
        <v>40940</v>
      </c>
      <c r="I58" s="1103">
        <f t="shared" si="16"/>
        <v>40909</v>
      </c>
      <c r="J58" s="1103">
        <f t="shared" si="16"/>
        <v>40878</v>
      </c>
      <c r="K58" s="1103">
        <f t="shared" si="16"/>
        <v>40848</v>
      </c>
      <c r="L58" s="1103">
        <f t="shared" si="16"/>
        <v>40817</v>
      </c>
      <c r="M58" s="1103">
        <f t="shared" si="16"/>
        <v>40787</v>
      </c>
      <c r="N58" s="1103">
        <f t="shared" si="16"/>
        <v>40756</v>
      </c>
      <c r="O58" s="1103">
        <f>EDATE(N58,-1)</f>
        <v>40725</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55.92</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62" t="s">
        <v>1775</v>
      </c>
      <c r="Q4" s="3463"/>
      <c r="R4" s="3457" t="s">
        <v>1771</v>
      </c>
      <c r="S4" s="3458"/>
      <c r="T4" s="3457" t="s">
        <v>1772</v>
      </c>
      <c r="U4" s="3458"/>
      <c r="V4" s="3466" t="s">
        <v>1773</v>
      </c>
      <c r="W4" s="3466"/>
      <c r="X4" s="1807"/>
      <c r="Y4" s="3457" t="s">
        <v>1775</v>
      </c>
      <c r="Z4" s="3458"/>
      <c r="AA4" s="3456" t="s">
        <v>1771</v>
      </c>
      <c r="AB4" s="3456" t="s">
        <v>1772</v>
      </c>
      <c r="AC4" s="3459" t="s">
        <v>1773</v>
      </c>
    </row>
    <row r="5" spans="1:29" ht="15">
      <c r="A5" s="348"/>
      <c r="B5" s="349"/>
      <c r="C5" s="3455" t="s">
        <v>1673</v>
      </c>
      <c r="D5" s="3395"/>
      <c r="E5" s="3454" t="s">
        <v>1674</v>
      </c>
      <c r="F5" s="3393"/>
      <c r="G5" s="3455" t="s">
        <v>1675</v>
      </c>
      <c r="H5" s="3395"/>
      <c r="I5" s="3455" t="s">
        <v>1676</v>
      </c>
      <c r="J5" s="3395"/>
      <c r="K5" s="537"/>
      <c r="L5" s="2484"/>
      <c r="M5" s="2485"/>
      <c r="N5" s="2485"/>
      <c r="O5" s="2485"/>
      <c r="P5" s="3464"/>
      <c r="Q5" s="3408"/>
      <c r="R5" s="3390"/>
      <c r="S5" s="3391"/>
      <c r="T5" s="3390"/>
      <c r="U5" s="3391"/>
      <c r="V5" s="3413"/>
      <c r="W5" s="3413"/>
      <c r="X5" s="1264"/>
      <c r="Y5" s="3390"/>
      <c r="Z5" s="3391"/>
      <c r="AA5" s="3384"/>
      <c r="AB5" s="3384"/>
      <c r="AC5" s="3460"/>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65"/>
      <c r="Q6" s="3410"/>
      <c r="R6" s="3390"/>
      <c r="S6" s="3391"/>
      <c r="T6" s="3411"/>
      <c r="U6" s="3412"/>
      <c r="V6" s="3413"/>
      <c r="W6" s="3413"/>
      <c r="X6" s="1264"/>
      <c r="Y6" s="3411"/>
      <c r="Z6" s="3412"/>
      <c r="AA6" s="3385"/>
      <c r="AB6" s="3385"/>
      <c r="AC6" s="3461"/>
    </row>
    <row r="7" spans="1:29" s="102" customFormat="1" ht="15.75" thickBot="1">
      <c r="A7" s="352" t="s">
        <v>1679</v>
      </c>
      <c r="B7" s="353"/>
      <c r="C7" s="354">
        <f>'数据-取费表'!B2</f>
        <v>41106</v>
      </c>
      <c r="D7" s="355">
        <v>100</v>
      </c>
      <c r="E7" s="356"/>
      <c r="F7" s="357">
        <f>SUMIF(59:59,YEAR(E7)&amp;"-"&amp;MONTH(E7),60:60)</f>
        <v>0</v>
      </c>
      <c r="G7" s="356"/>
      <c r="H7" s="355">
        <f>SUMIF(59:59,YEAR(G7)&amp;"-"&amp;MONTH(G7),60:60)</f>
        <v>0</v>
      </c>
      <c r="I7" s="356"/>
      <c r="J7" s="355">
        <f>SUMIF(59:59,YEAR(I7)&amp;"-"&amp;MONTH(I7),60:60)</f>
        <v>0</v>
      </c>
      <c r="K7" s="38"/>
      <c r="L7" s="2486"/>
      <c r="M7" s="2437"/>
      <c r="N7" s="2437"/>
      <c r="O7" s="2437"/>
      <c r="P7" s="3467"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67" t="s">
        <v>1683</v>
      </c>
      <c r="Q8" s="3387"/>
      <c r="R8" s="664" t="s">
        <v>14</v>
      </c>
      <c r="S8" s="665">
        <f t="shared" si="0"/>
        <v>100</v>
      </c>
      <c r="T8" s="664" t="s">
        <v>14</v>
      </c>
      <c r="U8" s="665">
        <f t="shared" si="1"/>
        <v>100</v>
      </c>
      <c r="V8" s="664" t="s">
        <v>14</v>
      </c>
      <c r="W8" s="665">
        <f t="shared" si="2"/>
        <v>100</v>
      </c>
      <c r="X8" s="666"/>
      <c r="Y8" s="3386" t="s">
        <v>1683</v>
      </c>
      <c r="Z8" s="338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00"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00"/>
      <c r="Q11" s="530" t="str">
        <f t="shared" si="6"/>
        <v>容积率</v>
      </c>
      <c r="R11" s="664" t="s">
        <v>14</v>
      </c>
      <c r="S11" s="665">
        <f t="shared" si="0"/>
        <v>100</v>
      </c>
      <c r="T11" s="664" t="s">
        <v>14</v>
      </c>
      <c r="U11" s="665">
        <f t="shared" si="1"/>
        <v>100</v>
      </c>
      <c r="V11" s="664" t="s">
        <v>14</v>
      </c>
      <c r="W11" s="665">
        <f t="shared" si="2"/>
        <v>100</v>
      </c>
      <c r="X11" s="666"/>
      <c r="Y11" s="335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400"/>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400"/>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400"/>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26" t="s">
        <v>1691</v>
      </c>
      <c r="Q15" s="1262" t="str">
        <f t="shared" si="6"/>
        <v>办公集聚程度</v>
      </c>
      <c r="R15" s="667" t="s">
        <v>14</v>
      </c>
      <c r="S15" s="668">
        <f t="shared" si="0"/>
        <v>100</v>
      </c>
      <c r="T15" s="667" t="s">
        <v>14</v>
      </c>
      <c r="U15" s="668">
        <f t="shared" si="1"/>
        <v>100</v>
      </c>
      <c r="V15" s="667" t="s">
        <v>14</v>
      </c>
      <c r="W15" s="668">
        <f t="shared" si="2"/>
        <v>100</v>
      </c>
      <c r="X15" s="1264"/>
      <c r="Y15" s="3419" t="s">
        <v>1691</v>
      </c>
      <c r="Z15" s="1263" t="str">
        <f t="shared" si="7"/>
        <v>办公集聚程度</v>
      </c>
      <c r="AA15" s="1263">
        <f t="shared" si="3"/>
        <v>1</v>
      </c>
      <c r="AB15" s="1263">
        <f t="shared" si="4"/>
        <v>1</v>
      </c>
      <c r="AC15" s="1810">
        <f t="shared" si="5"/>
        <v>1</v>
      </c>
    </row>
    <row r="16" spans="1:29" ht="15">
      <c r="A16" s="367"/>
      <c r="B16" s="555"/>
      <c r="C16" s="1757"/>
      <c r="D16" s="387"/>
      <c r="E16" s="386"/>
      <c r="F16" s="387"/>
      <c r="G16" s="1757"/>
      <c r="H16" s="389"/>
      <c r="I16" s="386"/>
      <c r="J16" s="387"/>
      <c r="K16" s="541"/>
      <c r="L16" s="2490"/>
      <c r="M16" s="2485"/>
      <c r="N16" s="2485"/>
      <c r="O16" s="2485"/>
      <c r="P16" s="3427"/>
      <c r="Q16" s="1262"/>
      <c r="R16" s="667"/>
      <c r="S16" s="668"/>
      <c r="T16" s="667"/>
      <c r="U16" s="668"/>
      <c r="V16" s="667"/>
      <c r="W16" s="668"/>
      <c r="X16" s="1264"/>
      <c r="Y16" s="3420"/>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27"/>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810">
        <f t="shared" si="5"/>
        <v>1</v>
      </c>
    </row>
    <row r="18" spans="1:29" ht="15">
      <c r="A18" s="367"/>
      <c r="B18" s="401"/>
      <c r="C18" s="1812"/>
      <c r="D18" s="389"/>
      <c r="E18" s="1755"/>
      <c r="F18" s="389"/>
      <c r="G18" s="1756"/>
      <c r="H18" s="387"/>
      <c r="I18" s="1756"/>
      <c r="J18" s="387"/>
      <c r="K18" s="541"/>
      <c r="L18" s="2490"/>
      <c r="M18" s="2485"/>
      <c r="N18" s="2485"/>
      <c r="O18" s="2485"/>
      <c r="P18" s="3427"/>
      <c r="Q18" s="1262"/>
      <c r="R18" s="667"/>
      <c r="S18" s="668"/>
      <c r="T18" s="667"/>
      <c r="U18" s="668"/>
      <c r="V18" s="667"/>
      <c r="W18" s="668"/>
      <c r="X18" s="1264"/>
      <c r="Y18" s="3420"/>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27"/>
      <c r="Q19" s="1262" t="str">
        <f>B19</f>
        <v>公共配套设施</v>
      </c>
      <c r="R19" s="667" t="s">
        <v>14</v>
      </c>
      <c r="S19" s="668">
        <f>F19</f>
        <v>100</v>
      </c>
      <c r="T19" s="667" t="s">
        <v>14</v>
      </c>
      <c r="U19" s="668">
        <f>H19</f>
        <v>100</v>
      </c>
      <c r="V19" s="667" t="s">
        <v>14</v>
      </c>
      <c r="W19" s="668">
        <f>J19</f>
        <v>100</v>
      </c>
      <c r="X19" s="1264"/>
      <c r="Y19" s="3420"/>
      <c r="Z19" s="1263" t="str">
        <f>Q19</f>
        <v>公共配套设施</v>
      </c>
      <c r="AA19" s="1263">
        <f t="shared" si="3"/>
        <v>1</v>
      </c>
      <c r="AB19" s="1263">
        <f t="shared" si="4"/>
        <v>1</v>
      </c>
      <c r="AC19" s="1810">
        <f t="shared" si="5"/>
        <v>1</v>
      </c>
    </row>
    <row r="20" spans="1:29" ht="15">
      <c r="A20" s="367"/>
      <c r="B20" s="401"/>
      <c r="C20" s="1757"/>
      <c r="D20" s="387"/>
      <c r="E20" s="1750"/>
      <c r="F20" s="387"/>
      <c r="G20" s="1751"/>
      <c r="H20" s="387"/>
      <c r="I20" s="1751"/>
      <c r="J20" s="387"/>
      <c r="K20" s="541"/>
      <c r="L20" s="2490"/>
      <c r="M20" s="2485"/>
      <c r="N20" s="2485"/>
      <c r="O20" s="2485"/>
      <c r="P20" s="3427"/>
      <c r="Q20" s="1262"/>
      <c r="R20" s="667"/>
      <c r="S20" s="668"/>
      <c r="T20" s="667"/>
      <c r="U20" s="668"/>
      <c r="V20" s="667"/>
      <c r="W20" s="668"/>
      <c r="X20" s="1264"/>
      <c r="Y20" s="3420"/>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27"/>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7"/>
      <c r="H22" s="387"/>
      <c r="I22" s="1757"/>
      <c r="J22" s="387"/>
      <c r="K22" s="1064"/>
      <c r="L22" s="2490"/>
      <c r="M22" s="2485"/>
      <c r="N22" s="2485"/>
      <c r="O22" s="2485"/>
      <c r="P22" s="3427"/>
      <c r="Q22" s="1262"/>
      <c r="R22" s="667"/>
      <c r="S22" s="668"/>
      <c r="T22" s="667"/>
      <c r="U22" s="668"/>
      <c r="V22" s="667"/>
      <c r="W22" s="668"/>
      <c r="X22" s="1264"/>
      <c r="Y22" s="3420"/>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27"/>
      <c r="Q23" s="1262" t="str">
        <f>B23</f>
        <v>环境质量</v>
      </c>
      <c r="R23" s="667" t="s">
        <v>14</v>
      </c>
      <c r="S23" s="668">
        <f>F23</f>
        <v>100</v>
      </c>
      <c r="T23" s="667" t="s">
        <v>14</v>
      </c>
      <c r="U23" s="668">
        <f>H23</f>
        <v>100</v>
      </c>
      <c r="V23" s="667" t="s">
        <v>14</v>
      </c>
      <c r="W23" s="668">
        <f>J23</f>
        <v>100</v>
      </c>
      <c r="X23" s="1264"/>
      <c r="Y23" s="3420"/>
      <c r="Z23" s="1263" t="str">
        <f>Q23</f>
        <v>环境质量</v>
      </c>
      <c r="AA23" s="1263">
        <f t="shared" si="3"/>
        <v>1</v>
      </c>
      <c r="AB23" s="1263">
        <f t="shared" si="4"/>
        <v>1</v>
      </c>
      <c r="AC23" s="1810">
        <f t="shared" si="5"/>
        <v>1</v>
      </c>
    </row>
    <row r="24" spans="1:29" ht="15">
      <c r="A24" s="367"/>
      <c r="B24" s="557"/>
      <c r="C24" s="1757"/>
      <c r="D24" s="387"/>
      <c r="E24" s="1750"/>
      <c r="F24" s="387"/>
      <c r="G24" s="1751"/>
      <c r="H24" s="387"/>
      <c r="I24" s="1751"/>
      <c r="J24" s="387"/>
      <c r="K24" s="541"/>
      <c r="L24" s="2490"/>
      <c r="M24" s="2485"/>
      <c r="N24" s="2485"/>
      <c r="O24" s="2485"/>
      <c r="P24" s="3427"/>
      <c r="Q24" s="1262"/>
      <c r="R24" s="667"/>
      <c r="S24" s="668"/>
      <c r="T24" s="667"/>
      <c r="U24" s="668"/>
      <c r="V24" s="667"/>
      <c r="W24" s="668"/>
      <c r="X24" s="1264"/>
      <c r="Y24" s="3420"/>
      <c r="Z24" s="1263"/>
      <c r="AA24" s="1263">
        <v>1</v>
      </c>
      <c r="AB24" s="1263">
        <v>1</v>
      </c>
      <c r="AC24" s="1810">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27"/>
      <c r="Q25" s="1262" t="str">
        <f>B25</f>
        <v>毗邻道路的类型与等级</v>
      </c>
      <c r="R25" s="667" t="s">
        <v>14</v>
      </c>
      <c r="S25" s="668">
        <f>F25</f>
        <v>100</v>
      </c>
      <c r="T25" s="667" t="s">
        <v>14</v>
      </c>
      <c r="U25" s="668">
        <f>H25</f>
        <v>100</v>
      </c>
      <c r="V25" s="667" t="s">
        <v>14</v>
      </c>
      <c r="W25" s="668">
        <f>J25</f>
        <v>100</v>
      </c>
      <c r="X25" s="1264"/>
      <c r="Y25" s="3420"/>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0"/>
      <c r="M26" s="2485"/>
      <c r="N26" s="2485"/>
      <c r="O26" s="2485"/>
      <c r="P26" s="3427"/>
      <c r="Q26" s="1262"/>
      <c r="R26" s="667"/>
      <c r="S26" s="668"/>
      <c r="T26" s="667"/>
      <c r="U26" s="668"/>
      <c r="V26" s="667"/>
      <c r="W26" s="668"/>
      <c r="X26" s="1264"/>
      <c r="Y26" s="3420"/>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27"/>
      <c r="Q27" s="1262" t="str">
        <f t="shared" ref="Q27:Q47" si="11">B27</f>
        <v>楼层</v>
      </c>
      <c r="R27" s="667" t="s">
        <v>14</v>
      </c>
      <c r="S27" s="668">
        <f>F27</f>
        <v>100</v>
      </c>
      <c r="T27" s="667" t="s">
        <v>14</v>
      </c>
      <c r="U27" s="668">
        <f>H27</f>
        <v>100</v>
      </c>
      <c r="V27" s="667" t="s">
        <v>14</v>
      </c>
      <c r="W27" s="668">
        <f>J27</f>
        <v>100</v>
      </c>
      <c r="X27" s="1264"/>
      <c r="Y27" s="3420"/>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427"/>
      <c r="Q28" s="530" t="str">
        <f t="shared" si="11"/>
        <v>朝向</v>
      </c>
      <c r="R28" s="664" t="s">
        <v>14</v>
      </c>
      <c r="S28" s="665">
        <f>F28</f>
        <v>100</v>
      </c>
      <c r="T28" s="664" t="s">
        <v>14</v>
      </c>
      <c r="U28" s="665">
        <f>H28</f>
        <v>100</v>
      </c>
      <c r="V28" s="664" t="s">
        <v>14</v>
      </c>
      <c r="W28" s="665">
        <f>J28</f>
        <v>100</v>
      </c>
      <c r="X28" s="666"/>
      <c r="Y28" s="3420"/>
      <c r="Z28" s="50" t="str">
        <f>Q28</f>
        <v>朝向</v>
      </c>
      <c r="AA28" s="1263">
        <f>D28/F28</f>
        <v>1</v>
      </c>
      <c r="AB28" s="1263">
        <f>D28/H28</f>
        <v>1</v>
      </c>
      <c r="AC28" s="1810">
        <f>D28/J28</f>
        <v>1</v>
      </c>
    </row>
    <row r="29" spans="1:29" ht="15">
      <c r="A29" s="367"/>
      <c r="B29" s="1099">
        <v>111</v>
      </c>
      <c r="C29" s="1761"/>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427"/>
      <c r="Q29" s="1262">
        <f t="shared" si="11"/>
        <v>111</v>
      </c>
      <c r="R29" s="667" t="s">
        <v>14</v>
      </c>
      <c r="S29" s="668">
        <f t="shared" ref="S29:S47" si="12">F29</f>
        <v>100</v>
      </c>
      <c r="T29" s="667" t="s">
        <v>14</v>
      </c>
      <c r="U29" s="668">
        <f t="shared" ref="U29:U47" si="13">H29</f>
        <v>100</v>
      </c>
      <c r="V29" s="667" t="s">
        <v>14</v>
      </c>
      <c r="W29" s="668">
        <f t="shared" ref="W29:W47" si="14">J29</f>
        <v>100</v>
      </c>
      <c r="X29" s="1264"/>
      <c r="Y29" s="3420"/>
      <c r="Z29" s="1263">
        <f t="shared" ref="Z29:Z47" si="15">Q29</f>
        <v>111</v>
      </c>
      <c r="AA29" s="1263">
        <f t="shared" si="3"/>
        <v>1</v>
      </c>
      <c r="AB29" s="1263">
        <f t="shared" si="4"/>
        <v>1</v>
      </c>
      <c r="AC29" s="1810">
        <f t="shared" si="5"/>
        <v>1</v>
      </c>
    </row>
    <row r="30" spans="1:29" ht="15">
      <c r="A30" s="367"/>
      <c r="B30" s="1099">
        <v>111</v>
      </c>
      <c r="C30" s="1761"/>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427"/>
      <c r="Q30" s="1262">
        <f t="shared" si="11"/>
        <v>111</v>
      </c>
      <c r="R30" s="667" t="s">
        <v>14</v>
      </c>
      <c r="S30" s="668">
        <f t="shared" si="12"/>
        <v>100</v>
      </c>
      <c r="T30" s="667" t="s">
        <v>14</v>
      </c>
      <c r="U30" s="668">
        <f t="shared" si="13"/>
        <v>100</v>
      </c>
      <c r="V30" s="667" t="s">
        <v>14</v>
      </c>
      <c r="W30" s="668">
        <f t="shared" si="14"/>
        <v>100</v>
      </c>
      <c r="X30" s="1264"/>
      <c r="Y30" s="3420"/>
      <c r="Z30" s="1263">
        <f t="shared" si="15"/>
        <v>111</v>
      </c>
      <c r="AA30" s="1263">
        <f t="shared" si="3"/>
        <v>1</v>
      </c>
      <c r="AB30" s="1263">
        <f t="shared" si="4"/>
        <v>1</v>
      </c>
      <c r="AC30" s="1810">
        <f t="shared" si="5"/>
        <v>1</v>
      </c>
    </row>
    <row r="31" spans="1:29" ht="15">
      <c r="A31" s="367"/>
      <c r="B31" s="1099">
        <v>111</v>
      </c>
      <c r="C31" s="1761"/>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427"/>
      <c r="Q31" s="1262">
        <f t="shared" si="11"/>
        <v>111</v>
      </c>
      <c r="R31" s="667" t="s">
        <v>14</v>
      </c>
      <c r="S31" s="668">
        <f t="shared" si="12"/>
        <v>100</v>
      </c>
      <c r="T31" s="667" t="s">
        <v>14</v>
      </c>
      <c r="U31" s="668">
        <f t="shared" si="13"/>
        <v>100</v>
      </c>
      <c r="V31" s="667" t="s">
        <v>14</v>
      </c>
      <c r="W31" s="668">
        <f t="shared" si="14"/>
        <v>100</v>
      </c>
      <c r="X31" s="1264"/>
      <c r="Y31" s="3420"/>
      <c r="Z31" s="1263">
        <f t="shared" si="15"/>
        <v>111</v>
      </c>
      <c r="AA31" s="1263">
        <f t="shared" si="3"/>
        <v>1</v>
      </c>
      <c r="AB31" s="1263">
        <f t="shared" si="4"/>
        <v>1</v>
      </c>
      <c r="AC31" s="1810">
        <f t="shared" si="5"/>
        <v>1</v>
      </c>
    </row>
    <row r="32" spans="1:29" ht="15.75" thickBot="1">
      <c r="A32" s="375"/>
      <c r="B32" s="559">
        <v>111</v>
      </c>
      <c r="C32" s="1762"/>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427"/>
      <c r="Q32" s="1262">
        <f t="shared" si="11"/>
        <v>111</v>
      </c>
      <c r="R32" s="667" t="s">
        <v>14</v>
      </c>
      <c r="S32" s="668">
        <f t="shared" si="12"/>
        <v>100</v>
      </c>
      <c r="T32" s="667" t="s">
        <v>14</v>
      </c>
      <c r="U32" s="668">
        <f t="shared" si="13"/>
        <v>100</v>
      </c>
      <c r="V32" s="667" t="s">
        <v>14</v>
      </c>
      <c r="W32" s="668">
        <f t="shared" si="14"/>
        <v>100</v>
      </c>
      <c r="X32" s="1264"/>
      <c r="Y32" s="3420"/>
      <c r="Z32" s="1263">
        <f t="shared" si="15"/>
        <v>111</v>
      </c>
      <c r="AA32" s="1263">
        <f t="shared" si="3"/>
        <v>1</v>
      </c>
      <c r="AB32" s="1263">
        <f t="shared" si="4"/>
        <v>1</v>
      </c>
      <c r="AC32" s="1810">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21" t="s">
        <v>1696</v>
      </c>
      <c r="Q33" s="1262" t="str">
        <f t="shared" si="11"/>
        <v>建筑类型</v>
      </c>
      <c r="R33" s="667" t="s">
        <v>14</v>
      </c>
      <c r="S33" s="668">
        <f t="shared" si="12"/>
        <v>100</v>
      </c>
      <c r="T33" s="667" t="s">
        <v>14</v>
      </c>
      <c r="U33" s="668">
        <f t="shared" si="13"/>
        <v>100</v>
      </c>
      <c r="V33" s="667" t="s">
        <v>14</v>
      </c>
      <c r="W33" s="668">
        <f t="shared" si="14"/>
        <v>100</v>
      </c>
      <c r="X33" s="1264"/>
      <c r="Y33" s="3424"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22"/>
      <c r="Q34" s="531" t="str">
        <f t="shared" si="11"/>
        <v>项目建筑规模</v>
      </c>
      <c r="R34" s="669" t="s">
        <v>14</v>
      </c>
      <c r="S34" s="670" t="e">
        <f t="shared" si="12"/>
        <v>#N/A</v>
      </c>
      <c r="T34" s="669" t="s">
        <v>14</v>
      </c>
      <c r="U34" s="670" t="e">
        <f t="shared" si="13"/>
        <v>#N/A</v>
      </c>
      <c r="V34" s="669" t="s">
        <v>14</v>
      </c>
      <c r="W34" s="670" t="e">
        <f t="shared" si="14"/>
        <v>#N/A</v>
      </c>
      <c r="X34" s="671"/>
      <c r="Y34" s="3424"/>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22"/>
      <c r="Q35" s="1262" t="str">
        <f t="shared" si="11"/>
        <v>建筑结构</v>
      </c>
      <c r="R35" s="667" t="s">
        <v>14</v>
      </c>
      <c r="S35" s="668">
        <f t="shared" si="12"/>
        <v>100</v>
      </c>
      <c r="T35" s="667" t="s">
        <v>14</v>
      </c>
      <c r="U35" s="668">
        <f t="shared" si="13"/>
        <v>100</v>
      </c>
      <c r="V35" s="667" t="s">
        <v>14</v>
      </c>
      <c r="W35" s="668">
        <f t="shared" si="14"/>
        <v>100</v>
      </c>
      <c r="X35" s="1264"/>
      <c r="Y35" s="3424"/>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22"/>
      <c r="Q36" s="1262" t="str">
        <f t="shared" si="11"/>
        <v>公共部分装修</v>
      </c>
      <c r="R36" s="667" t="s">
        <v>14</v>
      </c>
      <c r="S36" s="668">
        <f t="shared" si="12"/>
        <v>100</v>
      </c>
      <c r="T36" s="667" t="s">
        <v>14</v>
      </c>
      <c r="U36" s="668">
        <f t="shared" si="13"/>
        <v>100</v>
      </c>
      <c r="V36" s="667" t="s">
        <v>14</v>
      </c>
      <c r="W36" s="668">
        <f t="shared" si="14"/>
        <v>100</v>
      </c>
      <c r="X36" s="1264"/>
      <c r="Y36" s="3424"/>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22"/>
      <c r="Q37" s="1262" t="str">
        <f t="shared" si="11"/>
        <v>成新度</v>
      </c>
      <c r="R37" s="667" t="s">
        <v>14</v>
      </c>
      <c r="S37" s="668" t="e">
        <f t="shared" si="12"/>
        <v>#N/A</v>
      </c>
      <c r="T37" s="667" t="s">
        <v>14</v>
      </c>
      <c r="U37" s="668" t="e">
        <f t="shared" si="13"/>
        <v>#N/A</v>
      </c>
      <c r="V37" s="667" t="s">
        <v>14</v>
      </c>
      <c r="W37" s="668" t="e">
        <f t="shared" si="14"/>
        <v>#N/A</v>
      </c>
      <c r="X37" s="1264"/>
      <c r="Y37" s="3424"/>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22"/>
      <c r="Q38" s="530" t="str">
        <f t="shared" si="11"/>
        <v>写字楼等级</v>
      </c>
      <c r="R38" s="664" t="s">
        <v>14</v>
      </c>
      <c r="S38" s="665">
        <f t="shared" si="12"/>
        <v>100</v>
      </c>
      <c r="T38" s="664" t="s">
        <v>14</v>
      </c>
      <c r="U38" s="665">
        <f t="shared" si="13"/>
        <v>100</v>
      </c>
      <c r="V38" s="664" t="s">
        <v>14</v>
      </c>
      <c r="W38" s="665">
        <f t="shared" si="14"/>
        <v>100</v>
      </c>
      <c r="X38" s="666"/>
      <c r="Y38" s="342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22" t="s">
        <v>1696</v>
      </c>
      <c r="Q39" s="1262" t="str">
        <f t="shared" si="11"/>
        <v>物业管理</v>
      </c>
      <c r="R39" s="667" t="s">
        <v>14</v>
      </c>
      <c r="S39" s="668">
        <f t="shared" si="12"/>
        <v>100</v>
      </c>
      <c r="T39" s="667" t="s">
        <v>14</v>
      </c>
      <c r="U39" s="668">
        <f t="shared" si="13"/>
        <v>100</v>
      </c>
      <c r="V39" s="667" t="s">
        <v>14</v>
      </c>
      <c r="W39" s="668">
        <f t="shared" si="14"/>
        <v>100</v>
      </c>
      <c r="X39" s="1264"/>
      <c r="Y39" s="3424"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22"/>
      <c r="Q40" s="1262" t="str">
        <f t="shared" si="11"/>
        <v>市政基础设施</v>
      </c>
      <c r="R40" s="667" t="s">
        <v>14</v>
      </c>
      <c r="S40" s="668">
        <f t="shared" si="12"/>
        <v>100</v>
      </c>
      <c r="T40" s="667" t="s">
        <v>14</v>
      </c>
      <c r="U40" s="668">
        <f t="shared" si="13"/>
        <v>100</v>
      </c>
      <c r="V40" s="667" t="s">
        <v>14</v>
      </c>
      <c r="W40" s="668">
        <f t="shared" si="14"/>
        <v>100</v>
      </c>
      <c r="X40" s="1264"/>
      <c r="Y40" s="3424"/>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22"/>
      <c r="Q41" s="1262" t="str">
        <f t="shared" si="11"/>
        <v>层高</v>
      </c>
      <c r="R41" s="667" t="s">
        <v>14</v>
      </c>
      <c r="S41" s="668">
        <f t="shared" si="12"/>
        <v>100</v>
      </c>
      <c r="T41" s="667" t="s">
        <v>14</v>
      </c>
      <c r="U41" s="668">
        <f t="shared" si="13"/>
        <v>100</v>
      </c>
      <c r="V41" s="667" t="s">
        <v>14</v>
      </c>
      <c r="W41" s="668">
        <f t="shared" si="14"/>
        <v>100</v>
      </c>
      <c r="X41" s="1264"/>
      <c r="Y41" s="3424"/>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2"/>
      <c r="Q42" s="531" t="str">
        <f t="shared" si="11"/>
        <v>单套建筑面积</v>
      </c>
      <c r="R42" s="669" t="s">
        <v>14</v>
      </c>
      <c r="S42" s="670">
        <f t="shared" si="12"/>
        <v>100</v>
      </c>
      <c r="T42" s="669" t="s">
        <v>14</v>
      </c>
      <c r="U42" s="670">
        <f t="shared" si="13"/>
        <v>100</v>
      </c>
      <c r="V42" s="669" t="s">
        <v>14</v>
      </c>
      <c r="W42" s="670">
        <f t="shared" si="14"/>
        <v>100</v>
      </c>
      <c r="X42" s="671"/>
      <c r="Y42" s="3424"/>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22"/>
      <c r="Q43" s="1262" t="str">
        <f t="shared" si="11"/>
        <v>内部装修</v>
      </c>
      <c r="R43" s="667" t="s">
        <v>14</v>
      </c>
      <c r="S43" s="668">
        <f t="shared" si="12"/>
        <v>100</v>
      </c>
      <c r="T43" s="667" t="s">
        <v>14</v>
      </c>
      <c r="U43" s="668">
        <f t="shared" si="13"/>
        <v>100</v>
      </c>
      <c r="V43" s="667" t="s">
        <v>14</v>
      </c>
      <c r="W43" s="668">
        <f t="shared" si="14"/>
        <v>100</v>
      </c>
      <c r="X43" s="1264"/>
      <c r="Y43" s="3424"/>
      <c r="Z43" s="1263" t="str">
        <f t="shared" si="15"/>
        <v>内部装修</v>
      </c>
      <c r="AA43" s="1263">
        <f t="shared" si="3"/>
        <v>1</v>
      </c>
      <c r="AB43" s="1263">
        <f t="shared" si="4"/>
        <v>1</v>
      </c>
      <c r="AC43" s="1810">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22"/>
      <c r="Q44" s="1262" t="str">
        <f t="shared" si="11"/>
        <v>内部装修维护情况</v>
      </c>
      <c r="R44" s="667" t="s">
        <v>14</v>
      </c>
      <c r="S44" s="668">
        <f t="shared" si="12"/>
        <v>100</v>
      </c>
      <c r="T44" s="667" t="s">
        <v>14</v>
      </c>
      <c r="U44" s="668">
        <f t="shared" si="13"/>
        <v>100</v>
      </c>
      <c r="V44" s="667" t="s">
        <v>14</v>
      </c>
      <c r="W44" s="668">
        <f t="shared" si="14"/>
        <v>100</v>
      </c>
      <c r="X44" s="1264"/>
      <c r="Y44" s="3424"/>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22"/>
      <c r="Q45" s="530">
        <f t="shared" si="11"/>
        <v>111</v>
      </c>
      <c r="R45" s="664" t="s">
        <v>14</v>
      </c>
      <c r="S45" s="665">
        <f t="shared" si="12"/>
        <v>100</v>
      </c>
      <c r="T45" s="664" t="s">
        <v>14</v>
      </c>
      <c r="U45" s="665">
        <f t="shared" si="13"/>
        <v>100</v>
      </c>
      <c r="V45" s="664" t="s">
        <v>14</v>
      </c>
      <c r="W45" s="665">
        <f t="shared" si="14"/>
        <v>100</v>
      </c>
      <c r="X45" s="666"/>
      <c r="Y45" s="342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22"/>
      <c r="Q46" s="1262">
        <f t="shared" si="11"/>
        <v>111</v>
      </c>
      <c r="R46" s="667" t="s">
        <v>14</v>
      </c>
      <c r="S46" s="668">
        <f t="shared" si="12"/>
        <v>100</v>
      </c>
      <c r="T46" s="667" t="s">
        <v>14</v>
      </c>
      <c r="U46" s="668">
        <f t="shared" si="13"/>
        <v>100</v>
      </c>
      <c r="V46" s="667" t="s">
        <v>14</v>
      </c>
      <c r="W46" s="668">
        <f t="shared" si="14"/>
        <v>100</v>
      </c>
      <c r="X46" s="1264"/>
      <c r="Y46" s="3424"/>
      <c r="Z46" s="1263">
        <f t="shared" si="15"/>
        <v>111</v>
      </c>
      <c r="AA46" s="1263">
        <f t="shared" si="3"/>
        <v>1</v>
      </c>
      <c r="AB46" s="1263">
        <f t="shared" si="4"/>
        <v>1</v>
      </c>
      <c r="AC46" s="1810">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3"/>
      <c r="Q47" s="1262">
        <f t="shared" si="11"/>
        <v>111</v>
      </c>
      <c r="R47" s="667" t="s">
        <v>14</v>
      </c>
      <c r="S47" s="668">
        <f t="shared" si="12"/>
        <v>100</v>
      </c>
      <c r="T47" s="667" t="s">
        <v>14</v>
      </c>
      <c r="U47" s="668">
        <f t="shared" si="13"/>
        <v>100</v>
      </c>
      <c r="V47" s="667" t="s">
        <v>14</v>
      </c>
      <c r="W47" s="668">
        <f t="shared" si="14"/>
        <v>100</v>
      </c>
      <c r="X47" s="1264"/>
      <c r="Y47" s="3425"/>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400" t="str">
        <f>A48</f>
        <v>成交单价（元/平方米）</v>
      </c>
      <c r="Q48" s="3418"/>
      <c r="R48" s="3413">
        <f>E48</f>
        <v>0</v>
      </c>
      <c r="S48" s="3413"/>
      <c r="T48" s="3413">
        <f>G48</f>
        <v>0</v>
      </c>
      <c r="U48" s="3413"/>
      <c r="V48" s="3413">
        <f>I48</f>
        <v>0</v>
      </c>
      <c r="W48" s="3413"/>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2"/>
      <c r="M49" s="2485"/>
      <c r="N49" s="2485"/>
      <c r="O49" s="2485"/>
      <c r="P49" s="3400" t="str">
        <f>A49</f>
        <v>比较价值（元/平方米）</v>
      </c>
      <c r="Q49" s="3418"/>
      <c r="R49" s="3413" t="e">
        <f>IF(F1="售价",ROUND(PRODUCT(R48,AA7:AA47),0),ROUND(PRODUCT(R48,AA7:AA47),1))</f>
        <v>#DIV/0!</v>
      </c>
      <c r="S49" s="3413"/>
      <c r="T49" s="3413" t="e">
        <f>IF(F1="售价",ROUND(PRODUCT(T48,AB7:AB47),0),ROUND(PRODUCT(T48,AB7:AB47),1))</f>
        <v>#DIV/0!</v>
      </c>
      <c r="U49" s="3413"/>
      <c r="V49" s="3413" t="e">
        <f>IF(F1="售价",ROUND(PRODUCT(V48,AC7:AC47),0),ROUND(PRODUCT(V48,AC7:AC47),1))</f>
        <v>#DIV/0!</v>
      </c>
      <c r="W49" s="341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68" t="str">
        <f>A50</f>
        <v>估价对象XX用房的比较价值（楼面单价，元/平方米）</v>
      </c>
      <c r="Q50" s="3469"/>
      <c r="R50" s="3470" t="e">
        <f>IF(F1="售价",ROUND(IF(D49="简单平均",AVERAGE(R49:V49),R49*F49+T49*H49+V49*J49),0),ROUND(IF(D49="简单平均",AVERAGE(R49:V49),R49*F49+T49*H49+V49*J49),1))</f>
        <v>#DIV/0!</v>
      </c>
      <c r="S50" s="3470"/>
      <c r="T50" s="3470"/>
      <c r="U50" s="3470"/>
      <c r="V50" s="3470"/>
      <c r="W50" s="3470"/>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2012-7</v>
      </c>
      <c r="D59" s="1103">
        <f>EDATE(C59,-1)</f>
        <v>41061</v>
      </c>
      <c r="E59" s="1103">
        <f>EDATE(D59,-1)</f>
        <v>41030</v>
      </c>
      <c r="F59" s="1103">
        <f t="shared" ref="F59:O59" si="16">EDATE(E59,-1)</f>
        <v>41000</v>
      </c>
      <c r="G59" s="1103">
        <f t="shared" si="16"/>
        <v>40969</v>
      </c>
      <c r="H59" s="1103">
        <f t="shared" si="16"/>
        <v>40940</v>
      </c>
      <c r="I59" s="1103">
        <f t="shared" si="16"/>
        <v>40909</v>
      </c>
      <c r="J59" s="1103">
        <f t="shared" si="16"/>
        <v>40878</v>
      </c>
      <c r="K59" s="1103">
        <f t="shared" si="16"/>
        <v>40848</v>
      </c>
      <c r="L59" s="1103">
        <f t="shared" si="16"/>
        <v>40817</v>
      </c>
      <c r="M59" s="1103">
        <f t="shared" si="16"/>
        <v>40787</v>
      </c>
      <c r="N59" s="1103">
        <f t="shared" si="16"/>
        <v>40756</v>
      </c>
      <c r="O59" s="1103">
        <f t="shared" si="16"/>
        <v>40725</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估价对象为北京市房地产，为所有。根据《国有土地使用证》[]，估价对象（分摊）出让国有建设用地使用权面积为0平方米，建筑面积为55.92平方米。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估价对象为北京市房地产,属开发建设的，该项目尚在开发建设中。根据《国有土地使用证》[]，估价对象（分摊）出让国有建设用地使用权面积为0平方米，规划建筑面积为55.92平方米。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2012年7月16日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2012年7月16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55.92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860"/>
      <c r="M4" s="861"/>
      <c r="N4" s="861"/>
      <c r="O4" s="861"/>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455" t="s">
        <v>1673</v>
      </c>
      <c r="D5" s="3395"/>
      <c r="E5" s="3454" t="s">
        <v>1674</v>
      </c>
      <c r="F5" s="3393"/>
      <c r="G5" s="3455" t="s">
        <v>1675</v>
      </c>
      <c r="H5" s="3395"/>
      <c r="I5" s="3455" t="s">
        <v>1676</v>
      </c>
      <c r="J5" s="3395"/>
      <c r="K5" s="537"/>
      <c r="L5" s="860"/>
      <c r="M5" s="861"/>
      <c r="N5" s="861"/>
      <c r="O5" s="861"/>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860"/>
      <c r="M6" s="861"/>
      <c r="N6" s="861"/>
      <c r="O6" s="861"/>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41106</v>
      </c>
      <c r="D7" s="355">
        <v>100</v>
      </c>
      <c r="E7" s="356"/>
      <c r="F7" s="357">
        <f>SUMIF(52:52,YEAR(E7)&amp;"-"&amp;MONTH(E7),53:53)</f>
        <v>0</v>
      </c>
      <c r="G7" s="356"/>
      <c r="H7" s="355">
        <f>SUMIF(52:52,YEAR(G7)&amp;"-"&amp;MONTH(G7),53:53)</f>
        <v>0</v>
      </c>
      <c r="I7" s="356"/>
      <c r="J7" s="355">
        <f>SUMIF(52:52,YEAR(I7)&amp;"-"&amp;MONTH(I7),53:53)</f>
        <v>0</v>
      </c>
      <c r="K7" s="38"/>
      <c r="L7" s="862"/>
      <c r="M7" s="863"/>
      <c r="N7" s="863"/>
      <c r="O7" s="863"/>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6" t="s">
        <v>1683</v>
      </c>
      <c r="Q8" s="3387"/>
      <c r="R8" s="664" t="s">
        <v>14</v>
      </c>
      <c r="S8" s="665">
        <f t="shared" si="0"/>
        <v>100</v>
      </c>
      <c r="T8" s="664" t="s">
        <v>14</v>
      </c>
      <c r="U8" s="665">
        <f t="shared" si="1"/>
        <v>100</v>
      </c>
      <c r="V8" s="664" t="s">
        <v>14</v>
      </c>
      <c r="W8" s="665">
        <f t="shared" si="2"/>
        <v>100</v>
      </c>
      <c r="X8" s="666"/>
      <c r="Y8" s="3386" t="s">
        <v>1683</v>
      </c>
      <c r="Z8" s="338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8"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8"/>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8"/>
      <c r="Q11" s="530" t="str">
        <f t="shared" si="6"/>
        <v>容积率</v>
      </c>
      <c r="R11" s="664" t="s">
        <v>14</v>
      </c>
      <c r="S11" s="665">
        <f t="shared" si="0"/>
        <v>100</v>
      </c>
      <c r="T11" s="664" t="s">
        <v>14</v>
      </c>
      <c r="U11" s="665">
        <f t="shared" si="1"/>
        <v>100</v>
      </c>
      <c r="V11" s="664" t="s">
        <v>14</v>
      </c>
      <c r="W11" s="665">
        <f t="shared" si="2"/>
        <v>100</v>
      </c>
      <c r="X11" s="666"/>
      <c r="Y11" s="33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18"/>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18"/>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18"/>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9" t="s">
        <v>1691</v>
      </c>
      <c r="Q15" s="1262" t="str">
        <f t="shared" si="6"/>
        <v>产业集聚程度</v>
      </c>
      <c r="R15" s="667" t="s">
        <v>14</v>
      </c>
      <c r="S15" s="668">
        <f t="shared" si="0"/>
        <v>100</v>
      </c>
      <c r="T15" s="667" t="s">
        <v>14</v>
      </c>
      <c r="U15" s="668">
        <f t="shared" si="1"/>
        <v>100</v>
      </c>
      <c r="V15" s="667" t="s">
        <v>14</v>
      </c>
      <c r="W15" s="668">
        <f t="shared" si="2"/>
        <v>100</v>
      </c>
      <c r="X15" s="1264"/>
      <c r="Y15" s="3419"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20"/>
      <c r="Q16" s="1262"/>
      <c r="R16" s="667"/>
      <c r="S16" s="668"/>
      <c r="T16" s="667"/>
      <c r="U16" s="668"/>
      <c r="V16" s="667"/>
      <c r="W16" s="668"/>
      <c r="X16" s="1264"/>
      <c r="Y16" s="3420"/>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0"/>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20"/>
      <c r="Q18" s="1262"/>
      <c r="R18" s="667"/>
      <c r="S18" s="668"/>
      <c r="T18" s="667"/>
      <c r="U18" s="668"/>
      <c r="V18" s="667"/>
      <c r="W18" s="668"/>
      <c r="X18" s="1264"/>
      <c r="Y18" s="3420"/>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0"/>
      <c r="Q19" s="1262" t="str">
        <f>B19</f>
        <v>公共配套设施</v>
      </c>
      <c r="R19" s="667" t="s">
        <v>14</v>
      </c>
      <c r="S19" s="668">
        <f>F19</f>
        <v>100</v>
      </c>
      <c r="T19" s="667" t="s">
        <v>14</v>
      </c>
      <c r="U19" s="668">
        <f>H19</f>
        <v>100</v>
      </c>
      <c r="V19" s="667" t="s">
        <v>14</v>
      </c>
      <c r="W19" s="668">
        <f>J19</f>
        <v>100</v>
      </c>
      <c r="X19" s="1264"/>
      <c r="Y19" s="342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20"/>
      <c r="Q20" s="1262"/>
      <c r="R20" s="667"/>
      <c r="S20" s="668"/>
      <c r="T20" s="667"/>
      <c r="U20" s="668"/>
      <c r="V20" s="667"/>
      <c r="W20" s="668"/>
      <c r="X20" s="1264"/>
      <c r="Y20" s="3420"/>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0"/>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20"/>
      <c r="Q22" s="1262"/>
      <c r="R22" s="667"/>
      <c r="S22" s="668"/>
      <c r="T22" s="667"/>
      <c r="U22" s="668"/>
      <c r="V22" s="667"/>
      <c r="W22" s="668"/>
      <c r="X22" s="1264"/>
      <c r="Y22" s="3420"/>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0"/>
      <c r="Q23" s="1262" t="str">
        <f>B23</f>
        <v>环境质量</v>
      </c>
      <c r="R23" s="667" t="s">
        <v>14</v>
      </c>
      <c r="S23" s="668">
        <f>F23</f>
        <v>100</v>
      </c>
      <c r="T23" s="667" t="s">
        <v>14</v>
      </c>
      <c r="U23" s="668">
        <f>H23</f>
        <v>100</v>
      </c>
      <c r="V23" s="667" t="s">
        <v>14</v>
      </c>
      <c r="W23" s="668">
        <f>J23</f>
        <v>100</v>
      </c>
      <c r="X23" s="1264"/>
      <c r="Y23" s="3420"/>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20"/>
      <c r="Q24" s="1262"/>
      <c r="R24" s="667"/>
      <c r="S24" s="668"/>
      <c r="T24" s="667"/>
      <c r="U24" s="668"/>
      <c r="V24" s="667"/>
      <c r="W24" s="668"/>
      <c r="X24" s="1264"/>
      <c r="Y24" s="3420"/>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0"/>
      <c r="Q25" s="1262">
        <f>B25</f>
        <v>111</v>
      </c>
      <c r="R25" s="667" t="s">
        <v>14</v>
      </c>
      <c r="S25" s="668">
        <f>F25</f>
        <v>100</v>
      </c>
      <c r="T25" s="667" t="s">
        <v>14</v>
      </c>
      <c r="U25" s="668">
        <f>H25</f>
        <v>100</v>
      </c>
      <c r="V25" s="667" t="s">
        <v>14</v>
      </c>
      <c r="W25" s="668">
        <f>J25</f>
        <v>100</v>
      </c>
      <c r="X25" s="1264"/>
      <c r="Y25" s="3420"/>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0"/>
      <c r="Q26" s="1262">
        <f t="shared" ref="Q26:Q40" si="11">B26</f>
        <v>111</v>
      </c>
      <c r="R26" s="667" t="s">
        <v>14</v>
      </c>
      <c r="S26" s="668">
        <f>F26</f>
        <v>100</v>
      </c>
      <c r="T26" s="667" t="s">
        <v>14</v>
      </c>
      <c r="U26" s="668">
        <f>H26</f>
        <v>100</v>
      </c>
      <c r="V26" s="667" t="s">
        <v>14</v>
      </c>
      <c r="W26" s="668">
        <f>J26</f>
        <v>100</v>
      </c>
      <c r="X26" s="1264"/>
      <c r="Y26" s="3420"/>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0"/>
      <c r="Q27" s="530">
        <f t="shared" si="11"/>
        <v>111</v>
      </c>
      <c r="R27" s="664" t="s">
        <v>14</v>
      </c>
      <c r="S27" s="665">
        <f>F27</f>
        <v>100</v>
      </c>
      <c r="T27" s="664" t="s">
        <v>14</v>
      </c>
      <c r="U27" s="665">
        <f>H27</f>
        <v>100</v>
      </c>
      <c r="V27" s="664" t="s">
        <v>14</v>
      </c>
      <c r="W27" s="665">
        <f>J27</f>
        <v>100</v>
      </c>
      <c r="X27" s="666"/>
      <c r="Y27" s="3420"/>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0"/>
      <c r="Q28" s="1262">
        <f t="shared" si="11"/>
        <v>111</v>
      </c>
      <c r="R28" s="667" t="s">
        <v>14</v>
      </c>
      <c r="S28" s="668">
        <f t="shared" ref="S28:S40" si="12">F28</f>
        <v>100</v>
      </c>
      <c r="T28" s="667" t="s">
        <v>14</v>
      </c>
      <c r="U28" s="668">
        <f t="shared" ref="U28:U40" si="13">H28</f>
        <v>100</v>
      </c>
      <c r="V28" s="667" t="s">
        <v>14</v>
      </c>
      <c r="W28" s="668">
        <f t="shared" ref="W28:W40" si="14">J28</f>
        <v>100</v>
      </c>
      <c r="X28" s="1264"/>
      <c r="Y28" s="3420"/>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71" t="s">
        <v>1696</v>
      </c>
      <c r="Q29" s="1262" t="str">
        <f t="shared" si="11"/>
        <v>建筑类型</v>
      </c>
      <c r="R29" s="667" t="s">
        <v>14</v>
      </c>
      <c r="S29" s="668">
        <f t="shared" si="12"/>
        <v>100</v>
      </c>
      <c r="T29" s="667" t="s">
        <v>14</v>
      </c>
      <c r="U29" s="668">
        <f t="shared" si="13"/>
        <v>100</v>
      </c>
      <c r="V29" s="667" t="s">
        <v>14</v>
      </c>
      <c r="W29" s="668">
        <f t="shared" si="14"/>
        <v>100</v>
      </c>
      <c r="X29" s="1264"/>
      <c r="Y29" s="3424"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4"/>
      <c r="Q30" s="531" t="str">
        <f t="shared" si="11"/>
        <v>项目建筑规模</v>
      </c>
      <c r="R30" s="669" t="s">
        <v>14</v>
      </c>
      <c r="S30" s="670" t="e">
        <f t="shared" si="12"/>
        <v>#N/A</v>
      </c>
      <c r="T30" s="669" t="s">
        <v>14</v>
      </c>
      <c r="U30" s="670" t="e">
        <f t="shared" si="13"/>
        <v>#N/A</v>
      </c>
      <c r="V30" s="669" t="s">
        <v>14</v>
      </c>
      <c r="W30" s="670" t="e">
        <f t="shared" si="14"/>
        <v>#N/A</v>
      </c>
      <c r="X30" s="671"/>
      <c r="Y30" s="3424"/>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4"/>
      <c r="Q31" s="1262" t="str">
        <f t="shared" si="11"/>
        <v>建筑结构</v>
      </c>
      <c r="R31" s="667" t="s">
        <v>14</v>
      </c>
      <c r="S31" s="668">
        <f t="shared" si="12"/>
        <v>100</v>
      </c>
      <c r="T31" s="667" t="s">
        <v>14</v>
      </c>
      <c r="U31" s="668">
        <f t="shared" si="13"/>
        <v>100</v>
      </c>
      <c r="V31" s="667" t="s">
        <v>14</v>
      </c>
      <c r="W31" s="668">
        <f t="shared" si="14"/>
        <v>100</v>
      </c>
      <c r="X31" s="1264"/>
      <c r="Y31" s="3424"/>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4"/>
      <c r="Q32" s="1262" t="str">
        <f t="shared" si="11"/>
        <v>公共部分装修</v>
      </c>
      <c r="R32" s="667" t="s">
        <v>14</v>
      </c>
      <c r="S32" s="668">
        <f t="shared" si="12"/>
        <v>100</v>
      </c>
      <c r="T32" s="667" t="s">
        <v>14</v>
      </c>
      <c r="U32" s="668">
        <f t="shared" si="13"/>
        <v>100</v>
      </c>
      <c r="V32" s="667" t="s">
        <v>14</v>
      </c>
      <c r="W32" s="668">
        <f t="shared" si="14"/>
        <v>100</v>
      </c>
      <c r="X32" s="1264"/>
      <c r="Y32" s="3424"/>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4"/>
      <c r="Q33" s="1262" t="str">
        <f t="shared" si="11"/>
        <v>成新度</v>
      </c>
      <c r="R33" s="667" t="s">
        <v>14</v>
      </c>
      <c r="S33" s="668" t="e">
        <f t="shared" si="12"/>
        <v>#N/A</v>
      </c>
      <c r="T33" s="667" t="s">
        <v>14</v>
      </c>
      <c r="U33" s="668" t="e">
        <f t="shared" si="13"/>
        <v>#N/A</v>
      </c>
      <c r="V33" s="667" t="s">
        <v>14</v>
      </c>
      <c r="W33" s="668" t="e">
        <f t="shared" si="14"/>
        <v>#N/A</v>
      </c>
      <c r="X33" s="1264"/>
      <c r="Y33" s="3424"/>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4"/>
      <c r="Q34" s="530" t="str">
        <f t="shared" si="11"/>
        <v>物业管理</v>
      </c>
      <c r="R34" s="664" t="s">
        <v>14</v>
      </c>
      <c r="S34" s="665">
        <f t="shared" si="12"/>
        <v>100</v>
      </c>
      <c r="T34" s="664" t="s">
        <v>14</v>
      </c>
      <c r="U34" s="665">
        <f t="shared" si="13"/>
        <v>100</v>
      </c>
      <c r="V34" s="664" t="s">
        <v>14</v>
      </c>
      <c r="W34" s="665">
        <f t="shared" si="14"/>
        <v>100</v>
      </c>
      <c r="X34" s="666"/>
      <c r="Y34" s="342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4" t="s">
        <v>1696</v>
      </c>
      <c r="Q35" s="1262" t="str">
        <f t="shared" si="11"/>
        <v>市政基础设施</v>
      </c>
      <c r="R35" s="667" t="s">
        <v>14</v>
      </c>
      <c r="S35" s="668">
        <f t="shared" si="12"/>
        <v>100</v>
      </c>
      <c r="T35" s="667" t="s">
        <v>14</v>
      </c>
      <c r="U35" s="668">
        <f t="shared" si="13"/>
        <v>100</v>
      </c>
      <c r="V35" s="667" t="s">
        <v>14</v>
      </c>
      <c r="W35" s="668">
        <f t="shared" si="14"/>
        <v>100</v>
      </c>
      <c r="X35" s="1264"/>
      <c r="Y35" s="3424"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4"/>
      <c r="Q36" s="1262" t="str">
        <f t="shared" si="11"/>
        <v>内部装修</v>
      </c>
      <c r="R36" s="667" t="s">
        <v>14</v>
      </c>
      <c r="S36" s="668">
        <f t="shared" si="12"/>
        <v>100</v>
      </c>
      <c r="T36" s="667" t="s">
        <v>14</v>
      </c>
      <c r="U36" s="668">
        <f t="shared" si="13"/>
        <v>100</v>
      </c>
      <c r="V36" s="667" t="s">
        <v>14</v>
      </c>
      <c r="W36" s="668">
        <f t="shared" si="14"/>
        <v>100</v>
      </c>
      <c r="X36" s="1264"/>
      <c r="Y36" s="3424"/>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4"/>
      <c r="Q37" s="1262" t="str">
        <f t="shared" si="11"/>
        <v>内部装修状况</v>
      </c>
      <c r="R37" s="667" t="s">
        <v>14</v>
      </c>
      <c r="S37" s="668">
        <f t="shared" si="12"/>
        <v>100</v>
      </c>
      <c r="T37" s="667" t="s">
        <v>14</v>
      </c>
      <c r="U37" s="668">
        <f t="shared" si="13"/>
        <v>100</v>
      </c>
      <c r="V37" s="667" t="s">
        <v>14</v>
      </c>
      <c r="W37" s="668">
        <f t="shared" si="14"/>
        <v>100</v>
      </c>
      <c r="X37" s="1264"/>
      <c r="Y37" s="3424"/>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4"/>
      <c r="Q38" s="531">
        <f t="shared" si="11"/>
        <v>111</v>
      </c>
      <c r="R38" s="669" t="s">
        <v>14</v>
      </c>
      <c r="S38" s="670">
        <f t="shared" si="12"/>
        <v>100</v>
      </c>
      <c r="T38" s="669" t="s">
        <v>14</v>
      </c>
      <c r="U38" s="670">
        <f t="shared" si="13"/>
        <v>100</v>
      </c>
      <c r="V38" s="669" t="s">
        <v>14</v>
      </c>
      <c r="W38" s="670">
        <f t="shared" si="14"/>
        <v>100</v>
      </c>
      <c r="X38" s="671"/>
      <c r="Y38" s="3424"/>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4"/>
      <c r="Q39" s="1262">
        <f t="shared" si="11"/>
        <v>111</v>
      </c>
      <c r="R39" s="667" t="s">
        <v>14</v>
      </c>
      <c r="S39" s="668">
        <f t="shared" si="12"/>
        <v>100</v>
      </c>
      <c r="T39" s="667" t="s">
        <v>14</v>
      </c>
      <c r="U39" s="668">
        <f t="shared" si="13"/>
        <v>100</v>
      </c>
      <c r="V39" s="667" t="s">
        <v>14</v>
      </c>
      <c r="W39" s="668">
        <f t="shared" si="14"/>
        <v>100</v>
      </c>
      <c r="X39" s="1264"/>
      <c r="Y39" s="3424"/>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5"/>
      <c r="Q40" s="1262">
        <f t="shared" si="11"/>
        <v>111</v>
      </c>
      <c r="R40" s="667" t="s">
        <v>14</v>
      </c>
      <c r="S40" s="668">
        <f t="shared" si="12"/>
        <v>100</v>
      </c>
      <c r="T40" s="667" t="s">
        <v>14</v>
      </c>
      <c r="U40" s="668">
        <f t="shared" si="13"/>
        <v>100</v>
      </c>
      <c r="V40" s="667" t="s">
        <v>14</v>
      </c>
      <c r="W40" s="668">
        <f t="shared" si="14"/>
        <v>100</v>
      </c>
      <c r="X40" s="1264"/>
      <c r="Y40" s="3425"/>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418" t="str">
        <f>A41</f>
        <v>成交单价（元/平方米）</v>
      </c>
      <c r="Q41" s="3418"/>
      <c r="R41" s="3413">
        <f>E41</f>
        <v>0</v>
      </c>
      <c r="S41" s="3413"/>
      <c r="T41" s="3413">
        <f>G41</f>
        <v>0</v>
      </c>
      <c r="U41" s="3413"/>
      <c r="V41" s="3413">
        <f>I41</f>
        <v>0</v>
      </c>
      <c r="W41" s="3413"/>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18" t="str">
        <f>A42</f>
        <v>比较价值（元/平方米）</v>
      </c>
      <c r="Q42" s="3418"/>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2012-7</v>
      </c>
      <c r="D52" s="1103">
        <f>EDATE(C52,-1)</f>
        <v>41061</v>
      </c>
      <c r="E52" s="1103">
        <f t="shared" ref="E52:O52" si="16">EDATE(D52,-1)</f>
        <v>41030</v>
      </c>
      <c r="F52" s="1103">
        <f t="shared" si="16"/>
        <v>41000</v>
      </c>
      <c r="G52" s="1103">
        <f t="shared" si="16"/>
        <v>40969</v>
      </c>
      <c r="H52" s="1103">
        <f t="shared" si="16"/>
        <v>40940</v>
      </c>
      <c r="I52" s="1103">
        <f t="shared" si="16"/>
        <v>40909</v>
      </c>
      <c r="J52" s="1103">
        <f t="shared" si="16"/>
        <v>40878</v>
      </c>
      <c r="K52" s="1103">
        <f t="shared" si="16"/>
        <v>40848</v>
      </c>
      <c r="L52" s="1103">
        <f t="shared" si="16"/>
        <v>40817</v>
      </c>
      <c r="M52" s="1103">
        <f t="shared" si="16"/>
        <v>40787</v>
      </c>
      <c r="N52" s="1103">
        <f t="shared" si="16"/>
        <v>40756</v>
      </c>
      <c r="O52" s="1103">
        <f t="shared" si="16"/>
        <v>40725</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455" t="s">
        <v>1673</v>
      </c>
      <c r="D5" s="3395"/>
      <c r="E5" s="3454" t="s">
        <v>1674</v>
      </c>
      <c r="F5" s="3393"/>
      <c r="G5" s="3455" t="s">
        <v>1675</v>
      </c>
      <c r="H5" s="3395"/>
      <c r="I5" s="3455" t="s">
        <v>1676</v>
      </c>
      <c r="J5" s="3395"/>
      <c r="K5" s="537"/>
      <c r="L5" s="2484"/>
      <c r="M5" s="2485"/>
      <c r="N5" s="2485"/>
      <c r="O5" s="2485"/>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41106</v>
      </c>
      <c r="D7" s="355">
        <v>100</v>
      </c>
      <c r="E7" s="356"/>
      <c r="F7" s="357">
        <f>SUMIF(48:48,YEAR(E7)&amp;"-"&amp;MONTH(E7),49:49)</f>
        <v>0</v>
      </c>
      <c r="G7" s="356"/>
      <c r="H7" s="355">
        <f>SUMIF(48:48,YEAR(G7)&amp;"-"&amp;MONTH(G7),49:49)</f>
        <v>0</v>
      </c>
      <c r="I7" s="356"/>
      <c r="J7" s="355">
        <f>SUMIF(48:48,YEAR(I7)&amp;"-"&amp;MONTH(I7),49:49)</f>
        <v>0</v>
      </c>
      <c r="K7" s="38"/>
      <c r="L7" s="2486"/>
      <c r="M7" s="2437"/>
      <c r="N7" s="2437"/>
      <c r="O7" s="2437"/>
      <c r="P7" s="3386" t="s">
        <v>1680</v>
      </c>
      <c r="Q7" s="3414"/>
      <c r="R7" s="664" t="s">
        <v>14</v>
      </c>
      <c r="S7" s="665">
        <f t="shared" ref="S7:S14" si="0">F7</f>
        <v>0</v>
      </c>
      <c r="T7" s="664" t="s">
        <v>14</v>
      </c>
      <c r="U7" s="665">
        <f t="shared" ref="U7:U14" si="1">H7</f>
        <v>0</v>
      </c>
      <c r="V7" s="664" t="s">
        <v>14</v>
      </c>
      <c r="W7" s="665">
        <f t="shared" ref="W7:W14"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86" t="s">
        <v>1683</v>
      </c>
      <c r="Q8" s="3387"/>
      <c r="R8" s="664" t="s">
        <v>14</v>
      </c>
      <c r="S8" s="665">
        <f t="shared" si="0"/>
        <v>100</v>
      </c>
      <c r="T8" s="664" t="s">
        <v>14</v>
      </c>
      <c r="U8" s="665">
        <f t="shared" si="1"/>
        <v>100</v>
      </c>
      <c r="V8" s="664" t="s">
        <v>14</v>
      </c>
      <c r="W8" s="665">
        <f t="shared" si="2"/>
        <v>100</v>
      </c>
      <c r="X8" s="666"/>
      <c r="Y8" s="3386" t="s">
        <v>1683</v>
      </c>
      <c r="Z8" s="338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18" t="s">
        <v>1686</v>
      </c>
      <c r="Q9" s="530" t="str">
        <f t="shared" ref="Q9:Q14" si="6">B9</f>
        <v>用途</v>
      </c>
      <c r="R9" s="664" t="s">
        <v>14</v>
      </c>
      <c r="S9" s="665">
        <f t="shared" si="0"/>
        <v>100</v>
      </c>
      <c r="T9" s="664" t="s">
        <v>14</v>
      </c>
      <c r="U9" s="665">
        <f t="shared" si="1"/>
        <v>100</v>
      </c>
      <c r="V9" s="664" t="s">
        <v>14</v>
      </c>
      <c r="W9" s="665">
        <f t="shared" si="2"/>
        <v>100</v>
      </c>
      <c r="X9" s="666"/>
      <c r="Y9" s="3356"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8"/>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8"/>
      <c r="Q11" s="530">
        <f t="shared" si="6"/>
        <v>111</v>
      </c>
      <c r="R11" s="664" t="s">
        <v>14</v>
      </c>
      <c r="S11" s="665">
        <f t="shared" si="0"/>
        <v>100</v>
      </c>
      <c r="T11" s="664" t="s">
        <v>14</v>
      </c>
      <c r="U11" s="665">
        <f t="shared" si="1"/>
        <v>100</v>
      </c>
      <c r="V11" s="664" t="s">
        <v>14</v>
      </c>
      <c r="W11" s="665">
        <f t="shared" si="2"/>
        <v>100</v>
      </c>
      <c r="X11" s="666"/>
      <c r="Y11" s="33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18"/>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8"/>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9" t="s">
        <v>1691</v>
      </c>
      <c r="Q14" s="1262" t="str">
        <f t="shared" si="6"/>
        <v>交通便捷度</v>
      </c>
      <c r="R14" s="667" t="s">
        <v>14</v>
      </c>
      <c r="S14" s="668">
        <f t="shared" si="0"/>
        <v>100</v>
      </c>
      <c r="T14" s="667" t="s">
        <v>14</v>
      </c>
      <c r="U14" s="668">
        <f t="shared" si="1"/>
        <v>100</v>
      </c>
      <c r="V14" s="667" t="s">
        <v>14</v>
      </c>
      <c r="W14" s="668">
        <f t="shared" si="2"/>
        <v>100</v>
      </c>
      <c r="X14" s="1264"/>
      <c r="Y14" s="3419"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420"/>
      <c r="Q15" s="1262"/>
      <c r="R15" s="667"/>
      <c r="S15" s="668"/>
      <c r="T15" s="667"/>
      <c r="U15" s="668"/>
      <c r="V15" s="667"/>
      <c r="W15" s="668"/>
      <c r="X15" s="1264"/>
      <c r="Y15" s="3420"/>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20"/>
      <c r="Q16" s="1262" t="str">
        <f>B16</f>
        <v>公共配套设施</v>
      </c>
      <c r="R16" s="667" t="s">
        <v>14</v>
      </c>
      <c r="S16" s="668">
        <f>F16</f>
        <v>100</v>
      </c>
      <c r="T16" s="667" t="s">
        <v>14</v>
      </c>
      <c r="U16" s="668">
        <f>H16</f>
        <v>100</v>
      </c>
      <c r="V16" s="667" t="s">
        <v>14</v>
      </c>
      <c r="W16" s="668">
        <f>J16</f>
        <v>100</v>
      </c>
      <c r="X16" s="1264"/>
      <c r="Y16" s="3420"/>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420"/>
      <c r="Q17" s="1262"/>
      <c r="R17" s="667"/>
      <c r="S17" s="668"/>
      <c r="T17" s="667"/>
      <c r="U17" s="668"/>
      <c r="V17" s="667"/>
      <c r="W17" s="668"/>
      <c r="X17" s="1264"/>
      <c r="Y17" s="3420"/>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20"/>
      <c r="Q18" s="1262" t="str">
        <f>B18</f>
        <v>基础设施水平</v>
      </c>
      <c r="R18" s="667" t="s">
        <v>14</v>
      </c>
      <c r="S18" s="668">
        <f>F18</f>
        <v>100</v>
      </c>
      <c r="T18" s="667" t="s">
        <v>14</v>
      </c>
      <c r="U18" s="668">
        <f>H18</f>
        <v>100</v>
      </c>
      <c r="V18" s="667" t="s">
        <v>14</v>
      </c>
      <c r="W18" s="668">
        <f>J18</f>
        <v>100</v>
      </c>
      <c r="X18" s="1264"/>
      <c r="Y18" s="3420"/>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420"/>
      <c r="Q19" s="1262"/>
      <c r="R19" s="667"/>
      <c r="S19" s="668"/>
      <c r="T19" s="667"/>
      <c r="U19" s="668"/>
      <c r="V19" s="667"/>
      <c r="W19" s="668"/>
      <c r="X19" s="1264"/>
      <c r="Y19" s="3420"/>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20"/>
      <c r="Q20" s="1262" t="str">
        <f>B20</f>
        <v>自然及人文环境</v>
      </c>
      <c r="R20" s="667" t="s">
        <v>14</v>
      </c>
      <c r="S20" s="668">
        <f>F20</f>
        <v>100</v>
      </c>
      <c r="T20" s="667" t="s">
        <v>14</v>
      </c>
      <c r="U20" s="668">
        <f>H20</f>
        <v>100</v>
      </c>
      <c r="V20" s="667" t="s">
        <v>14</v>
      </c>
      <c r="W20" s="668">
        <f>J20</f>
        <v>100</v>
      </c>
      <c r="X20" s="1264"/>
      <c r="Y20" s="342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420"/>
      <c r="Q21" s="1262"/>
      <c r="R21" s="667"/>
      <c r="S21" s="668"/>
      <c r="T21" s="667"/>
      <c r="U21" s="668"/>
      <c r="V21" s="667"/>
      <c r="W21" s="668"/>
      <c r="X21" s="1264"/>
      <c r="Y21" s="3420"/>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20"/>
      <c r="Q22" s="1262" t="str">
        <f>B22</f>
        <v>楼层</v>
      </c>
      <c r="R22" s="667" t="s">
        <v>14</v>
      </c>
      <c r="S22" s="668">
        <f>F22</f>
        <v>100</v>
      </c>
      <c r="T22" s="667" t="s">
        <v>14</v>
      </c>
      <c r="U22" s="668">
        <f>H22</f>
        <v>100</v>
      </c>
      <c r="V22" s="667" t="s">
        <v>14</v>
      </c>
      <c r="W22" s="668">
        <f>J22</f>
        <v>100</v>
      </c>
      <c r="X22" s="1264"/>
      <c r="Y22" s="342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20"/>
      <c r="Q23" s="1262">
        <f>B23</f>
        <v>111</v>
      </c>
      <c r="R23" s="667" t="s">
        <v>14</v>
      </c>
      <c r="S23" s="668">
        <f>F23</f>
        <v>100</v>
      </c>
      <c r="T23" s="667" t="s">
        <v>14</v>
      </c>
      <c r="U23" s="668">
        <f>H23</f>
        <v>100</v>
      </c>
      <c r="V23" s="667" t="s">
        <v>14</v>
      </c>
      <c r="W23" s="668">
        <f>J23</f>
        <v>100</v>
      </c>
      <c r="X23" s="1264"/>
      <c r="Y23" s="342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20"/>
      <c r="Q24" s="1262">
        <f t="shared" ref="Q24:Q36" si="11">B24</f>
        <v>111</v>
      </c>
      <c r="R24" s="667" t="s">
        <v>14</v>
      </c>
      <c r="S24" s="668">
        <f>F24</f>
        <v>100</v>
      </c>
      <c r="T24" s="667" t="s">
        <v>14</v>
      </c>
      <c r="U24" s="668">
        <f>H24</f>
        <v>100</v>
      </c>
      <c r="V24" s="667" t="s">
        <v>14</v>
      </c>
      <c r="W24" s="668">
        <f>J24</f>
        <v>100</v>
      </c>
      <c r="X24" s="1264"/>
      <c r="Y24" s="3420"/>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20"/>
      <c r="Q25" s="530">
        <f t="shared" si="11"/>
        <v>111</v>
      </c>
      <c r="R25" s="664" t="s">
        <v>14</v>
      </c>
      <c r="S25" s="665">
        <f>F25</f>
        <v>100</v>
      </c>
      <c r="T25" s="664" t="s">
        <v>14</v>
      </c>
      <c r="U25" s="665">
        <f>H25</f>
        <v>100</v>
      </c>
      <c r="V25" s="664" t="s">
        <v>14</v>
      </c>
      <c r="W25" s="665">
        <f>J25</f>
        <v>100</v>
      </c>
      <c r="X25" s="666"/>
      <c r="Y25" s="3420"/>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1"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24"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24"/>
      <c r="Q27" s="531" t="str">
        <f t="shared" si="11"/>
        <v>项目停车位配比</v>
      </c>
      <c r="R27" s="669" t="s">
        <v>14</v>
      </c>
      <c r="S27" s="670">
        <f t="shared" si="12"/>
        <v>100</v>
      </c>
      <c r="T27" s="669" t="s">
        <v>14</v>
      </c>
      <c r="U27" s="670">
        <f t="shared" si="13"/>
        <v>100</v>
      </c>
      <c r="V27" s="669" t="s">
        <v>14</v>
      </c>
      <c r="W27" s="670">
        <f t="shared" si="14"/>
        <v>100</v>
      </c>
      <c r="X27" s="671"/>
      <c r="Y27" s="3424"/>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24"/>
      <c r="Q28" s="1262" t="str">
        <f t="shared" si="11"/>
        <v>公共部分装修</v>
      </c>
      <c r="R28" s="667" t="s">
        <v>14</v>
      </c>
      <c r="S28" s="668">
        <f t="shared" si="12"/>
        <v>100</v>
      </c>
      <c r="T28" s="667" t="s">
        <v>14</v>
      </c>
      <c r="U28" s="668">
        <f t="shared" si="13"/>
        <v>100</v>
      </c>
      <c r="V28" s="667" t="s">
        <v>14</v>
      </c>
      <c r="W28" s="668">
        <f t="shared" si="14"/>
        <v>100</v>
      </c>
      <c r="X28" s="1264"/>
      <c r="Y28" s="3424"/>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24"/>
      <c r="Q29" s="1262" t="str">
        <f t="shared" si="11"/>
        <v>成新率</v>
      </c>
      <c r="R29" s="667" t="s">
        <v>14</v>
      </c>
      <c r="S29" s="668" t="e">
        <f t="shared" si="12"/>
        <v>#N/A</v>
      </c>
      <c r="T29" s="667" t="s">
        <v>14</v>
      </c>
      <c r="U29" s="668" t="e">
        <f t="shared" si="13"/>
        <v>#N/A</v>
      </c>
      <c r="V29" s="667" t="s">
        <v>14</v>
      </c>
      <c r="W29" s="668" t="e">
        <f t="shared" si="14"/>
        <v>#N/A</v>
      </c>
      <c r="X29" s="1264"/>
      <c r="Y29" s="3424"/>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24"/>
      <c r="Q30" s="1262" t="str">
        <f t="shared" si="11"/>
        <v>物业等级</v>
      </c>
      <c r="R30" s="667" t="s">
        <v>14</v>
      </c>
      <c r="S30" s="668">
        <f t="shared" si="12"/>
        <v>100</v>
      </c>
      <c r="T30" s="667" t="s">
        <v>14</v>
      </c>
      <c r="U30" s="668">
        <f t="shared" si="13"/>
        <v>100</v>
      </c>
      <c r="V30" s="667" t="s">
        <v>14</v>
      </c>
      <c r="W30" s="668">
        <f t="shared" si="14"/>
        <v>100</v>
      </c>
      <c r="X30" s="1264"/>
      <c r="Y30" s="3424"/>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24"/>
      <c r="Q31" s="530" t="str">
        <f t="shared" si="11"/>
        <v>停车位面积</v>
      </c>
      <c r="R31" s="664" t="s">
        <v>14</v>
      </c>
      <c r="S31" s="665" t="e">
        <f t="shared" si="12"/>
        <v>#N/A</v>
      </c>
      <c r="T31" s="664" t="s">
        <v>14</v>
      </c>
      <c r="U31" s="665" t="e">
        <f t="shared" si="13"/>
        <v>#N/A</v>
      </c>
      <c r="V31" s="664" t="s">
        <v>14</v>
      </c>
      <c r="W31" s="665" t="e">
        <f t="shared" si="14"/>
        <v>#N/A</v>
      </c>
      <c r="X31" s="666"/>
      <c r="Y31" s="342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24" t="s">
        <v>1696</v>
      </c>
      <c r="Q32" s="1262" t="str">
        <f t="shared" si="11"/>
        <v>车位类型</v>
      </c>
      <c r="R32" s="667" t="s">
        <v>14</v>
      </c>
      <c r="S32" s="668">
        <f t="shared" si="12"/>
        <v>100</v>
      </c>
      <c r="T32" s="667" t="s">
        <v>14</v>
      </c>
      <c r="U32" s="668">
        <f t="shared" si="13"/>
        <v>100</v>
      </c>
      <c r="V32" s="667" t="s">
        <v>14</v>
      </c>
      <c r="W32" s="668">
        <f t="shared" si="14"/>
        <v>100</v>
      </c>
      <c r="X32" s="1264"/>
      <c r="Y32" s="3424"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24"/>
      <c r="Q33" s="1262" t="str">
        <f t="shared" si="11"/>
        <v>是否直接入户</v>
      </c>
      <c r="R33" s="667" t="s">
        <v>14</v>
      </c>
      <c r="S33" s="668">
        <f t="shared" si="12"/>
        <v>100</v>
      </c>
      <c r="T33" s="667" t="s">
        <v>14</v>
      </c>
      <c r="U33" s="668">
        <f t="shared" si="13"/>
        <v>100</v>
      </c>
      <c r="V33" s="667" t="s">
        <v>14</v>
      </c>
      <c r="W33" s="668">
        <f t="shared" si="14"/>
        <v>100</v>
      </c>
      <c r="X33" s="1264"/>
      <c r="Y33" s="3424"/>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24"/>
      <c r="Q34" s="1262">
        <f t="shared" si="11"/>
        <v>111</v>
      </c>
      <c r="R34" s="667" t="s">
        <v>14</v>
      </c>
      <c r="S34" s="668">
        <f t="shared" si="12"/>
        <v>100</v>
      </c>
      <c r="T34" s="667" t="s">
        <v>14</v>
      </c>
      <c r="U34" s="668">
        <f t="shared" si="13"/>
        <v>100</v>
      </c>
      <c r="V34" s="667" t="s">
        <v>14</v>
      </c>
      <c r="W34" s="668">
        <f t="shared" si="14"/>
        <v>100</v>
      </c>
      <c r="X34" s="1264"/>
      <c r="Y34" s="3424"/>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24"/>
      <c r="Q35" s="531">
        <f t="shared" si="11"/>
        <v>111</v>
      </c>
      <c r="R35" s="669" t="s">
        <v>14</v>
      </c>
      <c r="S35" s="670">
        <f t="shared" si="12"/>
        <v>100</v>
      </c>
      <c r="T35" s="669" t="s">
        <v>14</v>
      </c>
      <c r="U35" s="670">
        <f t="shared" si="13"/>
        <v>100</v>
      </c>
      <c r="V35" s="669" t="s">
        <v>14</v>
      </c>
      <c r="W35" s="670">
        <f t="shared" si="14"/>
        <v>100</v>
      </c>
      <c r="X35" s="671"/>
      <c r="Y35" s="3424"/>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24"/>
      <c r="Q36" s="1262">
        <f t="shared" si="11"/>
        <v>111</v>
      </c>
      <c r="R36" s="667" t="s">
        <v>14</v>
      </c>
      <c r="S36" s="668">
        <f t="shared" si="12"/>
        <v>100</v>
      </c>
      <c r="T36" s="667" t="s">
        <v>14</v>
      </c>
      <c r="U36" s="668">
        <f t="shared" si="13"/>
        <v>100</v>
      </c>
      <c r="V36" s="667" t="s">
        <v>14</v>
      </c>
      <c r="W36" s="668">
        <f t="shared" si="14"/>
        <v>100</v>
      </c>
      <c r="X36" s="1264"/>
      <c r="Y36" s="3424"/>
      <c r="Z36" s="1263">
        <f t="shared" si="15"/>
        <v>111</v>
      </c>
      <c r="AA36" s="1263">
        <f t="shared" si="3"/>
        <v>1</v>
      </c>
      <c r="AB36" s="1263">
        <f t="shared" si="4"/>
        <v>1</v>
      </c>
      <c r="AC36" s="1263">
        <f t="shared" si="5"/>
        <v>1</v>
      </c>
    </row>
    <row r="37" spans="1:29" ht="15">
      <c r="A37" s="416" t="s">
        <v>1844</v>
      </c>
      <c r="B37" s="1819" t="s">
        <v>3356</v>
      </c>
      <c r="C37" s="1081" t="s">
        <v>0</v>
      </c>
      <c r="D37" s="418"/>
      <c r="E37" s="419"/>
      <c r="F37" s="420"/>
      <c r="G37" s="421"/>
      <c r="H37" s="422"/>
      <c r="I37" s="419"/>
      <c r="J37" s="422"/>
      <c r="K37" s="545"/>
      <c r="L37" s="2492"/>
      <c r="M37" s="2485"/>
      <c r="N37" s="2485"/>
      <c r="O37" s="2485"/>
      <c r="P37" s="3418" t="str">
        <f>A37</f>
        <v>成交单价</v>
      </c>
      <c r="Q37" s="3418"/>
      <c r="R37" s="3413">
        <f>E37</f>
        <v>0</v>
      </c>
      <c r="S37" s="3413"/>
      <c r="T37" s="3413">
        <f>G37</f>
        <v>0</v>
      </c>
      <c r="U37" s="3413"/>
      <c r="V37" s="3413">
        <f>I37</f>
        <v>0</v>
      </c>
      <c r="W37" s="3413"/>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2"/>
      <c r="M38" s="2485"/>
      <c r="N38" s="2485"/>
      <c r="O38" s="2485"/>
      <c r="P38" s="3418" t="str">
        <f>A38</f>
        <v>比较价值（元/平方米）</v>
      </c>
      <c r="Q38" s="3418"/>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15" t="str">
        <f>A39</f>
        <v>估价对象XX用房的比较价值（楼面单价，元/平方米）</v>
      </c>
      <c r="Q39" s="3416"/>
      <c r="R39" s="3472" t="e">
        <f>IF(F1="售价",ROUND(IF(D38="简单平均",AVERAGE(R38:W38),R38*F38+T38*H38+V38*J38),0),ROUND(IF(D38="简单平均",AVERAGE(R38:V38),R38*F38+T38*H38+V38*J38),1))</f>
        <v>#DIV/0!</v>
      </c>
      <c r="S39" s="3472"/>
      <c r="T39" s="3472"/>
      <c r="U39" s="3472"/>
      <c r="V39" s="3472"/>
      <c r="W39" s="3472"/>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2012-7</v>
      </c>
      <c r="D48" s="1103">
        <f>EDATE(C48,-1)</f>
        <v>41061</v>
      </c>
      <c r="E48" s="1103">
        <f t="shared" ref="E48:O48" si="16">EDATE(D48,-1)</f>
        <v>41030</v>
      </c>
      <c r="F48" s="1103">
        <f t="shared" si="16"/>
        <v>41000</v>
      </c>
      <c r="G48" s="1103">
        <f t="shared" si="16"/>
        <v>40969</v>
      </c>
      <c r="H48" s="1103">
        <f t="shared" si="16"/>
        <v>40940</v>
      </c>
      <c r="I48" s="1103">
        <f t="shared" si="16"/>
        <v>40909</v>
      </c>
      <c r="J48" s="1103">
        <f t="shared" si="16"/>
        <v>40878</v>
      </c>
      <c r="K48" s="1103">
        <f t="shared" si="16"/>
        <v>40848</v>
      </c>
      <c r="L48" s="1103">
        <f t="shared" si="16"/>
        <v>40817</v>
      </c>
      <c r="M48" s="1103">
        <f t="shared" si="16"/>
        <v>40787</v>
      </c>
      <c r="N48" s="1103">
        <f t="shared" si="16"/>
        <v>40756</v>
      </c>
      <c r="O48" s="1103">
        <f t="shared" si="16"/>
        <v>40725</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455" t="s">
        <v>1673</v>
      </c>
      <c r="D5" s="3395"/>
      <c r="E5" s="3454" t="s">
        <v>1674</v>
      </c>
      <c r="F5" s="3393"/>
      <c r="G5" s="3455" t="s">
        <v>1675</v>
      </c>
      <c r="H5" s="3395"/>
      <c r="I5" s="3455" t="s">
        <v>1676</v>
      </c>
      <c r="J5" s="3395"/>
      <c r="K5" s="537"/>
      <c r="L5" s="2484"/>
      <c r="M5" s="2485"/>
      <c r="N5" s="2485"/>
      <c r="O5" s="2485"/>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41106</v>
      </c>
      <c r="D7" s="355">
        <v>100</v>
      </c>
      <c r="E7" s="356"/>
      <c r="F7" s="357">
        <f>SUMIF(46:46,YEAR(E7)&amp;"-"&amp;MONTH(E7),47:47)</f>
        <v>0</v>
      </c>
      <c r="G7" s="1820"/>
      <c r="H7" s="355">
        <f>SUMIF(46:46,YEAR(G7)&amp;"-"&amp;MONTH(G7),47:47)</f>
        <v>0</v>
      </c>
      <c r="I7" s="356"/>
      <c r="J7" s="355">
        <f>SUMIF(46:46,YEAR(I7)&amp;"-"&amp;MONTH(I7),47:47)</f>
        <v>0</v>
      </c>
      <c r="K7" s="38"/>
      <c r="L7" s="2486"/>
      <c r="M7" s="2437"/>
      <c r="N7" s="2437"/>
      <c r="O7" s="2437"/>
      <c r="P7" s="3386" t="s">
        <v>1680</v>
      </c>
      <c r="Q7" s="3414"/>
      <c r="R7" s="664" t="s">
        <v>14</v>
      </c>
      <c r="S7" s="665">
        <f t="shared" ref="S7:S14" si="0">F7</f>
        <v>0</v>
      </c>
      <c r="T7" s="664" t="s">
        <v>14</v>
      </c>
      <c r="U7" s="665">
        <f t="shared" ref="U7:U14" si="1">H7</f>
        <v>0</v>
      </c>
      <c r="V7" s="664" t="s">
        <v>14</v>
      </c>
      <c r="W7" s="665">
        <f t="shared" ref="W7:W14"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86" t="s">
        <v>1683</v>
      </c>
      <c r="Q8" s="3387"/>
      <c r="R8" s="664" t="s">
        <v>14</v>
      </c>
      <c r="S8" s="665">
        <f t="shared" si="0"/>
        <v>100</v>
      </c>
      <c r="T8" s="664" t="s">
        <v>14</v>
      </c>
      <c r="U8" s="665">
        <f t="shared" si="1"/>
        <v>100</v>
      </c>
      <c r="V8" s="664" t="s">
        <v>14</v>
      </c>
      <c r="W8" s="665">
        <f t="shared" si="2"/>
        <v>100</v>
      </c>
      <c r="X8" s="666"/>
      <c r="Y8" s="3386" t="s">
        <v>1683</v>
      </c>
      <c r="Z8" s="338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18" t="s">
        <v>1686</v>
      </c>
      <c r="Q9" s="530" t="str">
        <f t="shared" ref="Q9:Q14" si="6">B9</f>
        <v>用途</v>
      </c>
      <c r="R9" s="664" t="s">
        <v>14</v>
      </c>
      <c r="S9" s="665">
        <f t="shared" si="0"/>
        <v>100</v>
      </c>
      <c r="T9" s="664" t="s">
        <v>14</v>
      </c>
      <c r="U9" s="665">
        <f t="shared" si="1"/>
        <v>100</v>
      </c>
      <c r="V9" s="664" t="s">
        <v>14</v>
      </c>
      <c r="W9" s="665">
        <f t="shared" si="2"/>
        <v>100</v>
      </c>
      <c r="X9" s="666"/>
      <c r="Y9" s="3356"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8"/>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8"/>
      <c r="Q11" s="530">
        <f t="shared" si="6"/>
        <v>111</v>
      </c>
      <c r="R11" s="664" t="s">
        <v>14</v>
      </c>
      <c r="S11" s="665">
        <f t="shared" si="0"/>
        <v>100</v>
      </c>
      <c r="T11" s="664" t="s">
        <v>14</v>
      </c>
      <c r="U11" s="665">
        <f t="shared" si="1"/>
        <v>100</v>
      </c>
      <c r="V11" s="664" t="s">
        <v>14</v>
      </c>
      <c r="W11" s="665">
        <f t="shared" si="2"/>
        <v>100</v>
      </c>
      <c r="X11" s="666"/>
      <c r="Y11" s="33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18"/>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418"/>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19" t="s">
        <v>1691</v>
      </c>
      <c r="Q14" s="1262" t="str">
        <f t="shared" si="6"/>
        <v>交通便捷度</v>
      </c>
      <c r="R14" s="667" t="s">
        <v>14</v>
      </c>
      <c r="S14" s="668">
        <f t="shared" si="0"/>
        <v>100</v>
      </c>
      <c r="T14" s="667" t="s">
        <v>14</v>
      </c>
      <c r="U14" s="668">
        <f t="shared" si="1"/>
        <v>100</v>
      </c>
      <c r="V14" s="667" t="s">
        <v>14</v>
      </c>
      <c r="W14" s="668">
        <f t="shared" si="2"/>
        <v>100</v>
      </c>
      <c r="X14" s="1264"/>
      <c r="Y14" s="3419"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420"/>
      <c r="Q15" s="1262"/>
      <c r="R15" s="667"/>
      <c r="S15" s="668"/>
      <c r="T15" s="667"/>
      <c r="U15" s="668"/>
      <c r="V15" s="667"/>
      <c r="W15" s="668"/>
      <c r="X15" s="1264"/>
      <c r="Y15" s="3420"/>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20"/>
      <c r="Q16" s="1262" t="str">
        <f>B16</f>
        <v>公共配套设施</v>
      </c>
      <c r="R16" s="667" t="s">
        <v>14</v>
      </c>
      <c r="S16" s="668">
        <f>F16</f>
        <v>100</v>
      </c>
      <c r="T16" s="667" t="s">
        <v>14</v>
      </c>
      <c r="U16" s="668">
        <f>H16</f>
        <v>100</v>
      </c>
      <c r="V16" s="667" t="s">
        <v>14</v>
      </c>
      <c r="W16" s="668">
        <f>J16</f>
        <v>100</v>
      </c>
      <c r="X16" s="1264"/>
      <c r="Y16" s="3420"/>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420"/>
      <c r="Q17" s="1262"/>
      <c r="R17" s="667"/>
      <c r="S17" s="668"/>
      <c r="T17" s="667"/>
      <c r="U17" s="668"/>
      <c r="V17" s="667"/>
      <c r="W17" s="668"/>
      <c r="X17" s="1264"/>
      <c r="Y17" s="3420"/>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20"/>
      <c r="Q18" s="1262" t="str">
        <f>B18</f>
        <v>基础设施水平</v>
      </c>
      <c r="R18" s="667" t="s">
        <v>14</v>
      </c>
      <c r="S18" s="668">
        <f>F18</f>
        <v>100</v>
      </c>
      <c r="T18" s="667" t="s">
        <v>14</v>
      </c>
      <c r="U18" s="668">
        <f>H18</f>
        <v>100</v>
      </c>
      <c r="V18" s="667" t="s">
        <v>14</v>
      </c>
      <c r="W18" s="668">
        <f>J18</f>
        <v>100</v>
      </c>
      <c r="X18" s="1264"/>
      <c r="Y18" s="3420"/>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420"/>
      <c r="Q19" s="1262"/>
      <c r="R19" s="667"/>
      <c r="S19" s="668"/>
      <c r="T19" s="667"/>
      <c r="U19" s="668"/>
      <c r="V19" s="667"/>
      <c r="W19" s="668"/>
      <c r="X19" s="1264"/>
      <c r="Y19" s="3420"/>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20"/>
      <c r="Q20" s="1262" t="str">
        <f>B20</f>
        <v>自然及人文环境</v>
      </c>
      <c r="R20" s="667" t="s">
        <v>14</v>
      </c>
      <c r="S20" s="668">
        <f>F20</f>
        <v>100</v>
      </c>
      <c r="T20" s="667" t="s">
        <v>14</v>
      </c>
      <c r="U20" s="668">
        <f>H20</f>
        <v>100</v>
      </c>
      <c r="V20" s="667" t="s">
        <v>14</v>
      </c>
      <c r="W20" s="668">
        <f>J20</f>
        <v>100</v>
      </c>
      <c r="X20" s="1264"/>
      <c r="Y20" s="342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420"/>
      <c r="Q21" s="1262"/>
      <c r="R21" s="667"/>
      <c r="S21" s="668"/>
      <c r="T21" s="667"/>
      <c r="U21" s="668"/>
      <c r="V21" s="667"/>
      <c r="W21" s="668"/>
      <c r="X21" s="1264"/>
      <c r="Y21" s="3420"/>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20"/>
      <c r="Q22" s="1262" t="str">
        <f>B22</f>
        <v>楼层</v>
      </c>
      <c r="R22" s="667" t="s">
        <v>14</v>
      </c>
      <c r="S22" s="668">
        <f>F22</f>
        <v>100</v>
      </c>
      <c r="T22" s="667" t="s">
        <v>14</v>
      </c>
      <c r="U22" s="668">
        <f>H22</f>
        <v>100</v>
      </c>
      <c r="V22" s="667" t="s">
        <v>14</v>
      </c>
      <c r="W22" s="668">
        <f>J22</f>
        <v>100</v>
      </c>
      <c r="X22" s="1264"/>
      <c r="Y22" s="342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20"/>
      <c r="Q23" s="1262">
        <f>B23</f>
        <v>111</v>
      </c>
      <c r="R23" s="667" t="s">
        <v>14</v>
      </c>
      <c r="S23" s="668">
        <f>F23</f>
        <v>100</v>
      </c>
      <c r="T23" s="667" t="s">
        <v>14</v>
      </c>
      <c r="U23" s="668">
        <f>H23</f>
        <v>100</v>
      </c>
      <c r="V23" s="667" t="s">
        <v>14</v>
      </c>
      <c r="W23" s="668">
        <f>J23</f>
        <v>100</v>
      </c>
      <c r="X23" s="1264"/>
      <c r="Y23" s="342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20"/>
      <c r="Q24" s="1262">
        <f t="shared" ref="Q24:Q34" si="11">B24</f>
        <v>111</v>
      </c>
      <c r="R24" s="667" t="s">
        <v>14</v>
      </c>
      <c r="S24" s="668">
        <f>F24</f>
        <v>100</v>
      </c>
      <c r="T24" s="667" t="s">
        <v>14</v>
      </c>
      <c r="U24" s="668">
        <f>H24</f>
        <v>100</v>
      </c>
      <c r="V24" s="667" t="s">
        <v>14</v>
      </c>
      <c r="W24" s="668">
        <f>J24</f>
        <v>100</v>
      </c>
      <c r="X24" s="1264"/>
      <c r="Y24" s="3420"/>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420"/>
      <c r="Q25" s="530">
        <f t="shared" si="11"/>
        <v>111</v>
      </c>
      <c r="R25" s="664" t="s">
        <v>14</v>
      </c>
      <c r="S25" s="665">
        <f>F25</f>
        <v>100</v>
      </c>
      <c r="T25" s="664" t="s">
        <v>14</v>
      </c>
      <c r="U25" s="665">
        <f>H25</f>
        <v>100</v>
      </c>
      <c r="V25" s="664" t="s">
        <v>14</v>
      </c>
      <c r="W25" s="665">
        <f>J25</f>
        <v>100</v>
      </c>
      <c r="X25" s="666"/>
      <c r="Y25" s="3420"/>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71"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24"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24"/>
      <c r="Q27" s="531" t="str">
        <f t="shared" si="11"/>
        <v>成新率</v>
      </c>
      <c r="R27" s="669" t="s">
        <v>14</v>
      </c>
      <c r="S27" s="670" t="e">
        <f t="shared" si="12"/>
        <v>#N/A</v>
      </c>
      <c r="T27" s="669" t="s">
        <v>14</v>
      </c>
      <c r="U27" s="670" t="e">
        <f t="shared" si="13"/>
        <v>#N/A</v>
      </c>
      <c r="V27" s="669" t="s">
        <v>14</v>
      </c>
      <c r="W27" s="670" t="e">
        <f t="shared" si="14"/>
        <v>#N/A</v>
      </c>
      <c r="X27" s="671"/>
      <c r="Y27" s="3424"/>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24"/>
      <c r="Q28" s="1262" t="str">
        <f t="shared" si="11"/>
        <v>物业等级</v>
      </c>
      <c r="R28" s="667" t="s">
        <v>14</v>
      </c>
      <c r="S28" s="668">
        <f t="shared" si="12"/>
        <v>100</v>
      </c>
      <c r="T28" s="667" t="s">
        <v>14</v>
      </c>
      <c r="U28" s="668">
        <f t="shared" si="13"/>
        <v>100</v>
      </c>
      <c r="V28" s="667" t="s">
        <v>14</v>
      </c>
      <c r="W28" s="668">
        <f t="shared" si="14"/>
        <v>100</v>
      </c>
      <c r="X28" s="1264"/>
      <c r="Y28" s="3424"/>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24"/>
      <c r="Q29" s="1262" t="str">
        <f t="shared" si="11"/>
        <v>有无电梯</v>
      </c>
      <c r="R29" s="667" t="s">
        <v>14</v>
      </c>
      <c r="S29" s="668">
        <f t="shared" si="12"/>
        <v>100</v>
      </c>
      <c r="T29" s="667" t="s">
        <v>14</v>
      </c>
      <c r="U29" s="668">
        <f t="shared" si="13"/>
        <v>100</v>
      </c>
      <c r="V29" s="667" t="s">
        <v>14</v>
      </c>
      <c r="W29" s="668">
        <f t="shared" si="14"/>
        <v>100</v>
      </c>
      <c r="X29" s="1264"/>
      <c r="Y29" s="3424"/>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24"/>
      <c r="Q30" s="1262" t="str">
        <f t="shared" si="11"/>
        <v>建筑面积</v>
      </c>
      <c r="R30" s="667" t="s">
        <v>14</v>
      </c>
      <c r="S30" s="668" t="e">
        <f t="shared" si="12"/>
        <v>#N/A</v>
      </c>
      <c r="T30" s="667" t="s">
        <v>14</v>
      </c>
      <c r="U30" s="668" t="e">
        <f t="shared" si="13"/>
        <v>#N/A</v>
      </c>
      <c r="V30" s="667" t="s">
        <v>14</v>
      </c>
      <c r="W30" s="668" t="e">
        <f t="shared" si="14"/>
        <v>#N/A</v>
      </c>
      <c r="X30" s="1264"/>
      <c r="Y30" s="3424"/>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24"/>
      <c r="Q31" s="530" t="str">
        <f t="shared" si="11"/>
        <v>是否封闭</v>
      </c>
      <c r="R31" s="664" t="s">
        <v>14</v>
      </c>
      <c r="S31" s="665">
        <f t="shared" si="12"/>
        <v>100</v>
      </c>
      <c r="T31" s="664" t="s">
        <v>14</v>
      </c>
      <c r="U31" s="665">
        <f t="shared" si="13"/>
        <v>100</v>
      </c>
      <c r="V31" s="664" t="s">
        <v>14</v>
      </c>
      <c r="W31" s="665">
        <f t="shared" si="14"/>
        <v>100</v>
      </c>
      <c r="X31" s="666"/>
      <c r="Y31" s="342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24" t="s">
        <v>1696</v>
      </c>
      <c r="Q32" s="1262">
        <f t="shared" si="11"/>
        <v>111</v>
      </c>
      <c r="R32" s="667" t="s">
        <v>14</v>
      </c>
      <c r="S32" s="668">
        <f t="shared" si="12"/>
        <v>100</v>
      </c>
      <c r="T32" s="667" t="s">
        <v>14</v>
      </c>
      <c r="U32" s="668">
        <f t="shared" si="13"/>
        <v>100</v>
      </c>
      <c r="V32" s="667" t="s">
        <v>14</v>
      </c>
      <c r="W32" s="668">
        <f t="shared" si="14"/>
        <v>100</v>
      </c>
      <c r="X32" s="1264"/>
      <c r="Y32" s="3424"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24"/>
      <c r="Q33" s="1262">
        <f t="shared" si="11"/>
        <v>111</v>
      </c>
      <c r="R33" s="667" t="s">
        <v>14</v>
      </c>
      <c r="S33" s="668">
        <f t="shared" si="12"/>
        <v>100</v>
      </c>
      <c r="T33" s="667" t="s">
        <v>14</v>
      </c>
      <c r="U33" s="668">
        <f t="shared" si="13"/>
        <v>100</v>
      </c>
      <c r="V33" s="667" t="s">
        <v>14</v>
      </c>
      <c r="W33" s="668">
        <f t="shared" si="14"/>
        <v>100</v>
      </c>
      <c r="X33" s="1264"/>
      <c r="Y33" s="3424"/>
      <c r="Z33" s="1263">
        <f t="shared" si="15"/>
        <v>111</v>
      </c>
      <c r="AA33" s="1263">
        <f t="shared" si="3"/>
        <v>1</v>
      </c>
      <c r="AB33" s="1263">
        <f t="shared" si="4"/>
        <v>1</v>
      </c>
      <c r="AC33" s="1263">
        <f t="shared" si="5"/>
        <v>1</v>
      </c>
    </row>
    <row r="34" spans="1:30" ht="15.75"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424"/>
      <c r="Q34" s="1262">
        <f t="shared" si="11"/>
        <v>111</v>
      </c>
      <c r="R34" s="667" t="s">
        <v>14</v>
      </c>
      <c r="S34" s="668">
        <f t="shared" si="12"/>
        <v>100</v>
      </c>
      <c r="T34" s="667" t="s">
        <v>14</v>
      </c>
      <c r="U34" s="668">
        <f t="shared" si="13"/>
        <v>100</v>
      </c>
      <c r="V34" s="667" t="s">
        <v>14</v>
      </c>
      <c r="W34" s="668">
        <f t="shared" si="14"/>
        <v>100</v>
      </c>
      <c r="X34" s="1264"/>
      <c r="Y34" s="3424"/>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2"/>
      <c r="M35" s="2485"/>
      <c r="N35" s="2485"/>
      <c r="O35" s="2485"/>
      <c r="P35" s="3418" t="str">
        <f>A35</f>
        <v>成交单价（元/平方米）</v>
      </c>
      <c r="Q35" s="3418"/>
      <c r="R35" s="3413">
        <f>E35</f>
        <v>0</v>
      </c>
      <c r="S35" s="3413"/>
      <c r="T35" s="3413">
        <f>G35</f>
        <v>0</v>
      </c>
      <c r="U35" s="3413"/>
      <c r="V35" s="3413">
        <f>I35</f>
        <v>0</v>
      </c>
      <c r="W35" s="3413"/>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2"/>
      <c r="M36" s="2485"/>
      <c r="N36" s="2485"/>
      <c r="O36" s="2485"/>
      <c r="P36" s="3418" t="str">
        <f>A36</f>
        <v>比较价值（元/平方米）</v>
      </c>
      <c r="Q36" s="3418"/>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15" t="str">
        <f>A37</f>
        <v>估价对象XX用房的比较价值（楼面单价，元/平方米）</v>
      </c>
      <c r="Q37" s="3416"/>
      <c r="R37" s="3472" t="e">
        <f>IF(F1="售价",ROUND(IF(D36="简单平均",AVERAGE(R36:W36),R36*F36+T36*H36+V36*J36),0),ROUND(IF(D36="简单平均",AVERAGE(R36:V36),R36*F36+T36*H36+V36*J36),1))</f>
        <v>#DIV/0!</v>
      </c>
      <c r="S37" s="3472"/>
      <c r="T37" s="3472"/>
      <c r="U37" s="3472"/>
      <c r="V37" s="3472"/>
      <c r="W37" s="3472"/>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2012-7</v>
      </c>
      <c r="D46" s="1103">
        <f>EDATE(C46,-1)</f>
        <v>41061</v>
      </c>
      <c r="E46" s="1103">
        <f t="shared" ref="E46:O46" si="16">EDATE(D46,-1)</f>
        <v>41030</v>
      </c>
      <c r="F46" s="1103">
        <f t="shared" si="16"/>
        <v>41000</v>
      </c>
      <c r="G46" s="1103">
        <f t="shared" si="16"/>
        <v>40969</v>
      </c>
      <c r="H46" s="1103">
        <f t="shared" si="16"/>
        <v>40940</v>
      </c>
      <c r="I46" s="1103">
        <f t="shared" si="16"/>
        <v>40909</v>
      </c>
      <c r="J46" s="1103">
        <f t="shared" si="16"/>
        <v>40878</v>
      </c>
      <c r="K46" s="1103">
        <f t="shared" si="16"/>
        <v>40848</v>
      </c>
      <c r="L46" s="1103">
        <f t="shared" si="16"/>
        <v>40817</v>
      </c>
      <c r="M46" s="1103">
        <f t="shared" si="16"/>
        <v>40787</v>
      </c>
      <c r="N46" s="1103">
        <f t="shared" si="16"/>
        <v>40756</v>
      </c>
      <c r="O46" s="1103">
        <f t="shared" si="16"/>
        <v>40725</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455" t="s">
        <v>1673</v>
      </c>
      <c r="D5" s="3395"/>
      <c r="E5" s="3454" t="s">
        <v>1674</v>
      </c>
      <c r="F5" s="3393"/>
      <c r="G5" s="3455" t="s">
        <v>1675</v>
      </c>
      <c r="H5" s="3395"/>
      <c r="I5" s="3455" t="s">
        <v>1676</v>
      </c>
      <c r="J5" s="3395"/>
      <c r="K5" s="537"/>
      <c r="L5" s="2484"/>
      <c r="M5" s="2485"/>
      <c r="N5" s="2485"/>
      <c r="O5" s="2485"/>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41106</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86" t="s">
        <v>1683</v>
      </c>
      <c r="Q8" s="3387"/>
      <c r="R8" s="664" t="s">
        <v>14</v>
      </c>
      <c r="S8" s="665">
        <f t="shared" si="0"/>
        <v>0</v>
      </c>
      <c r="T8" s="664" t="s">
        <v>14</v>
      </c>
      <c r="U8" s="665">
        <f t="shared" si="1"/>
        <v>0</v>
      </c>
      <c r="V8" s="664" t="s">
        <v>14</v>
      </c>
      <c r="W8" s="665">
        <f t="shared" si="2"/>
        <v>0</v>
      </c>
      <c r="X8" s="666"/>
      <c r="Y8" s="3386" t="s">
        <v>1683</v>
      </c>
      <c r="Z8" s="3387"/>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418"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18"/>
      <c r="Q10" s="530" t="str">
        <f t="shared" si="6"/>
        <v>土地使用年限（年）</v>
      </c>
      <c r="R10" s="664" t="s">
        <v>14</v>
      </c>
      <c r="S10" s="665" t="e">
        <f t="shared" si="0"/>
        <v>#DIV/0!</v>
      </c>
      <c r="T10" s="664" t="s">
        <v>14</v>
      </c>
      <c r="U10" s="665" t="e">
        <f t="shared" si="1"/>
        <v>#DIV/0!</v>
      </c>
      <c r="V10" s="664" t="s">
        <v>14</v>
      </c>
      <c r="W10" s="665" t="e">
        <f t="shared" si="2"/>
        <v>#DIV/0!</v>
      </c>
      <c r="X10" s="666"/>
      <c r="Y10" s="335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8"/>
      <c r="Q11" s="530" t="str">
        <f t="shared" si="6"/>
        <v>容积率</v>
      </c>
      <c r="R11" s="664" t="s">
        <v>14</v>
      </c>
      <c r="S11" s="665" t="e">
        <f t="shared" si="0"/>
        <v>#N/A</v>
      </c>
      <c r="T11" s="664" t="s">
        <v>14</v>
      </c>
      <c r="U11" s="665" t="e">
        <f t="shared" si="1"/>
        <v>#N/A</v>
      </c>
      <c r="V11" s="664" t="s">
        <v>14</v>
      </c>
      <c r="W11" s="665" t="e">
        <f t="shared" si="2"/>
        <v>#N/A</v>
      </c>
      <c r="X11" s="666"/>
      <c r="Y11" s="33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18"/>
      <c r="Q12" s="530" t="str">
        <f t="shared" si="6"/>
        <v>配建</v>
      </c>
      <c r="R12" s="664" t="s">
        <v>14</v>
      </c>
      <c r="S12" s="665">
        <f t="shared" si="0"/>
        <v>100</v>
      </c>
      <c r="T12" s="664" t="s">
        <v>14</v>
      </c>
      <c r="U12" s="665">
        <f t="shared" si="1"/>
        <v>100</v>
      </c>
      <c r="V12" s="664" t="s">
        <v>14</v>
      </c>
      <c r="W12" s="665">
        <f t="shared" si="2"/>
        <v>100</v>
      </c>
      <c r="X12" s="666"/>
      <c r="Y12" s="33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8"/>
      <c r="Q13" s="530">
        <f t="shared" si="6"/>
        <v>111</v>
      </c>
      <c r="R13" s="664" t="s">
        <v>14</v>
      </c>
      <c r="S13" s="665">
        <f t="shared" si="0"/>
        <v>100</v>
      </c>
      <c r="T13" s="664" t="s">
        <v>14</v>
      </c>
      <c r="U13" s="665">
        <f t="shared" si="1"/>
        <v>100</v>
      </c>
      <c r="V13" s="664" t="s">
        <v>14</v>
      </c>
      <c r="W13" s="665">
        <f t="shared" si="2"/>
        <v>100</v>
      </c>
      <c r="X13" s="666"/>
      <c r="Y13" s="3356"/>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8"/>
      <c r="Q14" s="530">
        <f t="shared" si="6"/>
        <v>111</v>
      </c>
      <c r="R14" s="664" t="s">
        <v>14</v>
      </c>
      <c r="S14" s="665">
        <f t="shared" si="0"/>
        <v>100</v>
      </c>
      <c r="T14" s="664" t="s">
        <v>14</v>
      </c>
      <c r="U14" s="665">
        <f t="shared" si="1"/>
        <v>100</v>
      </c>
      <c r="V14" s="664" t="s">
        <v>14</v>
      </c>
      <c r="W14" s="665">
        <f t="shared" si="2"/>
        <v>100</v>
      </c>
      <c r="X14" s="666"/>
      <c r="Y14" s="3356"/>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9" t="s">
        <v>1691</v>
      </c>
      <c r="Q15" s="1262" t="str">
        <f t="shared" si="6"/>
        <v>居住社区成熟度</v>
      </c>
      <c r="R15" s="667" t="s">
        <v>14</v>
      </c>
      <c r="S15" s="668">
        <f t="shared" si="0"/>
        <v>100</v>
      </c>
      <c r="T15" s="667" t="s">
        <v>14</v>
      </c>
      <c r="U15" s="668">
        <f t="shared" si="1"/>
        <v>100</v>
      </c>
      <c r="V15" s="667" t="s">
        <v>14</v>
      </c>
      <c r="W15" s="668">
        <f t="shared" si="2"/>
        <v>100</v>
      </c>
      <c r="X15" s="1264"/>
      <c r="Y15" s="3419"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420"/>
      <c r="Q16" s="1262"/>
      <c r="R16" s="667"/>
      <c r="S16" s="668"/>
      <c r="T16" s="667"/>
      <c r="U16" s="668"/>
      <c r="V16" s="667"/>
      <c r="W16" s="668"/>
      <c r="X16" s="1264"/>
      <c r="Y16" s="3420"/>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20"/>
      <c r="Q17" s="1262" t="str">
        <f>B17</f>
        <v>商业繁华度</v>
      </c>
      <c r="R17" s="667" t="s">
        <v>14</v>
      </c>
      <c r="S17" s="668">
        <f>F17</f>
        <v>100</v>
      </c>
      <c r="T17" s="667" t="s">
        <v>14</v>
      </c>
      <c r="U17" s="668">
        <f>H17</f>
        <v>100</v>
      </c>
      <c r="V17" s="667" t="s">
        <v>14</v>
      </c>
      <c r="W17" s="668">
        <f>J17</f>
        <v>100</v>
      </c>
      <c r="X17" s="1264"/>
      <c r="Y17" s="3420"/>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420"/>
      <c r="Q18" s="1262"/>
      <c r="R18" s="667"/>
      <c r="S18" s="668"/>
      <c r="T18" s="667"/>
      <c r="U18" s="668"/>
      <c r="V18" s="667"/>
      <c r="W18" s="668"/>
      <c r="X18" s="1264"/>
      <c r="Y18" s="3420"/>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20"/>
      <c r="Q19" s="1262" t="str">
        <f>B19</f>
        <v>办公集聚程度</v>
      </c>
      <c r="R19" s="667" t="s">
        <v>14</v>
      </c>
      <c r="S19" s="668">
        <f>F19</f>
        <v>100</v>
      </c>
      <c r="T19" s="667" t="s">
        <v>14</v>
      </c>
      <c r="U19" s="668">
        <f>H19</f>
        <v>100</v>
      </c>
      <c r="V19" s="667" t="s">
        <v>14</v>
      </c>
      <c r="W19" s="668">
        <f>J19</f>
        <v>100</v>
      </c>
      <c r="X19" s="1264"/>
      <c r="Y19" s="3420"/>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420"/>
      <c r="Q20" s="1262"/>
      <c r="R20" s="667"/>
      <c r="S20" s="668"/>
      <c r="T20" s="667"/>
      <c r="U20" s="668"/>
      <c r="V20" s="667"/>
      <c r="W20" s="668"/>
      <c r="X20" s="1264"/>
      <c r="Y20" s="3420"/>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20"/>
      <c r="Q21" s="1262" t="str">
        <f>B21</f>
        <v>交通便捷度</v>
      </c>
      <c r="R21" s="667" t="s">
        <v>14</v>
      </c>
      <c r="S21" s="668">
        <f>F21</f>
        <v>100</v>
      </c>
      <c r="T21" s="667" t="s">
        <v>14</v>
      </c>
      <c r="U21" s="668">
        <f>H21</f>
        <v>100</v>
      </c>
      <c r="V21" s="667" t="s">
        <v>14</v>
      </c>
      <c r="W21" s="668">
        <f>J21</f>
        <v>100</v>
      </c>
      <c r="X21" s="1264"/>
      <c r="Y21" s="3420"/>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420"/>
      <c r="Q22" s="1262"/>
      <c r="R22" s="667"/>
      <c r="S22" s="668"/>
      <c r="T22" s="667"/>
      <c r="U22" s="668"/>
      <c r="V22" s="667"/>
      <c r="W22" s="668"/>
      <c r="X22" s="1264"/>
      <c r="Y22" s="3420"/>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20"/>
      <c r="Q23" s="1262" t="str">
        <f t="shared" ref="Q23:Q37" si="8">B23</f>
        <v>区域土地利用方向</v>
      </c>
      <c r="R23" s="667" t="s">
        <v>14</v>
      </c>
      <c r="S23" s="668">
        <f>F23</f>
        <v>100</v>
      </c>
      <c r="T23" s="667" t="s">
        <v>14</v>
      </c>
      <c r="U23" s="668">
        <f>H23</f>
        <v>100</v>
      </c>
      <c r="V23" s="667" t="s">
        <v>14</v>
      </c>
      <c r="W23" s="668">
        <f>J23</f>
        <v>100</v>
      </c>
      <c r="X23" s="1264"/>
      <c r="Y23" s="3420"/>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420"/>
      <c r="Q24" s="1262"/>
      <c r="R24" s="667"/>
      <c r="S24" s="668"/>
      <c r="T24" s="667"/>
      <c r="U24" s="668"/>
      <c r="V24" s="667"/>
      <c r="W24" s="668"/>
      <c r="X24" s="1264"/>
      <c r="Y24" s="3420"/>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20"/>
      <c r="Q25" s="1262" t="str">
        <f t="shared" si="8"/>
        <v>自然及人文环境状况</v>
      </c>
      <c r="R25" s="667" t="s">
        <v>14</v>
      </c>
      <c r="S25" s="668">
        <f>F25</f>
        <v>100</v>
      </c>
      <c r="T25" s="667" t="s">
        <v>14</v>
      </c>
      <c r="U25" s="668">
        <f>H25</f>
        <v>100</v>
      </c>
      <c r="V25" s="667" t="s">
        <v>14</v>
      </c>
      <c r="W25" s="668">
        <f>J25</f>
        <v>100</v>
      </c>
      <c r="X25" s="1264"/>
      <c r="Y25" s="3420"/>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420"/>
      <c r="Q26" s="1262"/>
      <c r="R26" s="667"/>
      <c r="S26" s="668"/>
      <c r="T26" s="667"/>
      <c r="U26" s="668"/>
      <c r="V26" s="667"/>
      <c r="W26" s="668"/>
      <c r="X26" s="1264"/>
      <c r="Y26" s="3420"/>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20"/>
      <c r="Q27" s="530" t="str">
        <f t="shared" si="8"/>
        <v>公共配套设施</v>
      </c>
      <c r="R27" s="664" t="s">
        <v>14</v>
      </c>
      <c r="S27" s="665">
        <f>F27</f>
        <v>100</v>
      </c>
      <c r="T27" s="664" t="s">
        <v>14</v>
      </c>
      <c r="U27" s="665">
        <f>H27</f>
        <v>100</v>
      </c>
      <c r="V27" s="664" t="s">
        <v>14</v>
      </c>
      <c r="W27" s="665">
        <f>J27</f>
        <v>100</v>
      </c>
      <c r="X27" s="666"/>
      <c r="Y27" s="3420"/>
      <c r="Z27" s="50" t="str">
        <f>Q27</f>
        <v>公共配套设施</v>
      </c>
      <c r="AA27" s="1263">
        <f>D27/F27</f>
        <v>1</v>
      </c>
      <c r="AB27" s="1263">
        <f>D27/H27</f>
        <v>1</v>
      </c>
      <c r="AC27" s="1263">
        <f>D27/J27</f>
        <v>1</v>
      </c>
    </row>
    <row r="28" spans="1:29" s="102" customFormat="1" ht="15">
      <c r="A28" s="443"/>
      <c r="B28" s="395"/>
      <c r="C28" s="1824"/>
      <c r="D28" s="387"/>
      <c r="E28" s="1757"/>
      <c r="F28" s="387"/>
      <c r="G28" s="1757"/>
      <c r="H28" s="387"/>
      <c r="I28" s="386"/>
      <c r="J28" s="387"/>
      <c r="K28" s="592"/>
      <c r="L28" s="2486"/>
      <c r="M28" s="2437"/>
      <c r="N28" s="2437"/>
      <c r="O28" s="2538"/>
      <c r="P28" s="3420"/>
      <c r="Q28" s="530"/>
      <c r="R28" s="664"/>
      <c r="S28" s="665"/>
      <c r="T28" s="664"/>
      <c r="U28" s="665"/>
      <c r="V28" s="664"/>
      <c r="W28" s="665"/>
      <c r="X28" s="666"/>
      <c r="Y28" s="3420"/>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20"/>
      <c r="Q29" s="530" t="str">
        <f t="shared" ref="Q29" si="9">B29</f>
        <v>基础设施水平</v>
      </c>
      <c r="R29" s="664" t="s">
        <v>14</v>
      </c>
      <c r="S29" s="665">
        <f>F29</f>
        <v>100</v>
      </c>
      <c r="T29" s="664" t="s">
        <v>14</v>
      </c>
      <c r="U29" s="665">
        <f>H29</f>
        <v>100</v>
      </c>
      <c r="V29" s="664" t="s">
        <v>14</v>
      </c>
      <c r="W29" s="665">
        <f>J29</f>
        <v>100</v>
      </c>
      <c r="X29" s="666"/>
      <c r="Y29" s="3420"/>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6"/>
      <c r="M30" s="2437"/>
      <c r="N30" s="2437"/>
      <c r="O30" s="2538"/>
      <c r="P30" s="3420"/>
      <c r="Q30" s="530"/>
      <c r="R30" s="664"/>
      <c r="S30" s="665"/>
      <c r="T30" s="664"/>
      <c r="U30" s="665"/>
      <c r="V30" s="664"/>
      <c r="W30" s="665"/>
      <c r="X30" s="666"/>
      <c r="Y30" s="3420"/>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20"/>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20"/>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20"/>
      <c r="Q32" s="1262" t="str">
        <f t="shared" si="8"/>
        <v>毗邻道路的类型与等级</v>
      </c>
      <c r="R32" s="667" t="s">
        <v>14</v>
      </c>
      <c r="S32" s="668">
        <f t="shared" si="10"/>
        <v>100</v>
      </c>
      <c r="T32" s="667" t="s">
        <v>14</v>
      </c>
      <c r="U32" s="668">
        <f t="shared" si="11"/>
        <v>100</v>
      </c>
      <c r="V32" s="667" t="s">
        <v>14</v>
      </c>
      <c r="W32" s="668">
        <f t="shared" si="12"/>
        <v>100</v>
      </c>
      <c r="X32" s="1264"/>
      <c r="Y32" s="3420"/>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420"/>
      <c r="Q33" s="1262"/>
      <c r="R33" s="667"/>
      <c r="S33" s="668"/>
      <c r="T33" s="667"/>
      <c r="U33" s="668"/>
      <c r="V33" s="667"/>
      <c r="W33" s="668"/>
      <c r="X33" s="1264"/>
      <c r="Y33" s="3420"/>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20"/>
      <c r="Q34" s="1262" t="str">
        <f t="shared" si="8"/>
        <v>土地级别</v>
      </c>
      <c r="R34" s="667" t="s">
        <v>14</v>
      </c>
      <c r="S34" s="668">
        <f t="shared" si="10"/>
        <v>100</v>
      </c>
      <c r="T34" s="667" t="s">
        <v>14</v>
      </c>
      <c r="U34" s="668">
        <f t="shared" si="11"/>
        <v>100</v>
      </c>
      <c r="V34" s="667" t="s">
        <v>14</v>
      </c>
      <c r="W34" s="668">
        <f t="shared" si="12"/>
        <v>100</v>
      </c>
      <c r="X34" s="1264"/>
      <c r="Y34" s="3420"/>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20"/>
      <c r="Q35" s="1262">
        <f t="shared" si="8"/>
        <v>111</v>
      </c>
      <c r="R35" s="667" t="s">
        <v>14</v>
      </c>
      <c r="S35" s="668">
        <f t="shared" si="10"/>
        <v>100</v>
      </c>
      <c r="T35" s="667" t="s">
        <v>14</v>
      </c>
      <c r="U35" s="668">
        <f t="shared" si="11"/>
        <v>100</v>
      </c>
      <c r="V35" s="667" t="s">
        <v>14</v>
      </c>
      <c r="W35" s="668">
        <f t="shared" si="12"/>
        <v>100</v>
      </c>
      <c r="X35" s="1264"/>
      <c r="Y35" s="3420"/>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1" t="s">
        <v>1696</v>
      </c>
      <c r="Q36" s="1262">
        <f t="shared" si="8"/>
        <v>111</v>
      </c>
      <c r="R36" s="667" t="s">
        <v>14</v>
      </c>
      <c r="S36" s="668">
        <f t="shared" si="10"/>
        <v>100</v>
      </c>
      <c r="T36" s="667" t="s">
        <v>14</v>
      </c>
      <c r="U36" s="668">
        <f t="shared" si="11"/>
        <v>100</v>
      </c>
      <c r="V36" s="667" t="s">
        <v>14</v>
      </c>
      <c r="W36" s="668">
        <f t="shared" si="12"/>
        <v>100</v>
      </c>
      <c r="X36" s="1264"/>
      <c r="Y36" s="3424"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24"/>
      <c r="Q37" s="1262">
        <f t="shared" si="8"/>
        <v>111</v>
      </c>
      <c r="R37" s="669" t="s">
        <v>14</v>
      </c>
      <c r="S37" s="670">
        <f t="shared" si="10"/>
        <v>100</v>
      </c>
      <c r="T37" s="669" t="s">
        <v>14</v>
      </c>
      <c r="U37" s="670">
        <f t="shared" si="11"/>
        <v>100</v>
      </c>
      <c r="V37" s="669" t="s">
        <v>14</v>
      </c>
      <c r="W37" s="670">
        <f t="shared" si="12"/>
        <v>100</v>
      </c>
      <c r="X37" s="671"/>
      <c r="Y37" s="3424"/>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24"/>
      <c r="Q38" s="1262" t="str">
        <f>B38</f>
        <v>宗地面积</v>
      </c>
      <c r="R38" s="667" t="s">
        <v>14</v>
      </c>
      <c r="S38" s="668" t="e">
        <f t="shared" si="10"/>
        <v>#N/A</v>
      </c>
      <c r="T38" s="667" t="s">
        <v>14</v>
      </c>
      <c r="U38" s="668" t="e">
        <f t="shared" si="11"/>
        <v>#N/A</v>
      </c>
      <c r="V38" s="667" t="s">
        <v>14</v>
      </c>
      <c r="W38" s="668" t="e">
        <f t="shared" si="12"/>
        <v>#N/A</v>
      </c>
      <c r="X38" s="1264"/>
      <c r="Y38" s="3424"/>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24"/>
      <c r="Q39" s="1262" t="str">
        <f t="shared" ref="Q39:Q45" si="14">B39</f>
        <v>宗地形状</v>
      </c>
      <c r="R39" s="667" t="s">
        <v>14</v>
      </c>
      <c r="S39" s="668">
        <f t="shared" si="10"/>
        <v>100</v>
      </c>
      <c r="T39" s="667" t="s">
        <v>14</v>
      </c>
      <c r="U39" s="668">
        <f t="shared" si="11"/>
        <v>100</v>
      </c>
      <c r="V39" s="667" t="s">
        <v>14</v>
      </c>
      <c r="W39" s="668">
        <f t="shared" si="12"/>
        <v>100</v>
      </c>
      <c r="X39" s="1264"/>
      <c r="Y39" s="3424"/>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24"/>
      <c r="Q40" s="1262" t="str">
        <f t="shared" si="14"/>
        <v>临街宽度及深度</v>
      </c>
      <c r="R40" s="667" t="s">
        <v>14</v>
      </c>
      <c r="S40" s="668">
        <f t="shared" si="10"/>
        <v>100</v>
      </c>
      <c r="T40" s="667" t="s">
        <v>14</v>
      </c>
      <c r="U40" s="668">
        <f t="shared" si="11"/>
        <v>100</v>
      </c>
      <c r="V40" s="667" t="s">
        <v>14</v>
      </c>
      <c r="W40" s="668">
        <f t="shared" si="12"/>
        <v>100</v>
      </c>
      <c r="X40" s="1264"/>
      <c r="Y40" s="3424"/>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424"/>
      <c r="Q41" s="1262" t="str">
        <f t="shared" si="14"/>
        <v>宗地开发程度</v>
      </c>
      <c r="R41" s="664" t="s">
        <v>14</v>
      </c>
      <c r="S41" s="665">
        <f t="shared" si="10"/>
        <v>100</v>
      </c>
      <c r="T41" s="664" t="s">
        <v>14</v>
      </c>
      <c r="U41" s="665">
        <f t="shared" si="11"/>
        <v>100</v>
      </c>
      <c r="V41" s="664" t="s">
        <v>14</v>
      </c>
      <c r="W41" s="665">
        <f t="shared" si="12"/>
        <v>100</v>
      </c>
      <c r="X41" s="666"/>
      <c r="Y41" s="3424"/>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24" t="s">
        <v>1696</v>
      </c>
      <c r="Q42" s="1262" t="str">
        <f t="shared" si="14"/>
        <v>工程地质条件</v>
      </c>
      <c r="R42" s="667" t="s">
        <v>14</v>
      </c>
      <c r="S42" s="668">
        <f t="shared" si="10"/>
        <v>100</v>
      </c>
      <c r="T42" s="667" t="s">
        <v>14</v>
      </c>
      <c r="U42" s="668">
        <f t="shared" si="11"/>
        <v>100</v>
      </c>
      <c r="V42" s="667" t="s">
        <v>14</v>
      </c>
      <c r="W42" s="668">
        <f t="shared" si="12"/>
        <v>100</v>
      </c>
      <c r="X42" s="1264"/>
      <c r="Y42" s="3424"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24"/>
      <c r="Q43" s="1262">
        <f t="shared" si="14"/>
        <v>111</v>
      </c>
      <c r="R43" s="667" t="s">
        <v>14</v>
      </c>
      <c r="S43" s="668">
        <f t="shared" si="10"/>
        <v>100</v>
      </c>
      <c r="T43" s="667" t="s">
        <v>14</v>
      </c>
      <c r="U43" s="668">
        <f t="shared" si="11"/>
        <v>100</v>
      </c>
      <c r="V43" s="667" t="s">
        <v>14</v>
      </c>
      <c r="W43" s="668">
        <f t="shared" si="12"/>
        <v>100</v>
      </c>
      <c r="X43" s="1264"/>
      <c r="Y43" s="3424"/>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24"/>
      <c r="Q44" s="1262">
        <f t="shared" si="14"/>
        <v>111</v>
      </c>
      <c r="R44" s="667" t="s">
        <v>14</v>
      </c>
      <c r="S44" s="668">
        <f t="shared" si="10"/>
        <v>100</v>
      </c>
      <c r="T44" s="667" t="s">
        <v>14</v>
      </c>
      <c r="U44" s="668">
        <f t="shared" si="11"/>
        <v>100</v>
      </c>
      <c r="V44" s="667" t="s">
        <v>14</v>
      </c>
      <c r="W44" s="668">
        <f t="shared" si="12"/>
        <v>100</v>
      </c>
      <c r="X44" s="1264"/>
      <c r="Y44" s="3424"/>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24"/>
      <c r="Q45" s="1262">
        <f t="shared" si="14"/>
        <v>111</v>
      </c>
      <c r="R45" s="669" t="s">
        <v>14</v>
      </c>
      <c r="S45" s="670">
        <f t="shared" si="10"/>
        <v>100</v>
      </c>
      <c r="T45" s="669" t="s">
        <v>14</v>
      </c>
      <c r="U45" s="670">
        <f t="shared" si="11"/>
        <v>100</v>
      </c>
      <c r="V45" s="669" t="s">
        <v>14</v>
      </c>
      <c r="W45" s="670">
        <f t="shared" si="12"/>
        <v>100</v>
      </c>
      <c r="X45" s="671"/>
      <c r="Y45" s="3424"/>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2"/>
      <c r="M46" s="2485"/>
      <c r="N46" s="2485"/>
      <c r="O46" s="2485"/>
      <c r="P46" s="3418" t="str">
        <f>A46</f>
        <v>成交单价</v>
      </c>
      <c r="Q46" s="3418"/>
      <c r="R46" s="3413">
        <f>E46</f>
        <v>0</v>
      </c>
      <c r="S46" s="3413"/>
      <c r="T46" s="3413">
        <f>G46</f>
        <v>0</v>
      </c>
      <c r="U46" s="3413"/>
      <c r="V46" s="3413">
        <f>I46</f>
        <v>0</v>
      </c>
      <c r="W46" s="3413"/>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418" t="str">
        <f>A47</f>
        <v>比较价值（元/平方米）</v>
      </c>
      <c r="Q47" s="3418"/>
      <c r="R47" s="3473" t="e">
        <f>ROUND(PRODUCT(R46,AA7:AA45),0)</f>
        <v>#DIV/0!</v>
      </c>
      <c r="S47" s="3473"/>
      <c r="T47" s="3473" t="e">
        <f>ROUND(PRODUCT(T46,AB7:AB45),0)</f>
        <v>#DIV/0!</v>
      </c>
      <c r="U47" s="3473"/>
      <c r="V47" s="3473" t="e">
        <f>ROUND(PRODUCT(V46,AC7:AC45),0)</f>
        <v>#DIV/0!</v>
      </c>
      <c r="W47" s="347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15" t="str">
        <f>A48</f>
        <v>估价对象XX用房的比较价值（楼面单价，元/平方米）</v>
      </c>
      <c r="Q48" s="3416"/>
      <c r="R48" s="3474" t="e">
        <f>ROUND(IF(D47="简单平均",AVERAGE(R47:W47),R47*F47+T47*H47+V47*J47),0)</f>
        <v>#DIV/0!</v>
      </c>
      <c r="S48" s="3474"/>
      <c r="T48" s="3474"/>
      <c r="U48" s="3474"/>
      <c r="V48" s="3474"/>
      <c r="W48" s="347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401" t="s">
        <v>1887</v>
      </c>
      <c r="H55" s="3475"/>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55.92</v>
      </c>
      <c r="F56" s="833" t="e">
        <f t="shared" ref="F56:F64" si="15">ROUND(B56*E56/10000,0)</f>
        <v>#DIV/0!</v>
      </c>
      <c r="G56" s="3400"/>
      <c r="H56" s="3418"/>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55.92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2012-7-1</v>
      </c>
      <c r="D67" s="656">
        <f>EDATE(C67,-3)</f>
        <v>41000</v>
      </c>
      <c r="E67" s="656">
        <f>EDATE(D67,-3)</f>
        <v>40909</v>
      </c>
      <c r="F67" s="656">
        <f t="shared" ref="F67:O67" si="18">EDATE(E67,-3)</f>
        <v>40817</v>
      </c>
      <c r="G67" s="656">
        <f t="shared" si="18"/>
        <v>40725</v>
      </c>
      <c r="H67" s="656">
        <f t="shared" si="18"/>
        <v>40634</v>
      </c>
      <c r="I67" s="656">
        <f t="shared" si="18"/>
        <v>40544</v>
      </c>
      <c r="J67" s="656">
        <f t="shared" si="18"/>
        <v>40452</v>
      </c>
      <c r="K67" s="656">
        <f t="shared" si="18"/>
        <v>40360</v>
      </c>
      <c r="L67" s="656">
        <f t="shared" si="18"/>
        <v>40269</v>
      </c>
      <c r="M67" s="656">
        <f t="shared" si="18"/>
        <v>40179</v>
      </c>
      <c r="N67" s="656">
        <f t="shared" si="18"/>
        <v>40087</v>
      </c>
      <c r="O67" s="656">
        <f t="shared" si="18"/>
        <v>39995</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6"/>
      <c r="C69" s="1100" t="str">
        <f>YEAR(C67)&amp;"-"&amp;ROUNDUP(MONTH(C67)/3,0)</f>
        <v>2012-3</v>
      </c>
      <c r="D69" s="1100" t="str">
        <f>YEAR(D67)&amp;"-"&amp;ROUNDUP(MONTH(D67)/3,0)</f>
        <v>2012-2</v>
      </c>
      <c r="E69" s="1100" t="str">
        <f t="shared" ref="E69:O69" si="19">YEAR(E67)&amp;"-"&amp;ROUNDUP(MONTH(E67)/3,0)</f>
        <v>2012-1</v>
      </c>
      <c r="F69" s="1100" t="str">
        <f t="shared" si="19"/>
        <v>2011-4</v>
      </c>
      <c r="G69" s="1100" t="str">
        <f t="shared" si="19"/>
        <v>2011-3</v>
      </c>
      <c r="H69" s="1100" t="str">
        <f t="shared" si="19"/>
        <v>2011-2</v>
      </c>
      <c r="I69" s="1100" t="str">
        <f t="shared" si="19"/>
        <v>2011-1</v>
      </c>
      <c r="J69" s="1100" t="str">
        <f t="shared" si="19"/>
        <v>2010-4</v>
      </c>
      <c r="K69" s="1100" t="str">
        <f t="shared" si="19"/>
        <v>2010-3</v>
      </c>
      <c r="L69" s="1100" t="str">
        <f t="shared" si="19"/>
        <v>2010-2</v>
      </c>
      <c r="M69" s="1100" t="str">
        <f t="shared" si="19"/>
        <v>2010-1</v>
      </c>
      <c r="N69" s="1100" t="str">
        <f t="shared" si="19"/>
        <v>2009-4</v>
      </c>
      <c r="O69" s="1100" t="str">
        <f t="shared" si="19"/>
        <v>2009-3</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455" t="s">
        <v>1673</v>
      </c>
      <c r="D5" s="3395"/>
      <c r="E5" s="3454" t="s">
        <v>1674</v>
      </c>
      <c r="F5" s="3393"/>
      <c r="G5" s="3455" t="s">
        <v>1675</v>
      </c>
      <c r="H5" s="3395"/>
      <c r="I5" s="3455" t="s">
        <v>1676</v>
      </c>
      <c r="J5" s="3395"/>
      <c r="K5" s="537"/>
      <c r="L5" s="2484"/>
      <c r="M5" s="2485"/>
      <c r="N5" s="2485"/>
      <c r="O5" s="2485"/>
      <c r="P5" s="3407"/>
      <c r="Q5" s="3408"/>
      <c r="R5" s="3390"/>
      <c r="S5" s="3391"/>
      <c r="T5" s="3390"/>
      <c r="U5" s="3391"/>
      <c r="V5" s="3413"/>
      <c r="W5" s="3413"/>
      <c r="X5" s="1264"/>
      <c r="Y5" s="3390"/>
      <c r="Z5" s="3391"/>
      <c r="AA5" s="3384"/>
      <c r="AB5" s="3384"/>
      <c r="AC5" s="3384"/>
    </row>
    <row r="6" spans="1:29" ht="15.75" thickBot="1">
      <c r="A6" s="350"/>
      <c r="B6" s="351"/>
      <c r="C6" s="3476" t="s">
        <v>1919</v>
      </c>
      <c r="D6" s="3477"/>
      <c r="E6" s="3478" t="s">
        <v>1919</v>
      </c>
      <c r="F6" s="3479"/>
      <c r="G6" s="3476" t="s">
        <v>1919</v>
      </c>
      <c r="H6" s="3477"/>
      <c r="I6" s="3476" t="s">
        <v>1919</v>
      </c>
      <c r="J6" s="3477"/>
      <c r="K6" s="537" t="s">
        <v>1678</v>
      </c>
      <c r="L6" s="2484"/>
      <c r="M6" s="2485"/>
      <c r="N6" s="2485"/>
      <c r="O6" s="2485"/>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41106</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86" t="s">
        <v>1683</v>
      </c>
      <c r="Q8" s="3387"/>
      <c r="R8" s="664" t="s">
        <v>14</v>
      </c>
      <c r="S8" s="665">
        <f t="shared" si="0"/>
        <v>0</v>
      </c>
      <c r="T8" s="664" t="s">
        <v>14</v>
      </c>
      <c r="U8" s="665">
        <f t="shared" si="1"/>
        <v>0</v>
      </c>
      <c r="V8" s="664" t="s">
        <v>14</v>
      </c>
      <c r="W8" s="665">
        <f t="shared" si="2"/>
        <v>0</v>
      </c>
      <c r="X8" s="666"/>
      <c r="Y8" s="3386" t="s">
        <v>1683</v>
      </c>
      <c r="Z8" s="3387"/>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418"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18"/>
      <c r="Q10" s="530" t="str">
        <f t="shared" si="6"/>
        <v>土地使用年限（年）</v>
      </c>
      <c r="R10" s="664" t="s">
        <v>14</v>
      </c>
      <c r="S10" s="665" t="e">
        <f t="shared" si="0"/>
        <v>#DIV/0!</v>
      </c>
      <c r="T10" s="664" t="s">
        <v>14</v>
      </c>
      <c r="U10" s="665" t="e">
        <f t="shared" si="1"/>
        <v>#DIV/0!</v>
      </c>
      <c r="V10" s="664" t="s">
        <v>14</v>
      </c>
      <c r="W10" s="665" t="e">
        <f t="shared" si="2"/>
        <v>#DIV/0!</v>
      </c>
      <c r="X10" s="666"/>
      <c r="Y10" s="335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8"/>
      <c r="Q11" s="530" t="str">
        <f t="shared" si="6"/>
        <v>容积率</v>
      </c>
      <c r="R11" s="664" t="s">
        <v>14</v>
      </c>
      <c r="S11" s="665" t="e">
        <f t="shared" si="0"/>
        <v>#N/A</v>
      </c>
      <c r="T11" s="664" t="s">
        <v>14</v>
      </c>
      <c r="U11" s="665" t="e">
        <f t="shared" si="1"/>
        <v>#N/A</v>
      </c>
      <c r="V11" s="664" t="s">
        <v>14</v>
      </c>
      <c r="W11" s="665" t="e">
        <f t="shared" si="2"/>
        <v>#N/A</v>
      </c>
      <c r="X11" s="666"/>
      <c r="Y11" s="33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18"/>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8"/>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8"/>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19" t="s">
        <v>1691</v>
      </c>
      <c r="Q15" s="1262" t="str">
        <f t="shared" si="6"/>
        <v>产业集聚程度</v>
      </c>
      <c r="R15" s="667" t="s">
        <v>14</v>
      </c>
      <c r="S15" s="668">
        <f t="shared" si="0"/>
        <v>100</v>
      </c>
      <c r="T15" s="667" t="s">
        <v>14</v>
      </c>
      <c r="U15" s="668">
        <f t="shared" si="1"/>
        <v>100</v>
      </c>
      <c r="V15" s="667" t="s">
        <v>14</v>
      </c>
      <c r="W15" s="668">
        <f t="shared" si="2"/>
        <v>100</v>
      </c>
      <c r="X15" s="1264"/>
      <c r="Y15" s="3419"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420"/>
      <c r="Q16" s="1262"/>
      <c r="R16" s="667"/>
      <c r="S16" s="668"/>
      <c r="T16" s="667"/>
      <c r="U16" s="668"/>
      <c r="V16" s="667"/>
      <c r="W16" s="668"/>
      <c r="X16" s="1264"/>
      <c r="Y16" s="3420"/>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20"/>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420"/>
      <c r="Q18" s="1262"/>
      <c r="R18" s="667"/>
      <c r="S18" s="668"/>
      <c r="T18" s="667"/>
      <c r="U18" s="668"/>
      <c r="V18" s="667"/>
      <c r="W18" s="668"/>
      <c r="X18" s="1264"/>
      <c r="Y18" s="3420"/>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20"/>
      <c r="Q19" s="1262" t="str">
        <f t="shared" ref="Q19:Q33" si="8">B19</f>
        <v>区域土地利用方向</v>
      </c>
      <c r="R19" s="667" t="s">
        <v>14</v>
      </c>
      <c r="S19" s="668">
        <f>F19</f>
        <v>100</v>
      </c>
      <c r="T19" s="667" t="s">
        <v>14</v>
      </c>
      <c r="U19" s="668">
        <f>H19</f>
        <v>100</v>
      </c>
      <c r="V19" s="667" t="s">
        <v>14</v>
      </c>
      <c r="W19" s="668">
        <f>J19</f>
        <v>100</v>
      </c>
      <c r="X19" s="1264"/>
      <c r="Y19" s="3420"/>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420"/>
      <c r="Q20" s="1262"/>
      <c r="R20" s="667"/>
      <c r="S20" s="668"/>
      <c r="T20" s="667"/>
      <c r="U20" s="668"/>
      <c r="V20" s="667"/>
      <c r="W20" s="668"/>
      <c r="X20" s="1264"/>
      <c r="Y20" s="3420"/>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20"/>
      <c r="Q21" s="1262" t="str">
        <f t="shared" si="8"/>
        <v>环境状况</v>
      </c>
      <c r="R21" s="667" t="s">
        <v>14</v>
      </c>
      <c r="S21" s="668">
        <f>F21</f>
        <v>100</v>
      </c>
      <c r="T21" s="667" t="s">
        <v>14</v>
      </c>
      <c r="U21" s="668">
        <f>H21</f>
        <v>100</v>
      </c>
      <c r="V21" s="667" t="s">
        <v>14</v>
      </c>
      <c r="W21" s="668">
        <f>J21</f>
        <v>100</v>
      </c>
      <c r="X21" s="1264"/>
      <c r="Y21" s="3420"/>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420"/>
      <c r="Q22" s="1262"/>
      <c r="R22" s="667"/>
      <c r="S22" s="668"/>
      <c r="T22" s="667"/>
      <c r="U22" s="668"/>
      <c r="V22" s="667"/>
      <c r="W22" s="668"/>
      <c r="X22" s="1264"/>
      <c r="Y22" s="3420"/>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20"/>
      <c r="Q23" s="530" t="str">
        <f t="shared" si="8"/>
        <v>公共配套设施</v>
      </c>
      <c r="R23" s="664" t="s">
        <v>14</v>
      </c>
      <c r="S23" s="665">
        <f>F23</f>
        <v>100</v>
      </c>
      <c r="T23" s="664" t="s">
        <v>14</v>
      </c>
      <c r="U23" s="665">
        <f>H23</f>
        <v>100</v>
      </c>
      <c r="V23" s="664" t="s">
        <v>14</v>
      </c>
      <c r="W23" s="665">
        <f>J23</f>
        <v>100</v>
      </c>
      <c r="X23" s="666"/>
      <c r="Y23" s="3420"/>
      <c r="Z23" s="50" t="str">
        <f>Q23</f>
        <v>公共配套设施</v>
      </c>
      <c r="AA23" s="1263">
        <f>D23/F23</f>
        <v>1</v>
      </c>
      <c r="AB23" s="1263">
        <f>D23/H23</f>
        <v>1</v>
      </c>
      <c r="AC23" s="1263">
        <f>D23/J23</f>
        <v>1</v>
      </c>
    </row>
    <row r="24" spans="1:29" s="102" customFormat="1" ht="15">
      <c r="A24" s="443"/>
      <c r="B24" s="401"/>
      <c r="C24" s="1824"/>
      <c r="D24" s="387"/>
      <c r="E24" s="1757"/>
      <c r="F24" s="387"/>
      <c r="G24" s="1757"/>
      <c r="H24" s="387"/>
      <c r="I24" s="386"/>
      <c r="J24" s="387"/>
      <c r="K24" s="592"/>
      <c r="L24" s="2486"/>
      <c r="M24" s="2437"/>
      <c r="N24" s="2437"/>
      <c r="O24" s="2538"/>
      <c r="P24" s="3420"/>
      <c r="Q24" s="530"/>
      <c r="R24" s="664"/>
      <c r="S24" s="665"/>
      <c r="T24" s="664"/>
      <c r="U24" s="665"/>
      <c r="V24" s="664"/>
      <c r="W24" s="665"/>
      <c r="X24" s="666"/>
      <c r="Y24" s="3420"/>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20"/>
      <c r="Q25" s="530" t="str">
        <f t="shared" ref="Q25" si="9">B25</f>
        <v>基础设施水平</v>
      </c>
      <c r="R25" s="664" t="s">
        <v>14</v>
      </c>
      <c r="S25" s="665">
        <f>F25</f>
        <v>100</v>
      </c>
      <c r="T25" s="664" t="s">
        <v>14</v>
      </c>
      <c r="U25" s="665">
        <f>H25</f>
        <v>100</v>
      </c>
      <c r="V25" s="664" t="s">
        <v>14</v>
      </c>
      <c r="W25" s="665">
        <f>J25</f>
        <v>100</v>
      </c>
      <c r="X25" s="666"/>
      <c r="Y25" s="3420"/>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6"/>
      <c r="M26" s="2437"/>
      <c r="N26" s="2437"/>
      <c r="O26" s="2538"/>
      <c r="P26" s="3420"/>
      <c r="Q26" s="530"/>
      <c r="R26" s="664"/>
      <c r="S26" s="665"/>
      <c r="T26" s="664"/>
      <c r="U26" s="665"/>
      <c r="V26" s="664"/>
      <c r="W26" s="665"/>
      <c r="X26" s="666"/>
      <c r="Y26" s="342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20"/>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20"/>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20"/>
      <c r="Q28" s="1262" t="str">
        <f t="shared" si="8"/>
        <v>毗邻道路的类型与等级</v>
      </c>
      <c r="R28" s="667" t="s">
        <v>14</v>
      </c>
      <c r="S28" s="668">
        <f t="shared" si="10"/>
        <v>100</v>
      </c>
      <c r="T28" s="667" t="s">
        <v>14</v>
      </c>
      <c r="U28" s="668">
        <f t="shared" si="11"/>
        <v>100</v>
      </c>
      <c r="V28" s="667" t="s">
        <v>14</v>
      </c>
      <c r="W28" s="668">
        <f t="shared" si="12"/>
        <v>100</v>
      </c>
      <c r="X28" s="1264"/>
      <c r="Y28" s="3420"/>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420"/>
      <c r="Q29" s="1262"/>
      <c r="R29" s="667"/>
      <c r="S29" s="668"/>
      <c r="T29" s="667"/>
      <c r="U29" s="668"/>
      <c r="V29" s="667"/>
      <c r="W29" s="668"/>
      <c r="X29" s="1264"/>
      <c r="Y29" s="3420"/>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20"/>
      <c r="Q30" s="1262" t="str">
        <f t="shared" si="8"/>
        <v>土地级别</v>
      </c>
      <c r="R30" s="667" t="s">
        <v>14</v>
      </c>
      <c r="S30" s="668">
        <f t="shared" si="10"/>
        <v>100</v>
      </c>
      <c r="T30" s="667" t="s">
        <v>14</v>
      </c>
      <c r="U30" s="668">
        <f t="shared" si="11"/>
        <v>100</v>
      </c>
      <c r="V30" s="667" t="s">
        <v>14</v>
      </c>
      <c r="W30" s="668">
        <f t="shared" si="12"/>
        <v>100</v>
      </c>
      <c r="X30" s="1264"/>
      <c r="Y30" s="3420"/>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20"/>
      <c r="Q31" s="1262">
        <f t="shared" si="8"/>
        <v>111</v>
      </c>
      <c r="R31" s="667" t="s">
        <v>14</v>
      </c>
      <c r="S31" s="668">
        <f t="shared" si="10"/>
        <v>100</v>
      </c>
      <c r="T31" s="667" t="s">
        <v>14</v>
      </c>
      <c r="U31" s="668">
        <f t="shared" si="11"/>
        <v>100</v>
      </c>
      <c r="V31" s="667" t="s">
        <v>14</v>
      </c>
      <c r="W31" s="668">
        <f t="shared" si="12"/>
        <v>100</v>
      </c>
      <c r="X31" s="1264"/>
      <c r="Y31" s="3420"/>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1" t="s">
        <v>1696</v>
      </c>
      <c r="Q32" s="1262">
        <f t="shared" si="8"/>
        <v>111</v>
      </c>
      <c r="R32" s="667" t="s">
        <v>14</v>
      </c>
      <c r="S32" s="668">
        <f t="shared" si="10"/>
        <v>100</v>
      </c>
      <c r="T32" s="667" t="s">
        <v>14</v>
      </c>
      <c r="U32" s="668">
        <f t="shared" si="11"/>
        <v>100</v>
      </c>
      <c r="V32" s="667" t="s">
        <v>14</v>
      </c>
      <c r="W32" s="668">
        <f t="shared" si="12"/>
        <v>100</v>
      </c>
      <c r="X32" s="1264"/>
      <c r="Y32" s="3424"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24"/>
      <c r="Q33" s="1262">
        <f t="shared" si="8"/>
        <v>111</v>
      </c>
      <c r="R33" s="669" t="s">
        <v>14</v>
      </c>
      <c r="S33" s="670">
        <f t="shared" si="10"/>
        <v>100</v>
      </c>
      <c r="T33" s="669" t="s">
        <v>14</v>
      </c>
      <c r="U33" s="670">
        <f t="shared" si="11"/>
        <v>100</v>
      </c>
      <c r="V33" s="669" t="s">
        <v>14</v>
      </c>
      <c r="W33" s="670">
        <f t="shared" si="12"/>
        <v>100</v>
      </c>
      <c r="X33" s="671"/>
      <c r="Y33" s="3424"/>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24"/>
      <c r="Q34" s="1262" t="str">
        <f>B34</f>
        <v>宗地面积</v>
      </c>
      <c r="R34" s="667" t="s">
        <v>14</v>
      </c>
      <c r="S34" s="668" t="e">
        <f t="shared" si="10"/>
        <v>#N/A</v>
      </c>
      <c r="T34" s="667" t="s">
        <v>14</v>
      </c>
      <c r="U34" s="668" t="e">
        <f t="shared" si="11"/>
        <v>#N/A</v>
      </c>
      <c r="V34" s="667" t="s">
        <v>14</v>
      </c>
      <c r="W34" s="668" t="e">
        <f t="shared" si="12"/>
        <v>#N/A</v>
      </c>
      <c r="X34" s="1264"/>
      <c r="Y34" s="3424"/>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24"/>
      <c r="Q35" s="1262" t="str">
        <f t="shared" ref="Q35:Q40" si="14">B35</f>
        <v>宗地形状</v>
      </c>
      <c r="R35" s="667" t="s">
        <v>14</v>
      </c>
      <c r="S35" s="668">
        <f t="shared" si="10"/>
        <v>100</v>
      </c>
      <c r="T35" s="667" t="s">
        <v>14</v>
      </c>
      <c r="U35" s="668">
        <f t="shared" si="11"/>
        <v>100</v>
      </c>
      <c r="V35" s="667" t="s">
        <v>14</v>
      </c>
      <c r="W35" s="668">
        <f t="shared" si="12"/>
        <v>100</v>
      </c>
      <c r="X35" s="1264"/>
      <c r="Y35" s="3424"/>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424"/>
      <c r="Q36" s="1262" t="str">
        <f t="shared" si="14"/>
        <v>宗地开发程度</v>
      </c>
      <c r="R36" s="664" t="s">
        <v>14</v>
      </c>
      <c r="S36" s="665">
        <f t="shared" si="10"/>
        <v>100</v>
      </c>
      <c r="T36" s="664" t="s">
        <v>14</v>
      </c>
      <c r="U36" s="665">
        <f t="shared" si="11"/>
        <v>100</v>
      </c>
      <c r="V36" s="664" t="s">
        <v>14</v>
      </c>
      <c r="W36" s="665">
        <f t="shared" si="12"/>
        <v>100</v>
      </c>
      <c r="X36" s="666"/>
      <c r="Y36" s="3424"/>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24" t="s">
        <v>1696</v>
      </c>
      <c r="Q37" s="1262" t="str">
        <f t="shared" si="14"/>
        <v>工程地质条件</v>
      </c>
      <c r="R37" s="667" t="s">
        <v>14</v>
      </c>
      <c r="S37" s="668">
        <f t="shared" si="10"/>
        <v>100</v>
      </c>
      <c r="T37" s="667" t="s">
        <v>14</v>
      </c>
      <c r="U37" s="668">
        <f t="shared" si="11"/>
        <v>100</v>
      </c>
      <c r="V37" s="667" t="s">
        <v>14</v>
      </c>
      <c r="W37" s="668">
        <f t="shared" si="12"/>
        <v>100</v>
      </c>
      <c r="X37" s="1264"/>
      <c r="Y37" s="3424"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24"/>
      <c r="Q38" s="1262">
        <f t="shared" si="14"/>
        <v>111</v>
      </c>
      <c r="R38" s="667" t="s">
        <v>14</v>
      </c>
      <c r="S38" s="668">
        <f t="shared" si="10"/>
        <v>100</v>
      </c>
      <c r="T38" s="667" t="s">
        <v>14</v>
      </c>
      <c r="U38" s="668">
        <f t="shared" si="11"/>
        <v>100</v>
      </c>
      <c r="V38" s="667" t="s">
        <v>14</v>
      </c>
      <c r="W38" s="668">
        <f t="shared" si="12"/>
        <v>100</v>
      </c>
      <c r="X38" s="1264"/>
      <c r="Y38" s="3424"/>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24"/>
      <c r="Q39" s="1262">
        <f t="shared" si="14"/>
        <v>111</v>
      </c>
      <c r="R39" s="667" t="s">
        <v>14</v>
      </c>
      <c r="S39" s="668">
        <f t="shared" si="10"/>
        <v>100</v>
      </c>
      <c r="T39" s="667" t="s">
        <v>14</v>
      </c>
      <c r="U39" s="668">
        <f t="shared" si="11"/>
        <v>100</v>
      </c>
      <c r="V39" s="667" t="s">
        <v>14</v>
      </c>
      <c r="W39" s="668">
        <f t="shared" si="12"/>
        <v>100</v>
      </c>
      <c r="X39" s="1264"/>
      <c r="Y39" s="3424"/>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24"/>
      <c r="Q40" s="1262">
        <f t="shared" si="14"/>
        <v>111</v>
      </c>
      <c r="R40" s="669" t="s">
        <v>14</v>
      </c>
      <c r="S40" s="670">
        <f t="shared" si="10"/>
        <v>100</v>
      </c>
      <c r="T40" s="669" t="s">
        <v>14</v>
      </c>
      <c r="U40" s="670">
        <f t="shared" si="11"/>
        <v>100</v>
      </c>
      <c r="V40" s="669" t="s">
        <v>14</v>
      </c>
      <c r="W40" s="670">
        <f t="shared" si="12"/>
        <v>100</v>
      </c>
      <c r="X40" s="671"/>
      <c r="Y40" s="3424"/>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2"/>
      <c r="M41" s="2485"/>
      <c r="N41" s="2485"/>
      <c r="O41" s="2485"/>
      <c r="P41" s="3418" t="str">
        <f>A41</f>
        <v>成交单价</v>
      </c>
      <c r="Q41" s="3418"/>
      <c r="R41" s="3413">
        <f>E41</f>
        <v>0</v>
      </c>
      <c r="S41" s="3413"/>
      <c r="T41" s="3413">
        <f>G41</f>
        <v>0</v>
      </c>
      <c r="U41" s="3413"/>
      <c r="V41" s="3413">
        <f>I41</f>
        <v>0</v>
      </c>
      <c r="W41" s="3413"/>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418" t="str">
        <f>A42</f>
        <v>比较价值（元/平方米）</v>
      </c>
      <c r="Q42" s="3418"/>
      <c r="R42" s="3473" t="e">
        <f>ROUND(PRODUCT(R41,AA7:AA40),0)</f>
        <v>#DIV/0!</v>
      </c>
      <c r="S42" s="3473"/>
      <c r="T42" s="3473" t="e">
        <f>ROUND(PRODUCT(T41,AB7:AB40),0)</f>
        <v>#DIV/0!</v>
      </c>
      <c r="U42" s="3473"/>
      <c r="V42" s="3473" t="e">
        <f>ROUND(PRODUCT(V41,AC7:AC40),0)</f>
        <v>#DIV/0!</v>
      </c>
      <c r="W42" s="347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15" t="str">
        <f>A43</f>
        <v>估价对象XX用房的比较价值（楼面单价，元/平方米）</v>
      </c>
      <c r="Q43" s="3416"/>
      <c r="R43" s="3474" t="e">
        <f>ROUND(IF(D42="简单平均",AVERAGE(R42:W42),R42*F42+T42*H42+V42*J42),0)</f>
        <v>#DIV/0!</v>
      </c>
      <c r="S43" s="3474"/>
      <c r="T43" s="3474"/>
      <c r="U43" s="3474"/>
      <c r="V43" s="3474"/>
      <c r="W43" s="347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401" t="s">
        <v>1887</v>
      </c>
      <c r="H50" s="3475"/>
      <c r="I50" s="1263" t="s">
        <v>1923</v>
      </c>
      <c r="J50" s="1263">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55.92</v>
      </c>
      <c r="F51" s="611" t="e">
        <f t="shared" ref="F51:F60" si="15">ROUND(B51*E51/10000,0)</f>
        <v>#DIV/0!</v>
      </c>
      <c r="G51" s="3400"/>
      <c r="H51" s="341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2012-7-1</v>
      </c>
      <c r="D63" s="656">
        <f>EDATE(C63,-3)</f>
        <v>41000</v>
      </c>
      <c r="E63" s="656">
        <f>EDATE(D63,-3)</f>
        <v>40909</v>
      </c>
      <c r="F63" s="656">
        <f t="shared" ref="F63:O63" si="18">EDATE(E63,-3)</f>
        <v>40817</v>
      </c>
      <c r="G63" s="656">
        <f t="shared" si="18"/>
        <v>40725</v>
      </c>
      <c r="H63" s="656">
        <f t="shared" si="18"/>
        <v>40634</v>
      </c>
      <c r="I63" s="656">
        <f t="shared" si="18"/>
        <v>40544</v>
      </c>
      <c r="J63" s="656">
        <f t="shared" si="18"/>
        <v>40452</v>
      </c>
      <c r="K63" s="656">
        <f t="shared" si="18"/>
        <v>40360</v>
      </c>
      <c r="L63" s="656">
        <f t="shared" si="18"/>
        <v>40269</v>
      </c>
      <c r="M63" s="656">
        <f t="shared" si="18"/>
        <v>40179</v>
      </c>
      <c r="N63" s="656">
        <f t="shared" si="18"/>
        <v>40087</v>
      </c>
      <c r="O63" s="656">
        <f t="shared" si="18"/>
        <v>39995</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6"/>
      <c r="C65" s="1100" t="str">
        <f>YEAR(C63)&amp;"-"&amp;ROUNDUP(MONTH(C63)/3,0)</f>
        <v>2012-3</v>
      </c>
      <c r="D65" s="1100" t="str">
        <f t="shared" ref="D65:O65" si="19">YEAR(D63)&amp;"-"&amp;ROUNDUP(MONTH(D63)/3,0)</f>
        <v>2012-2</v>
      </c>
      <c r="E65" s="1100" t="str">
        <f t="shared" si="19"/>
        <v>2012-1</v>
      </c>
      <c r="F65" s="1100" t="str">
        <f t="shared" si="19"/>
        <v>2011-4</v>
      </c>
      <c r="G65" s="1100" t="str">
        <f t="shared" si="19"/>
        <v>2011-3</v>
      </c>
      <c r="H65" s="1100" t="str">
        <f t="shared" si="19"/>
        <v>2011-2</v>
      </c>
      <c r="I65" s="1100" t="str">
        <f t="shared" si="19"/>
        <v>2011-1</v>
      </c>
      <c r="J65" s="1100" t="str">
        <f t="shared" si="19"/>
        <v>2010-4</v>
      </c>
      <c r="K65" s="1100" t="str">
        <f t="shared" si="19"/>
        <v>2010-3</v>
      </c>
      <c r="L65" s="1100" t="str">
        <f t="shared" si="19"/>
        <v>2010-2</v>
      </c>
      <c r="M65" s="1100" t="str">
        <f t="shared" si="19"/>
        <v>2010-1</v>
      </c>
      <c r="N65" s="1100" t="str">
        <f t="shared" si="19"/>
        <v>2009-4</v>
      </c>
      <c r="O65" s="1100" t="str">
        <f t="shared" si="19"/>
        <v>2009-3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3" t="s">
        <v>2084</v>
      </c>
      <c r="D1" s="3484"/>
      <c r="E1" s="3484"/>
      <c r="F1" s="3484"/>
      <c r="G1" s="3484"/>
      <c r="H1" s="3484"/>
      <c r="I1" s="3484"/>
      <c r="J1" s="3484"/>
      <c r="K1" s="3484"/>
      <c r="L1" s="3484"/>
      <c r="M1" s="3484"/>
      <c r="N1" s="3484"/>
      <c r="O1" s="3484"/>
      <c r="P1" s="3484"/>
      <c r="Q1" s="3484"/>
      <c r="R1" s="3484"/>
      <c r="S1" s="348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0" t="s">
        <v>27</v>
      </c>
      <c r="D22" s="3481"/>
      <c r="E22" s="3481"/>
      <c r="F22" s="3481"/>
      <c r="G22" s="3481"/>
      <c r="H22" s="3481"/>
      <c r="I22" s="3481"/>
      <c r="J22" s="3481"/>
      <c r="K22" s="3481"/>
      <c r="L22" s="3481"/>
      <c r="M22" s="3481"/>
      <c r="N22" s="3481"/>
      <c r="O22" s="3481"/>
      <c r="P22" s="3481"/>
      <c r="Q22" s="348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2" t="s">
        <v>2073</v>
      </c>
      <c r="B2" s="2385" t="e">
        <f ca="1">SUMIF(B6:B13,"&lt;&gt;#ref!",B6:B13)</f>
        <v>#DIV/0!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2"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6"/>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493"/>
      <c r="B4" s="3494"/>
      <c r="C4" s="3494"/>
      <c r="D4" s="3495"/>
      <c r="E4" s="3495"/>
      <c r="F4" s="3495"/>
      <c r="G4" s="3495"/>
      <c r="H4" s="3495"/>
      <c r="I4" s="3495"/>
      <c r="J4" s="3496"/>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t="e">
        <f>ROUND(IF(E2="商业",C6*C7*C17+C20,(IF(E2="住宅",C6*C13*C17+C20,IF(E2="办公",C6*C12*C17+C20,C6+C20)))),0)</f>
        <v>#DIV/0!</v>
      </c>
      <c r="D5" s="1251" t="e">
        <f>ROUND(C6*C17+C20,0)</f>
        <v>#DIV/0!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3"/>
      <c r="AD6" s="1854"/>
      <c r="AE6" s="1854"/>
      <c r="AF6" s="1854"/>
      <c r="AG6" s="1854"/>
      <c r="AH6" s="1854"/>
      <c r="AI6" s="1854"/>
      <c r="AJ6" s="1855"/>
    </row>
    <row r="7" spans="1:36" ht="24.75" thickBot="1">
      <c r="A7" s="3010" t="s">
        <v>3239</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490" t="s">
        <v>1960</v>
      </c>
      <c r="X8" s="349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492"/>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492"/>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3240</v>
      </c>
      <c r="B12" s="3011" t="s">
        <v>3241</v>
      </c>
      <c r="C12" s="3012"/>
      <c r="D12" s="3013" t="s">
        <v>3242</v>
      </c>
      <c r="E12" s="3014" t="s">
        <v>3243</v>
      </c>
      <c r="F12" s="3015"/>
      <c r="G12" s="3016"/>
      <c r="H12" s="3016"/>
      <c r="I12" s="3016"/>
      <c r="J12" s="3017"/>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3244</v>
      </c>
      <c r="B13" s="1876" t="s">
        <v>1982</v>
      </c>
      <c r="C13" s="711">
        <f>ROUND(C16*D16*E16*F16*G16*H16*I16*J16,4)</f>
        <v>0</v>
      </c>
      <c r="D13" s="1877" t="s">
        <v>1983</v>
      </c>
      <c r="E13" s="1878"/>
      <c r="F13" s="1878"/>
      <c r="G13" s="1879"/>
      <c r="H13" s="1879"/>
      <c r="I13" s="1879"/>
      <c r="J13" s="1880"/>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1" t="s">
        <v>1985</v>
      </c>
      <c r="C14" s="1882" t="s">
        <v>1986</v>
      </c>
      <c r="D14" s="1260" t="s">
        <v>1987</v>
      </c>
      <c r="E14" s="27" t="s">
        <v>1988</v>
      </c>
      <c r="F14" s="3018" t="s">
        <v>3245</v>
      </c>
      <c r="G14" s="3018" t="s">
        <v>3245</v>
      </c>
      <c r="H14" s="3018" t="s">
        <v>3245</v>
      </c>
      <c r="I14" s="3018" t="s">
        <v>3245</v>
      </c>
      <c r="J14" s="3018" t="s">
        <v>3245</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3"/>
      <c r="C15" s="1884"/>
      <c r="D15" s="1885"/>
      <c r="E15" s="1886"/>
      <c r="F15" s="1469" t="s">
        <v>3246</v>
      </c>
      <c r="G15" s="1926"/>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2"/>
      <c r="M16" s="1842"/>
      <c r="N16" s="1842"/>
      <c r="O16" s="1842"/>
      <c r="P16" s="1842"/>
      <c r="Q16" s="1056"/>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3250</v>
      </c>
      <c r="E18" s="2354"/>
      <c r="F18" s="3028" t="s">
        <v>3253</v>
      </c>
      <c r="G18" s="3032">
        <f>ROUND(1-(1/(POWER(1+G24,E18))),4)</f>
        <v>0</v>
      </c>
      <c r="H18" s="3028" t="s">
        <v>3255</v>
      </c>
      <c r="I18" s="3032">
        <f>ROUND(1-(1/(POWER(1+G24,J24))),4)</f>
        <v>0</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3251</v>
      </c>
      <c r="E19" s="3041"/>
      <c r="F19" s="3042" t="s">
        <v>3254</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497" t="s">
        <v>3256</v>
      </c>
      <c r="B20" s="159" t="s">
        <v>1994</v>
      </c>
      <c r="C20" s="3029" t="e">
        <f>ROUND(IF(F21="与级别开发程度一致",0,(G21-E21)/C21),0)</f>
        <v>#DIV/0!</v>
      </c>
      <c r="D20" s="3044" t="s">
        <v>1998</v>
      </c>
      <c r="E20" s="3045"/>
      <c r="F20" s="3503" t="s">
        <v>1995</v>
      </c>
      <c r="G20" s="3504"/>
      <c r="H20" s="3030"/>
      <c r="I20" s="3030"/>
      <c r="J20" s="3031"/>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15" thickBot="1">
      <c r="A21" s="3498"/>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2000</v>
      </c>
      <c r="C22" s="1996">
        <f>SUMIF(修正!C20:C51,E3,修正!E20:E51)</f>
        <v>0</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7">
        <v>44197</v>
      </c>
      <c r="F23" s="1894" t="s">
        <v>2003</v>
      </c>
      <c r="G23" s="718">
        <f>'数据-取费表'!B2</f>
        <v>41106</v>
      </c>
      <c r="H23" s="3046" t="s">
        <v>3258</v>
      </c>
      <c r="I23" s="3047" t="str">
        <f>IF(H23="季度增幅（自定义）",SUMIF(N25:N28,E2,O25:O28),"")</f>
        <v/>
      </c>
      <c r="J23" s="3139" t="s">
        <v>3257</v>
      </c>
      <c r="K23" s="1061"/>
      <c r="L23" s="1895" t="s">
        <v>2004</v>
      </c>
      <c r="M23" s="1240">
        <f>ROUND(SUMIF(地价!B2:G2,E2,地价!B16:G16),0)</f>
        <v>0</v>
      </c>
      <c r="N23" s="1896" t="s">
        <v>2005</v>
      </c>
      <c r="O23" s="719" t="e">
        <f>ROUNDDOWN(DATEDIF(E23,G23,"M")/3,0)</f>
        <v>#NUM!</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7">
        <f>存贷款利率!E26/100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3337</v>
      </c>
      <c r="C25" s="461">
        <f>IF(B25="容积率修正",IF(G3&lt;10,D26,J26),C27)</f>
        <v>0</v>
      </c>
      <c r="D25" s="1907"/>
      <c r="E25" s="1907"/>
      <c r="F25" s="1907"/>
      <c r="G25" s="1907"/>
      <c r="H25" s="1907"/>
      <c r="I25" s="1907"/>
      <c r="J25" s="1908"/>
      <c r="K25" s="1061"/>
      <c r="L25" s="2550"/>
      <c r="M25" s="2550"/>
      <c r="N25" s="1909"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3259</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3260</v>
      </c>
      <c r="J26" s="374" t="str">
        <f>IF(G3&gt;=10,D115,"——")</f>
        <v>——</v>
      </c>
      <c r="K26" s="1061"/>
      <c r="L26" s="2550"/>
      <c r="M26" s="2550"/>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0"/>
      <c r="M28" s="2550"/>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8" t="s">
        <v>3262</v>
      </c>
      <c r="G33" s="1939"/>
      <c r="H33" s="1939"/>
      <c r="I33" s="1939"/>
      <c r="J33" s="1940"/>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9" t="s">
        <v>3263</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3267</v>
      </c>
      <c r="L36" s="3140">
        <f ca="1">'数据-取费表'!B40</f>
        <v>6.1500000000000006E-2</v>
      </c>
      <c r="M36" s="2363">
        <f ca="1">ROUND($L$36*(1+M31),3)</f>
        <v>7.6999999999999999E-2</v>
      </c>
      <c r="N36" s="2363">
        <f ca="1">ROUND($L$36*(1+N31),3)</f>
        <v>7.3999999999999996E-2</v>
      </c>
      <c r="O36" s="2363">
        <f ca="1">ROUND($L$36*(1+O31),3)</f>
        <v>7.0999999999999994E-2</v>
      </c>
      <c r="P36" s="2363">
        <f ca="1">ROUND($L$36*(1+P31),3)</f>
        <v>6.8000000000000005E-2</v>
      </c>
      <c r="Q36" s="2363">
        <f ca="1">ROUND($L$36*(1+Q31),3)</f>
        <v>7.0999999999999994E-2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501"/>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3268</v>
      </c>
      <c r="L37" s="1962">
        <f ca="1">L36+K38</f>
        <v>6.6500000000000004E-2</v>
      </c>
      <c r="M37" s="2363">
        <f ca="1">ROUND($L$37*(1+M31),3)</f>
        <v>8.3000000000000004E-2</v>
      </c>
      <c r="N37" s="2363">
        <f t="shared" ref="N37:Q37" ca="1" si="3">ROUND($L$37*(1+N31),3)</f>
        <v>0.08</v>
      </c>
      <c r="O37" s="2363">
        <f t="shared" ca="1" si="3"/>
        <v>7.5999999999999998E-2</v>
      </c>
      <c r="P37" s="2363">
        <f t="shared" ca="1" si="3"/>
        <v>7.2999999999999995E-2</v>
      </c>
      <c r="Q37" s="2363">
        <f t="shared" ca="1" si="3"/>
        <v>7.5999999999999998E-2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502"/>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502"/>
      <c r="B39" s="1882" t="s">
        <v>3261</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0" t="s">
        <v>3269</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3271</v>
      </c>
      <c r="B52" s="1261">
        <f>估价对象房地状况!C19</f>
        <v>0</v>
      </c>
      <c r="C52" s="1885"/>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1">
        <f>估价对象房地状况!C24</f>
        <v>0</v>
      </c>
      <c r="C54" s="1885"/>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39" t="str">
        <f>估价对象房地状况!C21</f>
        <v>估价对象所在区域公共配套设施齐备情况</v>
      </c>
      <c r="C56" s="1885"/>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1" t="str">
        <f>估价对象房地状况!C22</f>
        <v>估价对象所在区域基础设施水平</v>
      </c>
      <c r="C57" s="1885"/>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3271</v>
      </c>
      <c r="B63" s="1261">
        <f>估价对象房地状况!C19</f>
        <v>0</v>
      </c>
      <c r="C63" s="1885"/>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1">
        <f>估价对象房地状况!C24</f>
        <v>0</v>
      </c>
      <c r="C65" s="1885"/>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39" t="str">
        <f>估价对象房地状况!C21</f>
        <v>估价对象所在区域公共配套设施齐备情况</v>
      </c>
      <c r="C67" s="1885"/>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39" t="str">
        <f>估价对象房地状况!C22</f>
        <v>估价对象所在区域基础设施水平</v>
      </c>
      <c r="C68" s="1885"/>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8" t="s">
        <v>3271</v>
      </c>
      <c r="B74" s="1261">
        <f>估价对象房地状况!C19</f>
        <v>0</v>
      </c>
      <c r="C74" s="1885"/>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39" t="str">
        <f>估价对象房地状况!C21</f>
        <v>估价对象所在区域公共配套设施齐备情况</v>
      </c>
      <c r="C76" s="1885"/>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39" t="str">
        <f>估价对象房地状况!C22</f>
        <v>估价对象所在区域基础设施水平</v>
      </c>
      <c r="C77" s="1885"/>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3272</v>
      </c>
      <c r="B85" s="1261">
        <f>估价对象房地状况!G17</f>
        <v>0</v>
      </c>
      <c r="C85" s="1885"/>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2614</v>
      </c>
      <c r="B91" s="3077">
        <f>1+E93</f>
        <v>1</v>
      </c>
      <c r="C91" s="3070"/>
      <c r="D91" s="3071"/>
      <c r="E91" s="1674"/>
      <c r="F91" s="1674"/>
      <c r="G91" s="3072"/>
      <c r="H91" s="3073"/>
      <c r="I91" s="3074"/>
      <c r="J91" s="3075"/>
      <c r="K91" s="3075"/>
      <c r="L91" s="3075"/>
      <c r="M91" s="3075"/>
      <c r="N91" s="3075"/>
    </row>
    <row r="92" spans="1:37" ht="24.75">
      <c r="A92" s="3078" t="s">
        <v>3273</v>
      </c>
      <c r="B92" s="2307"/>
      <c r="C92" s="2307" t="s">
        <v>3282</v>
      </c>
      <c r="D92" s="2307" t="s">
        <v>3283</v>
      </c>
      <c r="E92" s="3050" t="s">
        <v>3284</v>
      </c>
      <c r="F92" s="3080" t="s">
        <v>3285</v>
      </c>
      <c r="G92" s="2307" t="s">
        <v>3286</v>
      </c>
      <c r="H92" s="3087" t="s">
        <v>3289</v>
      </c>
      <c r="I92" s="2307" t="s">
        <v>3290</v>
      </c>
      <c r="J92" s="2148" t="s">
        <v>3291</v>
      </c>
      <c r="K92" s="2148" t="s">
        <v>3292</v>
      </c>
      <c r="L92" s="2148" t="s">
        <v>3293</v>
      </c>
      <c r="M92" s="2148" t="s">
        <v>3294</v>
      </c>
      <c r="N92" s="2148" t="s">
        <v>3295</v>
      </c>
    </row>
    <row r="93" spans="1:37" ht="24">
      <c r="A93" s="3068" t="s">
        <v>3274</v>
      </c>
      <c r="B93" s="1220"/>
      <c r="C93" s="1885"/>
      <c r="D93" s="2307">
        <f>SUMIF($J$92:$N$92,C93,J93:N93)</f>
        <v>0</v>
      </c>
      <c r="E93" s="3081">
        <f>ROUND(SUM(D93:D101),4)</f>
        <v>0</v>
      </c>
      <c r="F93" s="1674"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38.25">
      <c r="A94" s="3078" t="s">
        <v>3275</v>
      </c>
      <c r="B94" s="3069" t="str">
        <f>估价对象房地状况!C18</f>
        <v>估价对象周边道路状况、公共交通通达情况、停车便捷程度，综合评价交通便捷度较好</v>
      </c>
      <c r="C94" s="1885"/>
      <c r="D94" s="2307">
        <f t="shared" ref="D94:D101" si="30">SUMIF($J$60:$N$60,C94,J94:N94)</f>
        <v>0</v>
      </c>
      <c r="E94" s="3082"/>
      <c r="F94" s="1674"/>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3271</v>
      </c>
      <c r="B95" s="3069">
        <f>估价对象房地状况!C19</f>
        <v>0</v>
      </c>
      <c r="C95" s="1885"/>
      <c r="D95" s="2307">
        <f t="shared" si="30"/>
        <v>0</v>
      </c>
      <c r="E95" s="3082"/>
      <c r="F95" s="1674"/>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3276</v>
      </c>
      <c r="B96" s="3084" t="s">
        <v>3287</v>
      </c>
      <c r="C96" s="1885"/>
      <c r="D96" s="2307">
        <f t="shared" si="30"/>
        <v>0</v>
      </c>
      <c r="E96" s="3082"/>
      <c r="F96" s="1674"/>
      <c r="G96" s="3072"/>
      <c r="H96" s="3117" t="str">
        <f t="shared" si="31"/>
        <v>——</v>
      </c>
      <c r="I96" s="3066">
        <v>0.05</v>
      </c>
      <c r="J96" s="1910">
        <f t="shared" si="27"/>
        <v>0</v>
      </c>
      <c r="K96" s="1910">
        <f t="shared" si="28"/>
        <v>0</v>
      </c>
      <c r="L96" s="1910">
        <v>0</v>
      </c>
      <c r="M96" s="1910">
        <f t="shared" si="29"/>
        <v>0</v>
      </c>
      <c r="N96" s="1910">
        <f t="shared" si="29"/>
        <v>0</v>
      </c>
    </row>
    <row r="97" spans="1:14" ht="24">
      <c r="A97" s="3078" t="s">
        <v>3277</v>
      </c>
      <c r="B97" s="3069">
        <f>估价对象房地状况!C24</f>
        <v>0</v>
      </c>
      <c r="C97" s="1885"/>
      <c r="D97" s="2307">
        <f t="shared" si="30"/>
        <v>0</v>
      </c>
      <c r="E97" s="3082"/>
      <c r="F97" s="1674"/>
      <c r="G97" s="3072"/>
      <c r="H97" s="3117" t="str">
        <f t="shared" si="31"/>
        <v>——</v>
      </c>
      <c r="I97" s="3066">
        <v>0.05</v>
      </c>
      <c r="J97" s="1910">
        <f t="shared" si="27"/>
        <v>0</v>
      </c>
      <c r="K97" s="1910">
        <f t="shared" si="28"/>
        <v>0</v>
      </c>
      <c r="L97" s="1910">
        <v>0</v>
      </c>
      <c r="M97" s="1910">
        <f t="shared" si="29"/>
        <v>0</v>
      </c>
      <c r="N97" s="1910">
        <f t="shared" si="29"/>
        <v>0</v>
      </c>
    </row>
    <row r="98" spans="1:14" ht="24">
      <c r="A98" s="3078" t="s">
        <v>3278</v>
      </c>
      <c r="B98" s="3085" t="s">
        <v>3288</v>
      </c>
      <c r="C98" s="1885"/>
      <c r="D98" s="2307">
        <f t="shared" si="30"/>
        <v>0</v>
      </c>
      <c r="E98" s="3082"/>
      <c r="F98" s="1674"/>
      <c r="G98" s="3072"/>
      <c r="H98" s="3117" t="str">
        <f t="shared" si="31"/>
        <v>——</v>
      </c>
      <c r="I98" s="3066">
        <v>0.06</v>
      </c>
      <c r="J98" s="1910">
        <f t="shared" si="27"/>
        <v>0</v>
      </c>
      <c r="K98" s="1910">
        <f t="shared" si="28"/>
        <v>0</v>
      </c>
      <c r="L98" s="1910">
        <v>0</v>
      </c>
      <c r="M98" s="1910">
        <f t="shared" si="29"/>
        <v>0</v>
      </c>
      <c r="N98" s="1910">
        <f t="shared" si="29"/>
        <v>0</v>
      </c>
    </row>
    <row r="99" spans="1:14" ht="25.5">
      <c r="A99" s="3078" t="s">
        <v>3279</v>
      </c>
      <c r="B99" s="3069" t="str">
        <f>估价对象房地状况!C21</f>
        <v>估价对象所在区域公共配套设施齐备情况</v>
      </c>
      <c r="C99" s="1885"/>
      <c r="D99" s="2307">
        <f t="shared" si="30"/>
        <v>0</v>
      </c>
      <c r="E99" s="3082"/>
      <c r="F99" s="1674"/>
      <c r="G99" s="3072"/>
      <c r="H99" s="3117" t="str">
        <f t="shared" si="31"/>
        <v>——</v>
      </c>
      <c r="I99" s="3066">
        <v>0.06</v>
      </c>
      <c r="J99" s="1910">
        <f t="shared" si="27"/>
        <v>0</v>
      </c>
      <c r="K99" s="1910">
        <f t="shared" si="28"/>
        <v>0</v>
      </c>
      <c r="L99" s="1910">
        <v>0</v>
      </c>
      <c r="M99" s="1910">
        <f t="shared" si="29"/>
        <v>0</v>
      </c>
      <c r="N99" s="1910">
        <f t="shared" si="29"/>
        <v>0</v>
      </c>
    </row>
    <row r="100" spans="1:14" ht="25.5">
      <c r="A100" s="3078" t="s">
        <v>3280</v>
      </c>
      <c r="B100" s="3069" t="str">
        <f>估价对象房地状况!C22</f>
        <v>估价对象所在区域基础设施水平</v>
      </c>
      <c r="C100" s="1885"/>
      <c r="D100" s="2307">
        <f t="shared" si="30"/>
        <v>0</v>
      </c>
      <c r="E100" s="3082"/>
      <c r="F100" s="1674"/>
      <c r="G100" s="3072"/>
      <c r="H100" s="3117" t="str">
        <f t="shared" si="31"/>
        <v>——</v>
      </c>
      <c r="I100" s="3066">
        <v>0.09</v>
      </c>
      <c r="J100" s="1910">
        <f t="shared" si="27"/>
        <v>0</v>
      </c>
      <c r="K100" s="1910">
        <f t="shared" si="28"/>
        <v>0</v>
      </c>
      <c r="L100" s="1910">
        <v>0</v>
      </c>
      <c r="M100" s="1910">
        <f t="shared" si="29"/>
        <v>0</v>
      </c>
      <c r="N100" s="1910">
        <f t="shared" si="29"/>
        <v>0</v>
      </c>
    </row>
    <row r="101" spans="1:14" ht="26.25" thickBot="1">
      <c r="A101" s="3079" t="s">
        <v>3281</v>
      </c>
      <c r="B101" s="3086" t="str">
        <f>估价对象房地状况!C20</f>
        <v>区域自然环境：；人文环境；综合评价环境状况一般</v>
      </c>
      <c r="C101" s="1885"/>
      <c r="D101" s="2307">
        <f t="shared" si="30"/>
        <v>0</v>
      </c>
      <c r="E101" s="3083"/>
      <c r="F101" s="1674"/>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499" t="s">
        <v>3296</v>
      </c>
      <c r="B103" s="3499"/>
      <c r="C103" s="3499"/>
      <c r="D103" s="3499"/>
      <c r="E103" s="3499"/>
      <c r="F103" s="3499"/>
      <c r="G103" s="3499"/>
      <c r="H103" s="3499"/>
      <c r="I103" s="3499"/>
      <c r="J103" s="3499"/>
      <c r="K103" s="1666"/>
      <c r="L103" s="1666"/>
      <c r="M103" s="1666"/>
      <c r="N103" s="1666"/>
    </row>
    <row r="104" spans="1:14">
      <c r="A104" s="3500" t="s">
        <v>3297</v>
      </c>
      <c r="B104" s="3500" t="s">
        <v>3298</v>
      </c>
      <c r="C104" s="3088" t="s">
        <v>3299</v>
      </c>
      <c r="D104" s="3089"/>
      <c r="E104" s="3089"/>
      <c r="F104" s="3089"/>
      <c r="G104" s="3089"/>
      <c r="H104" s="3089"/>
      <c r="I104" s="3089"/>
      <c r="J104" s="3090"/>
      <c r="K104" s="3091"/>
      <c r="L104" s="3091"/>
      <c r="M104" s="3091"/>
      <c r="N104" s="3091"/>
    </row>
    <row r="105" spans="1:14">
      <c r="A105" s="3500"/>
      <c r="B105" s="3500"/>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86"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7"/>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7"/>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7"/>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7"/>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7"/>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8"/>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9" t="s">
        <v>3313</v>
      </c>
      <c r="B113" s="3489"/>
      <c r="C113" s="3489"/>
      <c r="D113" s="3489"/>
      <c r="E113" s="3489"/>
      <c r="F113" s="3489"/>
      <c r="G113" s="3489"/>
      <c r="H113" s="3489"/>
      <c r="I113" s="3489"/>
      <c r="J113" s="3489"/>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3314</v>
      </c>
      <c r="B116" s="3112">
        <f>G3</f>
        <v>0</v>
      </c>
      <c r="C116" s="3097" t="s">
        <v>3315</v>
      </c>
      <c r="D116" s="3098">
        <f>SUMPRODUCT((A118:A122=F116)*(B117:M117=H116)*B118:M122)</f>
        <v>0</v>
      </c>
      <c r="E116" s="162" t="s">
        <v>3316</v>
      </c>
      <c r="F116" s="3099">
        <f>E2</f>
        <v>0</v>
      </c>
      <c r="G116" s="162" t="s">
        <v>3317</v>
      </c>
      <c r="H116" s="3099">
        <f>G2</f>
        <v>0</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512" t="s">
        <v>2609</v>
      </c>
      <c r="B20" s="3505" t="s">
        <v>2630</v>
      </c>
      <c r="C20" s="2840" t="s">
        <v>2441</v>
      </c>
      <c r="D20" s="2841"/>
      <c r="E20" s="2842">
        <v>1</v>
      </c>
      <c r="F20" s="2843" t="s">
        <v>2442</v>
      </c>
      <c r="G20" s="2843"/>
    </row>
    <row r="21" spans="1:13" ht="19.5" customHeight="1">
      <c r="A21" s="3513"/>
      <c r="B21" s="3506"/>
      <c r="C21" s="2844" t="s">
        <v>2443</v>
      </c>
      <c r="D21" s="2845"/>
      <c r="E21" s="2846">
        <v>1</v>
      </c>
      <c r="F21" s="2843" t="s">
        <v>2444</v>
      </c>
      <c r="G21" s="2843"/>
    </row>
    <row r="22" spans="1:13" ht="19.5" customHeight="1">
      <c r="A22" s="3513"/>
      <c r="B22" s="3506"/>
      <c r="C22" s="2844" t="s">
        <v>2445</v>
      </c>
      <c r="D22" s="2845"/>
      <c r="E22" s="2846">
        <v>0.9</v>
      </c>
      <c r="F22" s="2843" t="s">
        <v>2446</v>
      </c>
      <c r="G22" s="2843"/>
    </row>
    <row r="23" spans="1:13" ht="19.5" customHeight="1">
      <c r="A23" s="3513"/>
      <c r="B23" s="3506"/>
      <c r="C23" s="2844" t="s">
        <v>2447</v>
      </c>
      <c r="D23" s="2845"/>
      <c r="E23" s="2846">
        <v>0.9</v>
      </c>
      <c r="F23" s="2843" t="s">
        <v>2448</v>
      </c>
      <c r="G23" s="2843"/>
    </row>
    <row r="24" spans="1:13" ht="19.5" customHeight="1">
      <c r="A24" s="3513"/>
      <c r="B24" s="3506"/>
      <c r="C24" s="2844" t="s">
        <v>2449</v>
      </c>
      <c r="D24" s="2845"/>
      <c r="E24" s="2846">
        <v>0.8</v>
      </c>
      <c r="F24" s="2843" t="s">
        <v>2450</v>
      </c>
      <c r="G24" s="2843"/>
    </row>
    <row r="25" spans="1:13" ht="19.5" customHeight="1" thickBot="1">
      <c r="A25" s="3514"/>
      <c r="B25" s="3507"/>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508" t="s">
        <v>2633</v>
      </c>
      <c r="B27" s="3505" t="s">
        <v>2614</v>
      </c>
      <c r="C27" s="2840" t="s">
        <v>2454</v>
      </c>
      <c r="D27" s="2841"/>
      <c r="E27" s="2842">
        <v>1</v>
      </c>
      <c r="F27" s="2843" t="s">
        <v>2455</v>
      </c>
      <c r="G27" s="2843"/>
    </row>
    <row r="28" spans="1:13" ht="19.5" customHeight="1">
      <c r="A28" s="3509"/>
      <c r="B28" s="3506"/>
      <c r="C28" s="2844" t="s">
        <v>2456</v>
      </c>
      <c r="D28" s="2845"/>
      <c r="E28" s="2846">
        <v>1</v>
      </c>
      <c r="F28" s="2843" t="s">
        <v>2457</v>
      </c>
      <c r="G28" s="2843"/>
    </row>
    <row r="29" spans="1:13" ht="19.5" customHeight="1">
      <c r="A29" s="3509"/>
      <c r="B29" s="3506"/>
      <c r="C29" s="2844" t="s">
        <v>2458</v>
      </c>
      <c r="D29" s="2845"/>
      <c r="E29" s="2846">
        <v>0.8</v>
      </c>
      <c r="F29" s="2843" t="s">
        <v>2459</v>
      </c>
      <c r="G29" s="2843"/>
    </row>
    <row r="30" spans="1:13" ht="19.5" customHeight="1">
      <c r="A30" s="3509"/>
      <c r="B30" s="3506"/>
      <c r="C30" s="2844" t="s">
        <v>2460</v>
      </c>
      <c r="D30" s="2845"/>
      <c r="E30" s="2846">
        <v>0.8</v>
      </c>
      <c r="F30" s="2843" t="s">
        <v>2461</v>
      </c>
      <c r="G30" s="2843"/>
    </row>
    <row r="31" spans="1:13" ht="19.5" customHeight="1">
      <c r="A31" s="3509"/>
      <c r="B31" s="3506"/>
      <c r="C31" s="2844" t="s">
        <v>2462</v>
      </c>
      <c r="D31" s="2845"/>
      <c r="E31" s="2846">
        <v>0.8</v>
      </c>
      <c r="F31" s="2843" t="s">
        <v>2463</v>
      </c>
      <c r="G31" s="2843"/>
    </row>
    <row r="32" spans="1:13" ht="19.5" customHeight="1">
      <c r="A32" s="3509"/>
      <c r="B32" s="3506"/>
      <c r="C32" s="2844" t="s">
        <v>2464</v>
      </c>
      <c r="D32" s="2845"/>
      <c r="E32" s="2846">
        <v>0.7</v>
      </c>
      <c r="F32" s="2843" t="s">
        <v>2465</v>
      </c>
      <c r="G32" s="2843"/>
    </row>
    <row r="33" spans="1:7" ht="19.5" customHeight="1">
      <c r="A33" s="3509"/>
      <c r="B33" s="3506"/>
      <c r="C33" s="2844" t="s">
        <v>2466</v>
      </c>
      <c r="D33" s="2845"/>
      <c r="E33" s="2846">
        <v>0.8</v>
      </c>
      <c r="F33" s="2843" t="s">
        <v>2467</v>
      </c>
      <c r="G33" s="2843"/>
    </row>
    <row r="34" spans="1:7" ht="19.5" customHeight="1">
      <c r="A34" s="3509"/>
      <c r="B34" s="3506"/>
      <c r="C34" s="2844" t="s">
        <v>2468</v>
      </c>
      <c r="D34" s="2845"/>
      <c r="E34" s="2846">
        <v>0.6</v>
      </c>
      <c r="F34" s="2843" t="s">
        <v>2469</v>
      </c>
      <c r="G34" s="2843"/>
    </row>
    <row r="35" spans="1:7" ht="19.5" customHeight="1">
      <c r="A35" s="3509"/>
      <c r="B35" s="3506"/>
      <c r="C35" s="2844" t="s">
        <v>2470</v>
      </c>
      <c r="D35" s="2845"/>
      <c r="E35" s="2846">
        <v>0.2</v>
      </c>
      <c r="F35" s="2843" t="s">
        <v>2471</v>
      </c>
      <c r="G35" s="2843"/>
    </row>
    <row r="36" spans="1:7" ht="19.5" customHeight="1">
      <c r="A36" s="3509"/>
      <c r="B36" s="3506"/>
      <c r="C36" s="2844" t="s">
        <v>2472</v>
      </c>
      <c r="D36" s="2845"/>
      <c r="E36" s="2846">
        <v>0.2</v>
      </c>
      <c r="F36" s="2843" t="s">
        <v>2473</v>
      </c>
      <c r="G36" s="2843"/>
    </row>
    <row r="37" spans="1:7" ht="19.5" customHeight="1">
      <c r="A37" s="3509"/>
      <c r="B37" s="3511" t="s">
        <v>2634</v>
      </c>
      <c r="C37" s="2844" t="s">
        <v>2474</v>
      </c>
      <c r="D37" s="2845"/>
      <c r="E37" s="2846">
        <v>0.6</v>
      </c>
      <c r="F37" s="2843" t="s">
        <v>2475</v>
      </c>
      <c r="G37" s="2843"/>
    </row>
    <row r="38" spans="1:7" ht="19.5" customHeight="1">
      <c r="A38" s="3509"/>
      <c r="B38" s="3506"/>
      <c r="C38" s="2844" t="s">
        <v>2476</v>
      </c>
      <c r="D38" s="2845"/>
      <c r="E38" s="2846">
        <v>0.6</v>
      </c>
      <c r="F38" s="2843" t="s">
        <v>2477</v>
      </c>
      <c r="G38" s="2843"/>
    </row>
    <row r="39" spans="1:7" ht="19.5" customHeight="1" thickBot="1">
      <c r="A39" s="3510"/>
      <c r="B39" s="3507"/>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512" t="s">
        <v>2612</v>
      </c>
      <c r="B41" s="3505" t="s">
        <v>2636</v>
      </c>
      <c r="C41" s="2840" t="s">
        <v>2481</v>
      </c>
      <c r="D41" s="2841"/>
      <c r="E41" s="2842">
        <v>1</v>
      </c>
      <c r="F41" s="2843" t="s">
        <v>2482</v>
      </c>
      <c r="G41" s="2843"/>
    </row>
    <row r="42" spans="1:7" ht="19.5" customHeight="1">
      <c r="A42" s="3513"/>
      <c r="B42" s="3506"/>
      <c r="C42" s="2844" t="s">
        <v>2483</v>
      </c>
      <c r="D42" s="2845"/>
      <c r="E42" s="2846">
        <v>1</v>
      </c>
      <c r="F42" s="2843" t="s">
        <v>2484</v>
      </c>
      <c r="G42" s="2843"/>
    </row>
    <row r="43" spans="1:7" ht="19.5" customHeight="1">
      <c r="A43" s="3513"/>
      <c r="B43" s="3515"/>
      <c r="C43" s="2844" t="s">
        <v>2485</v>
      </c>
      <c r="D43" s="2845"/>
      <c r="E43" s="2846">
        <v>1.5</v>
      </c>
      <c r="F43" s="2843" t="s">
        <v>2486</v>
      </c>
      <c r="G43" s="2843"/>
    </row>
    <row r="44" spans="1:7" ht="19.5" customHeight="1">
      <c r="A44" s="3513"/>
      <c r="B44" s="2855" t="s">
        <v>2637</v>
      </c>
      <c r="C44" s="2844" t="s">
        <v>2638</v>
      </c>
      <c r="D44" s="2845"/>
      <c r="E44" s="2846">
        <v>2</v>
      </c>
      <c r="F44" s="2843" t="s">
        <v>2487</v>
      </c>
      <c r="G44" s="2843"/>
    </row>
    <row r="45" spans="1:7" ht="19.5" customHeight="1">
      <c r="A45" s="3513"/>
      <c r="B45" s="3511" t="s">
        <v>2639</v>
      </c>
      <c r="C45" s="2844" t="s">
        <v>2488</v>
      </c>
      <c r="D45" s="2845"/>
      <c r="E45" s="2846">
        <v>1</v>
      </c>
      <c r="F45" s="2843" t="s">
        <v>2489</v>
      </c>
      <c r="G45" s="2843"/>
    </row>
    <row r="46" spans="1:7" ht="19.5" customHeight="1">
      <c r="A46" s="3513"/>
      <c r="B46" s="3506"/>
      <c r="C46" s="2844" t="s">
        <v>2490</v>
      </c>
      <c r="D46" s="2845"/>
      <c r="E46" s="2846">
        <v>1</v>
      </c>
      <c r="F46" s="2843" t="s">
        <v>2491</v>
      </c>
      <c r="G46" s="2843"/>
    </row>
    <row r="47" spans="1:7" ht="19.5" customHeight="1">
      <c r="A47" s="3513"/>
      <c r="B47" s="3506"/>
      <c r="C47" s="2844" t="s">
        <v>2492</v>
      </c>
      <c r="D47" s="2845"/>
      <c r="E47" s="2846">
        <v>1</v>
      </c>
      <c r="F47" s="2843" t="s">
        <v>2493</v>
      </c>
      <c r="G47" s="2843"/>
    </row>
    <row r="48" spans="1:7" ht="19.5" customHeight="1">
      <c r="A48" s="3513"/>
      <c r="B48" s="3506"/>
      <c r="C48" s="2844" t="s">
        <v>2494</v>
      </c>
      <c r="D48" s="2845"/>
      <c r="E48" s="2846">
        <v>1</v>
      </c>
      <c r="F48" s="2843" t="s">
        <v>2495</v>
      </c>
      <c r="G48" s="2843"/>
    </row>
    <row r="49" spans="1:7" ht="19.5" customHeight="1">
      <c r="A49" s="3513"/>
      <c r="B49" s="3506"/>
      <c r="C49" s="2844" t="s">
        <v>2496</v>
      </c>
      <c r="D49" s="2845"/>
      <c r="E49" s="2846">
        <v>1</v>
      </c>
      <c r="F49" s="2843" t="s">
        <v>2497</v>
      </c>
      <c r="G49" s="2843"/>
    </row>
    <row r="50" spans="1:7" ht="19.5" customHeight="1">
      <c r="A50" s="3513"/>
      <c r="B50" s="3506"/>
      <c r="C50" s="2844" t="s">
        <v>2498</v>
      </c>
      <c r="D50" s="2845"/>
      <c r="E50" s="2846">
        <v>1</v>
      </c>
      <c r="F50" s="2843" t="s">
        <v>2499</v>
      </c>
      <c r="G50" s="2843"/>
    </row>
    <row r="51" spans="1:7" ht="19.5" customHeight="1" thickBot="1">
      <c r="A51" s="3514"/>
      <c r="B51" s="3507"/>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511" t="s">
        <v>2653</v>
      </c>
      <c r="C73" s="2829" t="s">
        <v>2654</v>
      </c>
      <c r="D73" s="2829" t="s">
        <v>2655</v>
      </c>
      <c r="E73" s="2855">
        <v>0.2</v>
      </c>
      <c r="F73" s="2855">
        <v>25</v>
      </c>
    </row>
    <row r="74" spans="1:7" ht="24">
      <c r="A74" s="2855">
        <v>2</v>
      </c>
      <c r="B74" s="3506"/>
      <c r="C74" s="2829" t="s">
        <v>2656</v>
      </c>
      <c r="D74" s="2829" t="s">
        <v>2657</v>
      </c>
      <c r="E74" s="2855">
        <v>0.2</v>
      </c>
      <c r="F74" s="2855">
        <v>25</v>
      </c>
    </row>
    <row r="75" spans="1:7" ht="24">
      <c r="A75" s="2855">
        <v>3</v>
      </c>
      <c r="B75" s="3506"/>
      <c r="C75" s="2829" t="s">
        <v>2658</v>
      </c>
      <c r="D75" s="2829" t="s">
        <v>2659</v>
      </c>
      <c r="E75" s="2855">
        <v>0.2</v>
      </c>
      <c r="F75" s="2855">
        <v>25</v>
      </c>
    </row>
    <row r="76" spans="1:7" ht="13.5">
      <c r="A76" s="2855">
        <v>4</v>
      </c>
      <c r="B76" s="3506"/>
      <c r="C76" s="2829" t="s">
        <v>2660</v>
      </c>
      <c r="D76" s="2829" t="s">
        <v>2661</v>
      </c>
      <c r="E76" s="2855">
        <v>0.15</v>
      </c>
      <c r="F76" s="2855">
        <v>20</v>
      </c>
    </row>
    <row r="77" spans="1:7" ht="24">
      <c r="A77" s="2855">
        <v>5</v>
      </c>
      <c r="B77" s="3506"/>
      <c r="C77" s="2829" t="s">
        <v>2662</v>
      </c>
      <c r="D77" s="2829" t="s">
        <v>2663</v>
      </c>
      <c r="E77" s="2855">
        <v>0.15</v>
      </c>
      <c r="F77" s="2855">
        <v>20</v>
      </c>
    </row>
    <row r="78" spans="1:7" ht="24">
      <c r="A78" s="2855">
        <v>6</v>
      </c>
      <c r="B78" s="3506"/>
      <c r="C78" s="2829" t="s">
        <v>2664</v>
      </c>
      <c r="D78" s="2829" t="s">
        <v>2665</v>
      </c>
      <c r="E78" s="2855">
        <v>0.15</v>
      </c>
      <c r="F78" s="2855">
        <v>20</v>
      </c>
    </row>
    <row r="79" spans="1:7" ht="24">
      <c r="A79" s="2855">
        <v>7</v>
      </c>
      <c r="B79" s="3506"/>
      <c r="C79" s="2829" t="s">
        <v>2666</v>
      </c>
      <c r="D79" s="2829" t="s">
        <v>2667</v>
      </c>
      <c r="E79" s="2855">
        <v>0.15</v>
      </c>
      <c r="F79" s="2855">
        <v>20</v>
      </c>
    </row>
    <row r="80" spans="1:7" ht="24">
      <c r="A80" s="2855">
        <v>8</v>
      </c>
      <c r="B80" s="3506"/>
      <c r="C80" s="2829" t="s">
        <v>2668</v>
      </c>
      <c r="D80" s="2829" t="s">
        <v>2669</v>
      </c>
      <c r="E80" s="2855">
        <v>0.1</v>
      </c>
      <c r="F80" s="2855">
        <v>15</v>
      </c>
    </row>
    <row r="81" spans="1:6" ht="24">
      <c r="A81" s="2855">
        <v>9</v>
      </c>
      <c r="B81" s="3506"/>
      <c r="C81" s="2829" t="s">
        <v>2670</v>
      </c>
      <c r="D81" s="2829" t="s">
        <v>2671</v>
      </c>
      <c r="E81" s="2855">
        <v>0.1</v>
      </c>
      <c r="F81" s="2855">
        <v>15</v>
      </c>
    </row>
    <row r="82" spans="1:6" ht="24">
      <c r="A82" s="2855">
        <v>10</v>
      </c>
      <c r="B82" s="3506"/>
      <c r="C82" s="2829" t="s">
        <v>2672</v>
      </c>
      <c r="D82" s="2829" t="s">
        <v>2673</v>
      </c>
      <c r="E82" s="2855">
        <v>0.1</v>
      </c>
      <c r="F82" s="2855">
        <v>15</v>
      </c>
    </row>
    <row r="83" spans="1:6" ht="24">
      <c r="A83" s="2855">
        <v>11</v>
      </c>
      <c r="B83" s="3506"/>
      <c r="C83" s="2829" t="s">
        <v>2674</v>
      </c>
      <c r="D83" s="2829" t="s">
        <v>2675</v>
      </c>
      <c r="E83" s="2855">
        <v>0.1</v>
      </c>
      <c r="F83" s="2855">
        <v>15</v>
      </c>
    </row>
    <row r="84" spans="1:6" ht="24">
      <c r="A84" s="2855">
        <v>12</v>
      </c>
      <c r="B84" s="3506"/>
      <c r="C84" s="2829" t="s">
        <v>2676</v>
      </c>
      <c r="D84" s="2829" t="s">
        <v>2677</v>
      </c>
      <c r="E84" s="2855">
        <v>0.1</v>
      </c>
      <c r="F84" s="2855">
        <v>15</v>
      </c>
    </row>
    <row r="85" spans="1:6" ht="13.5">
      <c r="A85" s="2855">
        <v>13</v>
      </c>
      <c r="B85" s="3506"/>
      <c r="C85" s="2829" t="s">
        <v>2678</v>
      </c>
      <c r="D85" s="2829" t="s">
        <v>2679</v>
      </c>
      <c r="E85" s="2855">
        <v>0.1</v>
      </c>
      <c r="F85" s="2855">
        <v>15</v>
      </c>
    </row>
    <row r="86" spans="1:6" ht="13.5">
      <c r="A86" s="2855">
        <v>14</v>
      </c>
      <c r="B86" s="3506"/>
      <c r="C86" s="2829" t="s">
        <v>2680</v>
      </c>
      <c r="D86" s="2829" t="s">
        <v>2681</v>
      </c>
      <c r="E86" s="2855">
        <v>0.1</v>
      </c>
      <c r="F86" s="2855">
        <v>15</v>
      </c>
    </row>
    <row r="87" spans="1:6" ht="13.5">
      <c r="A87" s="2855">
        <v>15</v>
      </c>
      <c r="B87" s="3506"/>
      <c r="C87" s="2829" t="s">
        <v>2682</v>
      </c>
      <c r="D87" s="2829" t="s">
        <v>2683</v>
      </c>
      <c r="E87" s="2855">
        <v>0.1</v>
      </c>
      <c r="F87" s="2855">
        <v>15</v>
      </c>
    </row>
    <row r="88" spans="1:6" ht="24">
      <c r="A88" s="2855">
        <v>16</v>
      </c>
      <c r="B88" s="3506"/>
      <c r="C88" s="2829" t="s">
        <v>2684</v>
      </c>
      <c r="D88" s="2829" t="s">
        <v>2685</v>
      </c>
      <c r="E88" s="2855">
        <v>0.1</v>
      </c>
      <c r="F88" s="2855">
        <v>15</v>
      </c>
    </row>
    <row r="89" spans="1:6" ht="24">
      <c r="A89" s="2855">
        <v>17</v>
      </c>
      <c r="B89" s="3515"/>
      <c r="C89" s="2829" t="s">
        <v>2686</v>
      </c>
      <c r="D89" s="2829" t="s">
        <v>2687</v>
      </c>
      <c r="E89" s="2855">
        <v>0.1</v>
      </c>
      <c r="F89" s="2855">
        <v>15</v>
      </c>
    </row>
    <row r="90" spans="1:6" ht="13.5">
      <c r="A90" s="2855">
        <v>18</v>
      </c>
      <c r="B90" s="3511" t="s">
        <v>2688</v>
      </c>
      <c r="C90" s="2829" t="s">
        <v>2689</v>
      </c>
      <c r="D90" s="2829" t="s">
        <v>2690</v>
      </c>
      <c r="E90" s="2855">
        <v>0.2</v>
      </c>
      <c r="F90" s="2855">
        <v>25</v>
      </c>
    </row>
    <row r="91" spans="1:6" ht="24">
      <c r="A91" s="2855">
        <v>19</v>
      </c>
      <c r="B91" s="3506"/>
      <c r="C91" s="2829" t="s">
        <v>2691</v>
      </c>
      <c r="D91" s="2829" t="s">
        <v>2692</v>
      </c>
      <c r="E91" s="2855">
        <v>0.2</v>
      </c>
      <c r="F91" s="2855">
        <v>25</v>
      </c>
    </row>
    <row r="92" spans="1:6" ht="13.5">
      <c r="A92" s="2855">
        <v>20</v>
      </c>
      <c r="B92" s="3506"/>
      <c r="C92" s="2829" t="s">
        <v>2693</v>
      </c>
      <c r="D92" s="2829" t="s">
        <v>2694</v>
      </c>
      <c r="E92" s="2855">
        <v>0.15</v>
      </c>
      <c r="F92" s="2855">
        <v>20</v>
      </c>
    </row>
    <row r="93" spans="1:6" ht="13.5">
      <c r="A93" s="2855">
        <v>21</v>
      </c>
      <c r="B93" s="3506"/>
      <c r="C93" s="2829" t="s">
        <v>2695</v>
      </c>
      <c r="D93" s="2829" t="s">
        <v>2696</v>
      </c>
      <c r="E93" s="2855">
        <v>0.15</v>
      </c>
      <c r="F93" s="2855">
        <v>20</v>
      </c>
    </row>
    <row r="94" spans="1:6" ht="13.5">
      <c r="A94" s="2855">
        <v>22</v>
      </c>
      <c r="B94" s="3506"/>
      <c r="C94" s="2829" t="s">
        <v>2697</v>
      </c>
      <c r="D94" s="2829" t="s">
        <v>2698</v>
      </c>
      <c r="E94" s="2855">
        <v>0.15</v>
      </c>
      <c r="F94" s="2855">
        <v>20</v>
      </c>
    </row>
    <row r="95" spans="1:6" ht="36">
      <c r="A95" s="2855">
        <v>23</v>
      </c>
      <c r="B95" s="3506"/>
      <c r="C95" s="2829" t="s">
        <v>2699</v>
      </c>
      <c r="D95" s="2829" t="s">
        <v>2700</v>
      </c>
      <c r="E95" s="2855">
        <v>0.15</v>
      </c>
      <c r="F95" s="2855">
        <v>20</v>
      </c>
    </row>
    <row r="96" spans="1:6" ht="13.5">
      <c r="A96" s="2855">
        <v>24</v>
      </c>
      <c r="B96" s="3506"/>
      <c r="C96" s="2829" t="s">
        <v>2701</v>
      </c>
      <c r="D96" s="2829" t="s">
        <v>2702</v>
      </c>
      <c r="E96" s="2855">
        <v>0.1</v>
      </c>
      <c r="F96" s="2855">
        <v>15</v>
      </c>
    </row>
    <row r="97" spans="1:6" ht="13.5">
      <c r="A97" s="2855">
        <v>25</v>
      </c>
      <c r="B97" s="3506"/>
      <c r="C97" s="2829" t="s">
        <v>2703</v>
      </c>
      <c r="D97" s="2829" t="s">
        <v>2704</v>
      </c>
      <c r="E97" s="2855">
        <v>0.1</v>
      </c>
      <c r="F97" s="2855">
        <v>15</v>
      </c>
    </row>
    <row r="98" spans="1:6" ht="24">
      <c r="A98" s="2855">
        <v>26</v>
      </c>
      <c r="B98" s="3506"/>
      <c r="C98" s="2829" t="s">
        <v>2705</v>
      </c>
      <c r="D98" s="2829" t="s">
        <v>2706</v>
      </c>
      <c r="E98" s="2855">
        <v>0.1</v>
      </c>
      <c r="F98" s="2855">
        <v>15</v>
      </c>
    </row>
    <row r="99" spans="1:6" ht="24">
      <c r="A99" s="2855">
        <v>27</v>
      </c>
      <c r="B99" s="3506"/>
      <c r="C99" s="2829" t="s">
        <v>2707</v>
      </c>
      <c r="D99" s="2829" t="s">
        <v>2708</v>
      </c>
      <c r="E99" s="2855">
        <v>0.1</v>
      </c>
      <c r="F99" s="2855">
        <v>15</v>
      </c>
    </row>
    <row r="100" spans="1:6" ht="13.5">
      <c r="A100" s="2855">
        <v>28</v>
      </c>
      <c r="B100" s="3506"/>
      <c r="C100" s="2829" t="s">
        <v>2709</v>
      </c>
      <c r="D100" s="2829" t="s">
        <v>2710</v>
      </c>
      <c r="E100" s="2855">
        <v>0.1</v>
      </c>
      <c r="F100" s="2855">
        <v>15</v>
      </c>
    </row>
    <row r="101" spans="1:6" ht="13.5">
      <c r="A101" s="2855">
        <v>29</v>
      </c>
      <c r="B101" s="3506"/>
      <c r="C101" s="2829" t="s">
        <v>2711</v>
      </c>
      <c r="D101" s="2829" t="s">
        <v>2712</v>
      </c>
      <c r="E101" s="2855">
        <v>0.1</v>
      </c>
      <c r="F101" s="2855">
        <v>15</v>
      </c>
    </row>
    <row r="102" spans="1:6" ht="13.5">
      <c r="A102" s="2855">
        <v>30</v>
      </c>
      <c r="B102" s="3506"/>
      <c r="C102" s="2829" t="s">
        <v>2713</v>
      </c>
      <c r="D102" s="2829" t="s">
        <v>2714</v>
      </c>
      <c r="E102" s="2855">
        <v>0.1</v>
      </c>
      <c r="F102" s="2855">
        <v>15</v>
      </c>
    </row>
    <row r="103" spans="1:6" ht="24">
      <c r="A103" s="2855">
        <v>31</v>
      </c>
      <c r="B103" s="3506"/>
      <c r="C103" s="2829" t="s">
        <v>2715</v>
      </c>
      <c r="D103" s="2829" t="s">
        <v>2716</v>
      </c>
      <c r="E103" s="2855">
        <v>0.1</v>
      </c>
      <c r="F103" s="2855">
        <v>15</v>
      </c>
    </row>
    <row r="104" spans="1:6" ht="24">
      <c r="A104" s="2855">
        <v>32</v>
      </c>
      <c r="B104" s="3506"/>
      <c r="C104" s="2829" t="s">
        <v>2717</v>
      </c>
      <c r="D104" s="2829" t="s">
        <v>2718</v>
      </c>
      <c r="E104" s="2855">
        <v>0.1</v>
      </c>
      <c r="F104" s="2855">
        <v>15</v>
      </c>
    </row>
    <row r="105" spans="1:6" ht="24">
      <c r="A105" s="2855">
        <v>33</v>
      </c>
      <c r="B105" s="3506"/>
      <c r="C105" s="2829" t="s">
        <v>2719</v>
      </c>
      <c r="D105" s="2829" t="s">
        <v>2720</v>
      </c>
      <c r="E105" s="2855">
        <v>0.1</v>
      </c>
      <c r="F105" s="2855">
        <v>15</v>
      </c>
    </row>
    <row r="106" spans="1:6" ht="24">
      <c r="A106" s="2855">
        <v>34</v>
      </c>
      <c r="B106" s="3515"/>
      <c r="C106" s="2829" t="s">
        <v>2721</v>
      </c>
      <c r="D106" s="2829" t="s">
        <v>2722</v>
      </c>
      <c r="E106" s="2855">
        <v>0.1</v>
      </c>
      <c r="F106" s="2855">
        <v>15</v>
      </c>
    </row>
    <row r="107" spans="1:6" ht="24">
      <c r="A107" s="2855">
        <v>35</v>
      </c>
      <c r="B107" s="3511" t="s">
        <v>2723</v>
      </c>
      <c r="C107" s="2855" t="s">
        <v>2724</v>
      </c>
      <c r="D107" s="2829" t="s">
        <v>2725</v>
      </c>
      <c r="E107" s="2855">
        <v>0.15</v>
      </c>
      <c r="F107" s="2855">
        <v>20</v>
      </c>
    </row>
    <row r="108" spans="1:6" ht="13.5">
      <c r="A108" s="2855">
        <v>36</v>
      </c>
      <c r="B108" s="3506"/>
      <c r="C108" s="2855" t="s">
        <v>2726</v>
      </c>
      <c r="D108" s="2829" t="s">
        <v>2727</v>
      </c>
      <c r="E108" s="2855">
        <v>0.15</v>
      </c>
      <c r="F108" s="2855">
        <v>20</v>
      </c>
    </row>
    <row r="109" spans="1:6" ht="13.5">
      <c r="A109" s="2855">
        <v>37</v>
      </c>
      <c r="B109" s="3506"/>
      <c r="C109" s="2855" t="s">
        <v>2728</v>
      </c>
      <c r="D109" s="2829" t="s">
        <v>2729</v>
      </c>
      <c r="E109" s="2855">
        <v>0.15</v>
      </c>
      <c r="F109" s="2855">
        <v>20</v>
      </c>
    </row>
    <row r="110" spans="1:6" ht="13.5">
      <c r="A110" s="2855">
        <v>38</v>
      </c>
      <c r="B110" s="3506"/>
      <c r="C110" s="2855" t="s">
        <v>2730</v>
      </c>
      <c r="D110" s="2829" t="s">
        <v>2731</v>
      </c>
      <c r="E110" s="2855">
        <v>0.1</v>
      </c>
      <c r="F110" s="2855">
        <v>15</v>
      </c>
    </row>
    <row r="111" spans="1:6" ht="24">
      <c r="A111" s="2855">
        <v>39</v>
      </c>
      <c r="B111" s="3506"/>
      <c r="C111" s="2855" t="s">
        <v>2732</v>
      </c>
      <c r="D111" s="2829" t="s">
        <v>2733</v>
      </c>
      <c r="E111" s="2855">
        <v>0.1</v>
      </c>
      <c r="F111" s="2855">
        <v>15</v>
      </c>
    </row>
    <row r="112" spans="1:6" ht="24">
      <c r="A112" s="2855">
        <v>40</v>
      </c>
      <c r="B112" s="3515"/>
      <c r="C112" s="2855" t="s">
        <v>2734</v>
      </c>
      <c r="D112" s="2829" t="s">
        <v>2735</v>
      </c>
      <c r="E112" s="2855">
        <v>0.1</v>
      </c>
      <c r="F112" s="2855">
        <v>15</v>
      </c>
    </row>
    <row r="113" spans="1:6" ht="13.5">
      <c r="A113" s="2855">
        <v>41</v>
      </c>
      <c r="B113" s="3516" t="s">
        <v>2736</v>
      </c>
      <c r="C113" s="2855" t="s">
        <v>2737</v>
      </c>
      <c r="D113" s="2829" t="s">
        <v>2738</v>
      </c>
      <c r="E113" s="2855">
        <v>0.1</v>
      </c>
      <c r="F113" s="2855">
        <v>15</v>
      </c>
    </row>
    <row r="114" spans="1:6" ht="13.5">
      <c r="A114" s="2855">
        <v>42</v>
      </c>
      <c r="B114" s="3516"/>
      <c r="C114" s="2855" t="s">
        <v>2739</v>
      </c>
      <c r="D114" s="2829" t="s">
        <v>2740</v>
      </c>
      <c r="E114" s="2855">
        <v>0.1</v>
      </c>
      <c r="F114" s="2855">
        <v>15</v>
      </c>
    </row>
    <row r="115" spans="1:6" ht="24">
      <c r="A115" s="2855">
        <v>43</v>
      </c>
      <c r="B115" s="3516"/>
      <c r="C115" s="2855" t="s">
        <v>2741</v>
      </c>
      <c r="D115" s="2829" t="s">
        <v>2742</v>
      </c>
      <c r="E115" s="2855">
        <v>0.1</v>
      </c>
      <c r="F115" s="2855">
        <v>15</v>
      </c>
    </row>
    <row r="116" spans="1:6" ht="13.5">
      <c r="A116" s="2855">
        <v>44</v>
      </c>
      <c r="B116" s="3511" t="s">
        <v>2743</v>
      </c>
      <c r="C116" s="2855" t="s">
        <v>2744</v>
      </c>
      <c r="D116" s="2829" t="s">
        <v>2745</v>
      </c>
      <c r="E116" s="2855">
        <v>0.1</v>
      </c>
      <c r="F116" s="2855">
        <v>15</v>
      </c>
    </row>
    <row r="117" spans="1:6" ht="24">
      <c r="A117" s="2855">
        <v>45</v>
      </c>
      <c r="B117" s="3515"/>
      <c r="C117" s="2829" t="s">
        <v>2746</v>
      </c>
      <c r="D117" s="2829" t="s">
        <v>2747</v>
      </c>
      <c r="E117" s="2855">
        <v>0.1</v>
      </c>
      <c r="F117" s="2855">
        <v>15</v>
      </c>
    </row>
    <row r="118" spans="1:6" ht="24">
      <c r="A118" s="2855">
        <v>46</v>
      </c>
      <c r="B118" s="3511" t="s">
        <v>2748</v>
      </c>
      <c r="C118" s="2855" t="s">
        <v>2749</v>
      </c>
      <c r="D118" s="2829" t="s">
        <v>2750</v>
      </c>
      <c r="E118" s="2855">
        <v>0.1</v>
      </c>
      <c r="F118" s="2855">
        <v>15</v>
      </c>
    </row>
    <row r="119" spans="1:6" ht="24">
      <c r="A119" s="2855">
        <v>47</v>
      </c>
      <c r="B119" s="3515"/>
      <c r="C119" s="2855" t="s">
        <v>2751</v>
      </c>
      <c r="D119" s="2829" t="s">
        <v>2752</v>
      </c>
      <c r="E119" s="2855">
        <v>0.1</v>
      </c>
      <c r="F119" s="2855">
        <v>15</v>
      </c>
    </row>
    <row r="120" spans="1:6" ht="13.5">
      <c r="A120" s="2855">
        <v>48</v>
      </c>
      <c r="B120" s="3511" t="s">
        <v>2753</v>
      </c>
      <c r="C120" s="2855" t="s">
        <v>2754</v>
      </c>
      <c r="D120" s="2829" t="s">
        <v>2755</v>
      </c>
      <c r="E120" s="2855">
        <v>0.1</v>
      </c>
      <c r="F120" s="2855">
        <v>15</v>
      </c>
    </row>
    <row r="121" spans="1:6" ht="13.5">
      <c r="A121" s="2855">
        <v>49</v>
      </c>
      <c r="B121" s="3515"/>
      <c r="C121" s="2855" t="s">
        <v>2756</v>
      </c>
      <c r="D121" s="2829" t="s">
        <v>2757</v>
      </c>
      <c r="E121" s="2855">
        <v>0.1</v>
      </c>
      <c r="F121" s="2855">
        <v>15</v>
      </c>
    </row>
    <row r="122" spans="1:6" ht="24">
      <c r="A122" s="2855">
        <v>50</v>
      </c>
      <c r="B122" s="3516" t="s">
        <v>2758</v>
      </c>
      <c r="C122" s="2855" t="s">
        <v>2759</v>
      </c>
      <c r="D122" s="2829" t="s">
        <v>2760</v>
      </c>
      <c r="E122" s="2855">
        <v>0.1</v>
      </c>
      <c r="F122" s="2855">
        <v>15</v>
      </c>
    </row>
    <row r="123" spans="1:6" ht="24">
      <c r="A123" s="2855">
        <v>51</v>
      </c>
      <c r="B123" s="3516"/>
      <c r="C123" s="2855" t="s">
        <v>2761</v>
      </c>
      <c r="D123" s="2829" t="s">
        <v>2762</v>
      </c>
      <c r="E123" s="2855">
        <v>0.1</v>
      </c>
      <c r="F123" s="2855">
        <v>15</v>
      </c>
    </row>
    <row r="124" spans="1:6" ht="24">
      <c r="A124" s="2855">
        <v>52</v>
      </c>
      <c r="B124" s="3516" t="s">
        <v>2763</v>
      </c>
      <c r="C124" s="2855" t="s">
        <v>2764</v>
      </c>
      <c r="D124" s="2829" t="s">
        <v>2765</v>
      </c>
      <c r="E124" s="2855">
        <v>0.1</v>
      </c>
      <c r="F124" s="2855">
        <v>15</v>
      </c>
    </row>
    <row r="125" spans="1:6" ht="24">
      <c r="A125" s="2855">
        <v>53</v>
      </c>
      <c r="B125" s="3516"/>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516" t="s">
        <v>2771</v>
      </c>
      <c r="C127" s="2855" t="s">
        <v>2772</v>
      </c>
      <c r="D127" s="2829" t="s">
        <v>2773</v>
      </c>
      <c r="E127" s="2855">
        <v>0.1</v>
      </c>
      <c r="F127" s="2855">
        <v>15</v>
      </c>
    </row>
    <row r="128" spans="1:6" ht="13.5">
      <c r="A128" s="2855">
        <v>56</v>
      </c>
      <c r="B128" s="3516"/>
      <c r="C128" s="2855" t="s">
        <v>2774</v>
      </c>
      <c r="D128" s="2829" t="s">
        <v>2775</v>
      </c>
      <c r="E128" s="2855">
        <v>0.1</v>
      </c>
      <c r="F128" s="2855">
        <v>15</v>
      </c>
    </row>
    <row r="129" spans="1:6" ht="24">
      <c r="A129" s="2855">
        <v>57</v>
      </c>
      <c r="B129" s="3516"/>
      <c r="C129" s="2855" t="s">
        <v>2776</v>
      </c>
      <c r="D129" s="2829" t="s">
        <v>2777</v>
      </c>
      <c r="E129" s="2855">
        <v>0.1</v>
      </c>
      <c r="F129" s="2855">
        <v>15</v>
      </c>
    </row>
    <row r="130" spans="1:6" ht="24">
      <c r="A130" s="2855">
        <v>58</v>
      </c>
      <c r="B130" s="3516" t="s">
        <v>2778</v>
      </c>
      <c r="C130" s="2855" t="s">
        <v>2779</v>
      </c>
      <c r="D130" s="2829" t="s">
        <v>2780</v>
      </c>
      <c r="E130" s="2855">
        <v>0.1</v>
      </c>
      <c r="F130" s="2855">
        <v>15</v>
      </c>
    </row>
    <row r="131" spans="1:6" ht="13.5">
      <c r="A131" s="2855">
        <v>59</v>
      </c>
      <c r="B131" s="3516"/>
      <c r="C131" s="2855" t="s">
        <v>2781</v>
      </c>
      <c r="D131" s="2829" t="s">
        <v>2782</v>
      </c>
      <c r="E131" s="2855">
        <v>0.1</v>
      </c>
      <c r="F131" s="2855">
        <v>15</v>
      </c>
    </row>
    <row r="132" spans="1:6" ht="13.5">
      <c r="A132" s="2855">
        <v>60</v>
      </c>
      <c r="B132" s="3511" t="s">
        <v>2783</v>
      </c>
      <c r="C132" s="2855" t="s">
        <v>2784</v>
      </c>
      <c r="D132" s="2829" t="s">
        <v>2785</v>
      </c>
      <c r="E132" s="2855">
        <v>0.1</v>
      </c>
      <c r="F132" s="2855">
        <v>15</v>
      </c>
    </row>
    <row r="133" spans="1:6" ht="13.5">
      <c r="A133" s="2855">
        <v>61</v>
      </c>
      <c r="B133" s="3515"/>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516" t="s">
        <v>2791</v>
      </c>
      <c r="C135" s="2855" t="s">
        <v>2792</v>
      </c>
      <c r="D135" s="2829" t="s">
        <v>2793</v>
      </c>
      <c r="E135" s="2855">
        <v>0.1</v>
      </c>
      <c r="F135" s="2855">
        <v>15</v>
      </c>
    </row>
    <row r="136" spans="1:6" ht="13.5">
      <c r="A136" s="2855">
        <v>64</v>
      </c>
      <c r="B136" s="3516"/>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估价结果一览表（市场价值不需“结果表-1”）</v>
      </c>
      <c r="B3" s="3204"/>
      <c r="C3" s="3204"/>
      <c r="D3" s="3204"/>
      <c r="E3" s="3204"/>
    </row>
    <row r="4" spans="1:5" ht="19.5" thickBot="1">
      <c r="A4" s="1390"/>
      <c r="B4" s="3202" t="s">
        <v>917</v>
      </c>
      <c r="C4" s="3202"/>
      <c r="D4" s="3202"/>
      <c r="E4" s="1390"/>
    </row>
    <row r="5" spans="1:5" ht="16.5" thickTop="1">
      <c r="B5" s="3200" t="s">
        <v>909</v>
      </c>
      <c r="C5" s="1391" t="s">
        <v>910</v>
      </c>
      <c r="D5" s="797" t="e">
        <f ca="1">结果表!H101</f>
        <v>#REF!</v>
      </c>
    </row>
    <row r="6" spans="1:5" ht="15.75">
      <c r="B6" s="3200"/>
      <c r="C6" s="1391" t="s">
        <v>911</v>
      </c>
      <c r="D6" s="797" t="e">
        <f ca="1">NUMBERSTRING(INT(D5*10000),2)&amp;"元整"</f>
        <v>#REF!</v>
      </c>
    </row>
    <row r="7" spans="1:5" ht="15.75">
      <c r="B7" s="3205"/>
      <c r="C7" s="1392" t="s">
        <v>912</v>
      </c>
      <c r="D7" s="798" t="e">
        <f ca="1">结果表!H102</f>
        <v>#REF!</v>
      </c>
    </row>
    <row r="8" spans="1:5" ht="15.75">
      <c r="B8" s="3206" t="str">
        <f>结果表!E103</f>
        <v>2.估价师知悉的法定优先受偿款</v>
      </c>
      <c r="C8" s="1393" t="s">
        <v>913</v>
      </c>
      <c r="D8" s="798">
        <f>结果表!H103</f>
        <v>0</v>
      </c>
    </row>
    <row r="9" spans="1:5" ht="15.75">
      <c r="B9" s="3208"/>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99" t="str">
        <f>结果表!E107</f>
        <v>3.房地产抵押价值</v>
      </c>
      <c r="C13" s="1396" t="s">
        <v>910</v>
      </c>
      <c r="D13" s="800" t="e">
        <f ca="1">结果表!H107</f>
        <v>#REF!</v>
      </c>
    </row>
    <row r="14" spans="1:5" ht="15.75">
      <c r="B14" s="3200"/>
      <c r="C14" s="1391" t="s">
        <v>911</v>
      </c>
      <c r="D14" s="797" t="e">
        <f ca="1">NUMBERSTRING(INT(D13*10000),2)&amp;"元整"</f>
        <v>#REF!</v>
      </c>
    </row>
    <row r="15" spans="1:5" ht="15">
      <c r="B15" s="3205"/>
      <c r="C15" s="1392" t="s">
        <v>921</v>
      </c>
      <c r="D15" s="806" t="e">
        <f ca="1">结果表!H108</f>
        <v>#REF!</v>
      </c>
    </row>
    <row r="16" spans="1:5" ht="15">
      <c r="B16" s="3206" t="str">
        <f>结果表!E109</f>
        <v>——</v>
      </c>
      <c r="C16" s="1396" t="s">
        <v>922</v>
      </c>
      <c r="D16" s="1397" t="str">
        <f>结果表!H109</f>
        <v>——</v>
      </c>
    </row>
    <row r="17" spans="1:5" ht="15.75">
      <c r="B17" s="3207"/>
      <c r="C17" s="1391" t="s">
        <v>923</v>
      </c>
      <c r="D17" s="797" t="e">
        <f>NUMBERSTRING(INT(D16*10000),2)&amp;"元整"</f>
        <v>#VALUE!</v>
      </c>
    </row>
    <row r="18" spans="1:5" ht="15">
      <c r="B18" s="3208"/>
      <c r="C18" s="1392" t="s">
        <v>912</v>
      </c>
      <c r="D18" s="806" t="str">
        <f>结果表!H110</f>
        <v>——</v>
      </c>
    </row>
    <row r="19" spans="1:5" ht="15.75">
      <c r="B19" s="3199" t="str">
        <f>结果表!E111</f>
        <v>——</v>
      </c>
      <c r="C19" s="1396" t="s">
        <v>910</v>
      </c>
      <c r="D19" s="798" t="str">
        <f>结果表!H111</f>
        <v>——</v>
      </c>
    </row>
    <row r="20" spans="1:5" ht="15.75">
      <c r="B20" s="3200"/>
      <c r="C20" s="1391" t="s">
        <v>923</v>
      </c>
      <c r="D20" s="797" t="e">
        <f>NUMBERSTRING(INT(D19*10000),2)&amp;"元整"</f>
        <v>#VALUE!</v>
      </c>
    </row>
    <row r="21" spans="1:5" ht="15.75" thickBot="1">
      <c r="B21" s="3201"/>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27304</v>
      </c>
      <c r="C2" s="2" t="s">
        <v>106</v>
      </c>
      <c r="D2" s="191"/>
      <c r="E2" s="191"/>
      <c r="F2" s="191"/>
      <c r="G2" s="191"/>
    </row>
    <row r="3" spans="1:7" s="192" customFormat="1" ht="18" customHeight="1" thickBot="1">
      <c r="A3" s="195" t="s">
        <v>58</v>
      </c>
      <c r="B3" s="196">
        <f ca="1">ROUND(B2*10000/'数据-汇总表'!E3,0)</f>
        <v>4882690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55.92</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55.92</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2626</v>
      </c>
      <c r="D22" s="227">
        <f ca="1">C26</f>
        <v>5.9999999999999995E-4</v>
      </c>
      <c r="E22" s="228" t="s">
        <v>99</v>
      </c>
      <c r="F22" s="229">
        <f ca="1">'数据-取费表'!B40</f>
        <v>6.1500000000000006E-2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2613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2082</v>
      </c>
      <c r="D27" s="227">
        <f>C29</f>
        <v>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27296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0.01</v>
      </c>
      <c r="G36" s="252" t="s">
        <v>35</v>
      </c>
    </row>
    <row r="37" spans="1:7" s="250" customFormat="1" ht="13.5" customHeight="1">
      <c r="A37" s="734" t="s">
        <v>353</v>
      </c>
      <c r="B37" s="207" t="s">
        <v>91</v>
      </c>
      <c r="C37" s="241">
        <f>ROUND(E37*D37*F34/10000,0)</f>
        <v>1</v>
      </c>
      <c r="D37" s="209">
        <f>'数据-汇总表'!E3</f>
        <v>55.92</v>
      </c>
      <c r="E37" s="241">
        <f>'数据-取费表'!B35</f>
        <v>150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80" t="s">
        <v>94</v>
      </c>
    </row>
    <row r="43" spans="1:7" ht="13.5" customHeight="1">
      <c r="A43" s="734" t="s">
        <v>347</v>
      </c>
      <c r="B43" s="207" t="s">
        <v>426</v>
      </c>
      <c r="C43" s="230">
        <f ca="1">ROUND(IF('数据-取费表'!B22&lt;=1,C39*F22*'数据-取费表'!B21/2,C39*(POWER((1+F22),'数据-取费表'!B21/2)-1)),0)</f>
        <v>0</v>
      </c>
      <c r="D43" s="230"/>
      <c r="E43" s="230"/>
      <c r="F43" s="231"/>
      <c r="G43" s="3381"/>
    </row>
    <row r="44" spans="1:7" ht="13.5" customHeight="1">
      <c r="A44" s="734" t="s">
        <v>348</v>
      </c>
      <c r="B44" s="207" t="s">
        <v>428</v>
      </c>
      <c r="C44" s="230">
        <f ca="1">ROUND(IF('数据-取费表'!B22&lt;=1,C40*F22*'数据-取费表'!B21/2,C40*(POWER((1+F22),'数据-取费表'!B21/2)-1)),4)</f>
        <v>5.9999999999999995E-4</v>
      </c>
      <c r="D44" s="230"/>
      <c r="E44" s="230"/>
      <c r="F44" s="231"/>
      <c r="G44" s="3382"/>
    </row>
    <row r="45" spans="1:7" s="206" customFormat="1" ht="13.5" customHeight="1">
      <c r="A45" s="731" t="s">
        <v>341</v>
      </c>
      <c r="B45" s="236" t="s">
        <v>85</v>
      </c>
      <c r="C45" s="237">
        <f>C46</f>
        <v>1</v>
      </c>
      <c r="D45" s="227">
        <f>C47</f>
        <v>1E-3</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0.6</v>
      </c>
      <c r="G50" s="239" t="s">
        <v>98</v>
      </c>
    </row>
    <row r="51" spans="1:7" ht="16.5" customHeight="1">
      <c r="A51" s="731" t="s">
        <v>345</v>
      </c>
      <c r="B51" s="202" t="s">
        <v>105</v>
      </c>
      <c r="C51" s="224">
        <f ca="1">ROUND(C49*F50,0)</f>
        <v>8</v>
      </c>
      <c r="D51" s="224"/>
      <c r="E51" s="224"/>
      <c r="F51" s="256"/>
      <c r="G51" s="226" t="s">
        <v>37</v>
      </c>
    </row>
    <row r="52" spans="1:7" s="200" customFormat="1" ht="16.5" thickBot="1">
      <c r="A52" s="257" t="s">
        <v>38</v>
      </c>
      <c r="B52" s="258"/>
      <c r="C52" s="259">
        <f ca="1">C31+C51</f>
        <v>27304</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9" t="s">
        <v>2841</v>
      </c>
      <c r="B1" s="3519"/>
      <c r="C1" s="3519"/>
      <c r="D1" s="3519"/>
      <c r="E1" s="3519"/>
      <c r="F1" s="3519"/>
      <c r="G1" s="3520"/>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517"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518"/>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21" t="s">
        <v>3183</v>
      </c>
      <c r="B1" s="3521"/>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1"/>
  </cols>
  <sheetData>
    <row r="1" spans="1:6" ht="14.25">
      <c r="A1" s="3522" t="s">
        <v>3234</v>
      </c>
      <c r="B1" s="3522"/>
      <c r="C1" s="3522"/>
      <c r="D1" s="3522"/>
      <c r="E1" s="3522"/>
      <c r="F1" s="3523"/>
    </row>
    <row r="2" spans="1:6" ht="14.25">
      <c r="A2" s="3000" t="s">
        <v>3235</v>
      </c>
    </row>
    <row r="3" spans="1:6" ht="14.25">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5">
        <f>基准地价修正!G23</f>
        <v>41106</v>
      </c>
      <c r="B1" s="2927" t="s">
        <v>3373</v>
      </c>
      <c r="C1" s="2928"/>
      <c r="D1" s="2928"/>
      <c r="E1" s="2928"/>
      <c r="F1" s="2928"/>
      <c r="G1" s="2928"/>
      <c r="H1" s="2928"/>
      <c r="I1" s="2928"/>
      <c r="J1" s="2894"/>
      <c r="K1" s="2928" t="s">
        <v>454</v>
      </c>
      <c r="L1" s="2928"/>
      <c r="M1" s="2928"/>
      <c r="N1" s="2928"/>
      <c r="O1" s="2928"/>
      <c r="P1" s="2928"/>
      <c r="Q1" s="2894"/>
      <c r="R1" s="3524" t="s">
        <v>456</v>
      </c>
      <c r="S1" s="3525"/>
      <c r="T1" s="3525"/>
      <c r="U1" s="3525"/>
      <c r="V1" s="3525"/>
      <c r="W1" s="3525"/>
      <c r="X1" s="2894"/>
      <c r="Y1" s="3524" t="s">
        <v>457</v>
      </c>
      <c r="Z1" s="3525"/>
      <c r="AA1" s="3525"/>
      <c r="AB1" s="3525"/>
      <c r="AC1" s="3525"/>
      <c r="AD1" s="3525"/>
    </row>
    <row r="2" spans="1:30" s="2008" customFormat="1" ht="14.25" thickBot="1">
      <c r="B2" s="2879"/>
      <c r="C2" s="2880"/>
      <c r="D2" s="2009" t="s">
        <v>2812</v>
      </c>
      <c r="E2" s="2010" t="s">
        <v>2813</v>
      </c>
      <c r="F2" s="2010" t="s">
        <v>2814</v>
      </c>
      <c r="G2" s="2010" t="s">
        <v>2815</v>
      </c>
      <c r="H2" s="2010" t="s">
        <v>2816</v>
      </c>
      <c r="I2" s="2010" t="s">
        <v>2633</v>
      </c>
      <c r="J2" s="2881"/>
      <c r="K2" s="2009" t="s">
        <v>2812</v>
      </c>
      <c r="L2" s="2010" t="s">
        <v>2813</v>
      </c>
      <c r="M2" s="2010" t="s">
        <v>2814</v>
      </c>
      <c r="N2" s="2010" t="s">
        <v>2815</v>
      </c>
      <c r="O2" s="2010" t="s">
        <v>2817</v>
      </c>
      <c r="P2" s="2010" t="s">
        <v>2633</v>
      </c>
      <c r="Q2" s="2881"/>
      <c r="R2" s="2009" t="s">
        <v>2812</v>
      </c>
      <c r="S2" s="2010" t="s">
        <v>2813</v>
      </c>
      <c r="T2" s="2010" t="s">
        <v>2814</v>
      </c>
      <c r="U2" s="2010" t="s">
        <v>2818</v>
      </c>
      <c r="V2" s="2010" t="s">
        <v>2819</v>
      </c>
      <c r="W2" s="2010" t="s">
        <v>2633</v>
      </c>
      <c r="X2" s="2881"/>
      <c r="Y2" s="2009" t="s">
        <v>2812</v>
      </c>
      <c r="Z2" s="2010" t="s">
        <v>2813</v>
      </c>
      <c r="AA2" s="2010" t="s">
        <v>2814</v>
      </c>
      <c r="AB2" s="2010" t="s">
        <v>2820</v>
      </c>
      <c r="AC2" s="2010" t="s">
        <v>2819</v>
      </c>
      <c r="AD2" s="2010" t="s">
        <v>2633</v>
      </c>
    </row>
    <row r="3" spans="1:30" s="2884" customFormat="1" ht="12.75">
      <c r="A3" s="2882" t="s">
        <v>2821</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3379</v>
      </c>
      <c r="B5" s="2029">
        <v>2024</v>
      </c>
      <c r="C5" s="2040">
        <v>3</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3380</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3" customFormat="1" ht="12.75">
      <c r="A7" s="2903" t="s">
        <v>3382</v>
      </c>
      <c r="B7" s="2029">
        <v>2024</v>
      </c>
      <c r="C7" s="2040">
        <v>1</v>
      </c>
      <c r="D7" s="2005">
        <v>0.08</v>
      </c>
      <c r="E7" s="2005">
        <v>0.46</v>
      </c>
      <c r="F7" s="2005">
        <v>-0.16</v>
      </c>
      <c r="G7" s="2005">
        <v>0.26</v>
      </c>
      <c r="H7" s="2915">
        <v>0.59</v>
      </c>
      <c r="I7" s="2006">
        <v>0</v>
      </c>
      <c r="J7" s="2904"/>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4"/>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4"/>
      <c r="Y7" s="2026"/>
      <c r="Z7" s="2026"/>
      <c r="AA7" s="2026"/>
      <c r="AB7" s="2026"/>
      <c r="AC7" s="2026"/>
      <c r="AD7" s="2026"/>
    </row>
    <row r="8" spans="1:30" s="2043" customFormat="1" ht="12.75">
      <c r="A8" s="2903" t="s">
        <v>3377</v>
      </c>
      <c r="B8" s="2029">
        <v>2023</v>
      </c>
      <c r="C8" s="2040">
        <v>4</v>
      </c>
      <c r="D8" s="2005">
        <v>0.19</v>
      </c>
      <c r="E8" s="2005">
        <v>0.24</v>
      </c>
      <c r="F8" s="2005">
        <v>-0.16</v>
      </c>
      <c r="G8" s="2005">
        <v>0.17</v>
      </c>
      <c r="H8" s="2915">
        <v>0.61</v>
      </c>
      <c r="I8" s="2006">
        <f>F8</f>
        <v>-0.16</v>
      </c>
      <c r="J8" s="2904"/>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4"/>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4"/>
      <c r="Y8" s="2026"/>
      <c r="Z8" s="2026"/>
      <c r="AA8" s="2026"/>
      <c r="AB8" s="2026"/>
      <c r="AC8" s="2026"/>
      <c r="AD8" s="2026"/>
    </row>
    <row r="9" spans="1:30" s="2043" customFormat="1" ht="12.75">
      <c r="A9" s="2903" t="s">
        <v>3376</v>
      </c>
      <c r="B9" s="2029">
        <v>2023</v>
      </c>
      <c r="C9" s="2040">
        <v>3</v>
      </c>
      <c r="D9" s="2005">
        <v>0.25</v>
      </c>
      <c r="E9" s="2005">
        <v>0.5</v>
      </c>
      <c r="F9" s="2005">
        <v>0.31</v>
      </c>
      <c r="G9" s="2005">
        <v>0.21</v>
      </c>
      <c r="H9" s="2915">
        <v>0.43</v>
      </c>
      <c r="I9" s="2006">
        <f t="shared" si="15"/>
        <v>0.31</v>
      </c>
      <c r="J9" s="2904"/>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4"/>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4"/>
      <c r="Y9" s="2026"/>
      <c r="Z9" s="2026"/>
      <c r="AA9" s="2026"/>
      <c r="AB9" s="2026"/>
      <c r="AC9" s="2026"/>
      <c r="AD9" s="2026"/>
    </row>
    <row r="10" spans="1:30" s="2043" customFormat="1" ht="12.75">
      <c r="A10" s="2903" t="s">
        <v>3372</v>
      </c>
      <c r="B10" s="2029">
        <v>2023</v>
      </c>
      <c r="C10" s="2040">
        <v>2</v>
      </c>
      <c r="D10" s="2005">
        <v>0.91</v>
      </c>
      <c r="E10" s="2005">
        <v>0.66</v>
      </c>
      <c r="F10" s="2005">
        <v>0.47</v>
      </c>
      <c r="G10" s="2005">
        <v>0.96</v>
      </c>
      <c r="H10" s="2915">
        <v>0.71</v>
      </c>
      <c r="I10" s="2006">
        <f t="shared" si="15"/>
        <v>0.47</v>
      </c>
      <c r="J10" s="2904"/>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4"/>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4"/>
      <c r="Y10" s="2026"/>
      <c r="Z10" s="2026"/>
      <c r="AA10" s="2026"/>
      <c r="AB10" s="2026"/>
      <c r="AC10" s="2026"/>
      <c r="AD10" s="2026"/>
    </row>
    <row r="11" spans="1:30" s="2043" customFormat="1" ht="12.75">
      <c r="A11" s="2903" t="s">
        <v>3371</v>
      </c>
      <c r="B11" s="2029">
        <v>2023</v>
      </c>
      <c r="C11" s="2040">
        <v>1</v>
      </c>
      <c r="D11" s="2005">
        <v>0.89</v>
      </c>
      <c r="E11" s="2005">
        <v>0.74</v>
      </c>
      <c r="F11" s="2005">
        <v>0.56999999999999995</v>
      </c>
      <c r="G11" s="2005">
        <v>0.92</v>
      </c>
      <c r="H11" s="2915">
        <v>0.5</v>
      </c>
      <c r="I11" s="2006">
        <f t="shared" si="15"/>
        <v>0.56999999999999995</v>
      </c>
      <c r="J11" s="2904"/>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4"/>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4"/>
      <c r="Y11" s="2026"/>
      <c r="Z11" s="2026"/>
      <c r="AA11" s="2026"/>
      <c r="AB11" s="2026"/>
      <c r="AC11" s="2026"/>
      <c r="AD11" s="2026"/>
    </row>
    <row r="12" spans="1:30" s="2043" customFormat="1" ht="12.75">
      <c r="A12" s="2903" t="s">
        <v>3370</v>
      </c>
      <c r="B12" s="2029">
        <v>2022</v>
      </c>
      <c r="C12" s="2040">
        <v>4</v>
      </c>
      <c r="D12" s="2005">
        <v>0.62</v>
      </c>
      <c r="E12" s="2005">
        <v>0.2</v>
      </c>
      <c r="F12" s="2005">
        <v>0.11</v>
      </c>
      <c r="G12" s="2005">
        <v>0.69</v>
      </c>
      <c r="H12" s="2915">
        <v>0.53</v>
      </c>
      <c r="I12" s="2006">
        <f t="shared" si="15"/>
        <v>0.11</v>
      </c>
      <c r="J12" s="2904"/>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4"/>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4"/>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3" t="s">
        <v>3366</v>
      </c>
      <c r="B13" s="2029">
        <v>2022</v>
      </c>
      <c r="C13" s="2040">
        <v>3</v>
      </c>
      <c r="D13" s="2005">
        <v>0.66</v>
      </c>
      <c r="E13" s="2005">
        <v>0.32</v>
      </c>
      <c r="F13" s="2005">
        <v>0.23</v>
      </c>
      <c r="G13" s="2005">
        <v>0.72</v>
      </c>
      <c r="H13" s="2915">
        <v>0.63</v>
      </c>
      <c r="I13" s="2006">
        <f t="shared" si="15"/>
        <v>0.23</v>
      </c>
      <c r="J13" s="2904"/>
      <c r="K13" s="2041">
        <f t="shared" si="16"/>
        <v>6.6E-3</v>
      </c>
      <c r="L13" s="2026">
        <f t="shared" si="16"/>
        <v>3.2000000000000002E-3</v>
      </c>
      <c r="M13" s="2026">
        <f t="shared" si="16"/>
        <v>2.3E-3</v>
      </c>
      <c r="N13" s="2026">
        <f t="shared" si="16"/>
        <v>7.1999999999999998E-3</v>
      </c>
      <c r="O13" s="2026">
        <f t="shared" si="16"/>
        <v>6.3E-3</v>
      </c>
      <c r="P13" s="2026">
        <f t="shared" si="36"/>
        <v>2.3E-3</v>
      </c>
      <c r="Q13" s="2904"/>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4"/>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3" t="s">
        <v>3357</v>
      </c>
      <c r="B14" s="2029">
        <v>2022</v>
      </c>
      <c r="C14" s="2040">
        <v>2</v>
      </c>
      <c r="D14" s="2005">
        <v>0.93</v>
      </c>
      <c r="E14" s="2005">
        <v>0.15</v>
      </c>
      <c r="F14" s="2005">
        <v>0.01</v>
      </c>
      <c r="G14" s="2005">
        <v>1.05</v>
      </c>
      <c r="H14" s="2915">
        <v>1.08</v>
      </c>
      <c r="I14" s="2006">
        <f t="shared" si="15"/>
        <v>0.01</v>
      </c>
      <c r="J14" s="2904"/>
      <c r="K14" s="2041">
        <f t="shared" si="16"/>
        <v>9.300000000000001E-3</v>
      </c>
      <c r="L14" s="2026">
        <f t="shared" si="16"/>
        <v>1.5E-3</v>
      </c>
      <c r="M14" s="2026">
        <f t="shared" si="16"/>
        <v>1E-4</v>
      </c>
      <c r="N14" s="2026">
        <f t="shared" si="16"/>
        <v>1.0500000000000001E-2</v>
      </c>
      <c r="O14" s="2026">
        <f t="shared" si="16"/>
        <v>1.0800000000000001E-2</v>
      </c>
      <c r="P14" s="2026">
        <f t="shared" si="36"/>
        <v>1E-4</v>
      </c>
      <c r="Q14" s="2904"/>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4"/>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3" t="s">
        <v>2822</v>
      </c>
      <c r="B15" s="2029">
        <v>2022</v>
      </c>
      <c r="C15" s="2040">
        <v>1</v>
      </c>
      <c r="D15" s="2005">
        <v>0.89</v>
      </c>
      <c r="E15" s="2005">
        <v>0.44</v>
      </c>
      <c r="F15" s="2005">
        <v>0.37</v>
      </c>
      <c r="G15" s="2005">
        <v>0.96</v>
      </c>
      <c r="H15" s="2915">
        <v>0.64</v>
      </c>
      <c r="I15" s="2006">
        <f t="shared" si="15"/>
        <v>0.37</v>
      </c>
      <c r="J15" s="2904"/>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4"/>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4"/>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3" t="s">
        <v>2823</v>
      </c>
      <c r="B16" s="2029">
        <v>2021</v>
      </c>
      <c r="C16" s="2040">
        <v>4</v>
      </c>
      <c r="D16" s="2005">
        <v>1.03</v>
      </c>
      <c r="E16" s="2005">
        <v>0.24</v>
      </c>
      <c r="F16" s="2005">
        <v>7.0000000000000007E-2</v>
      </c>
      <c r="G16" s="2005">
        <v>1.17</v>
      </c>
      <c r="H16" s="2915">
        <v>0.55000000000000004</v>
      </c>
      <c r="I16" s="2006">
        <f t="shared" si="15"/>
        <v>7.0000000000000007E-2</v>
      </c>
      <c r="J16" s="2904"/>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4"/>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4"/>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3" t="s">
        <v>2824</v>
      </c>
      <c r="B17" s="2029">
        <v>2021</v>
      </c>
      <c r="C17" s="2040">
        <v>3</v>
      </c>
      <c r="D17" s="2005">
        <v>0.47</v>
      </c>
      <c r="E17" s="2005">
        <v>0.41</v>
      </c>
      <c r="F17" s="2005">
        <v>0.24</v>
      </c>
      <c r="G17" s="2005">
        <v>0.48</v>
      </c>
      <c r="H17" s="2915">
        <v>0.48</v>
      </c>
      <c r="I17" s="2006">
        <f t="shared" si="15"/>
        <v>0.24</v>
      </c>
      <c r="J17" s="2904"/>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4"/>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4"/>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3" t="s">
        <v>2825</v>
      </c>
      <c r="B18" s="2029">
        <v>2021</v>
      </c>
      <c r="C18" s="2040">
        <v>2</v>
      </c>
      <c r="D18" s="2005">
        <v>0.92</v>
      </c>
      <c r="E18" s="2005">
        <v>0.72</v>
      </c>
      <c r="F18" s="2005">
        <v>0.41</v>
      </c>
      <c r="G18" s="2005">
        <v>0.95</v>
      </c>
      <c r="H18" s="2915">
        <v>1.01</v>
      </c>
      <c r="I18" s="2006">
        <f t="shared" si="15"/>
        <v>0.41</v>
      </c>
      <c r="J18" s="2904"/>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4"/>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4"/>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6" customFormat="1" thickBot="1">
      <c r="A19" s="2916" t="s">
        <v>2826</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4.25" thickTop="1"/>
    <row r="21" spans="1:30">
      <c r="A21" s="3141" t="s">
        <v>3368</v>
      </c>
    </row>
    <row r="22" spans="1:30">
      <c r="I22" s="1404" t="s">
        <v>2827</v>
      </c>
    </row>
    <row r="24" spans="1:30" s="2007" customFormat="1" ht="12.75">
      <c r="B24" s="2927" t="s">
        <v>3374</v>
      </c>
      <c r="C24" s="2928"/>
      <c r="D24" s="2928"/>
      <c r="E24" s="2928"/>
      <c r="F24" s="2928"/>
      <c r="G24" s="2928"/>
      <c r="H24" s="2928"/>
      <c r="I24" s="2928"/>
      <c r="J24" s="2894"/>
      <c r="K24" s="2928" t="s">
        <v>2828</v>
      </c>
      <c r="L24" s="2928"/>
      <c r="M24" s="2928"/>
      <c r="N24" s="2928"/>
      <c r="O24" s="2928"/>
      <c r="P24" s="2928"/>
      <c r="Q24" s="2894"/>
      <c r="R24" s="3524" t="s">
        <v>2829</v>
      </c>
      <c r="S24" s="3525"/>
      <c r="T24" s="3525"/>
      <c r="U24" s="3525"/>
      <c r="V24" s="3525"/>
      <c r="W24" s="3525"/>
      <c r="X24" s="2894"/>
      <c r="Y24" s="3524" t="s">
        <v>2830</v>
      </c>
      <c r="Z24" s="3525"/>
      <c r="AA24" s="3525"/>
      <c r="AB24" s="3525"/>
      <c r="AC24" s="3525"/>
      <c r="AD24" s="3525"/>
    </row>
    <row r="25" spans="1:30" s="2008" customFormat="1" ht="14.25" thickBot="1">
      <c r="B25" s="2879"/>
      <c r="C25" s="2880"/>
      <c r="D25" s="2009" t="s">
        <v>2831</v>
      </c>
      <c r="E25" s="2010" t="s">
        <v>2832</v>
      </c>
      <c r="F25" s="2010" t="s">
        <v>2833</v>
      </c>
      <c r="G25" s="2010" t="s">
        <v>2834</v>
      </c>
      <c r="H25" s="2010"/>
      <c r="I25" s="2010" t="s">
        <v>2835</v>
      </c>
      <c r="J25" s="2881"/>
      <c r="K25" s="2009" t="s">
        <v>2831</v>
      </c>
      <c r="L25" s="2010" t="s">
        <v>2832</v>
      </c>
      <c r="M25" s="2010" t="s">
        <v>2833</v>
      </c>
      <c r="N25" s="2010" t="s">
        <v>2834</v>
      </c>
      <c r="O25" s="2010"/>
      <c r="P25" s="2010" t="s">
        <v>2835</v>
      </c>
      <c r="Q25" s="2881"/>
      <c r="R25" s="2009" t="s">
        <v>2831</v>
      </c>
      <c r="S25" s="2010" t="s">
        <v>2832</v>
      </c>
      <c r="T25" s="2010" t="s">
        <v>2833</v>
      </c>
      <c r="U25" s="2010" t="s">
        <v>2834</v>
      </c>
      <c r="V25" s="2010"/>
      <c r="W25" s="2010" t="s">
        <v>2835</v>
      </c>
      <c r="X25" s="2881"/>
      <c r="Y25" s="2009" t="s">
        <v>2831</v>
      </c>
      <c r="Z25" s="2010" t="s">
        <v>2832</v>
      </c>
      <c r="AA25" s="2010" t="s">
        <v>2833</v>
      </c>
      <c r="AB25" s="2010" t="s">
        <v>2834</v>
      </c>
      <c r="AC25" s="2010"/>
      <c r="AD25" s="2010" t="s">
        <v>2835</v>
      </c>
    </row>
    <row r="26" spans="1:30" s="2884" customFormat="1" ht="12.75">
      <c r="A26" s="2882" t="s">
        <v>2836</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7" customFormat="1" ht="12.75">
      <c r="B27" s="2023"/>
      <c r="J27" s="2894"/>
      <c r="K27" s="2895"/>
      <c r="L27" s="2896"/>
      <c r="M27" s="2896"/>
      <c r="N27" s="2896"/>
      <c r="O27" s="2896"/>
      <c r="P27" s="2896"/>
      <c r="Q27" s="2894"/>
      <c r="R27" s="2025"/>
      <c r="S27" s="2897"/>
      <c r="T27" s="2898"/>
      <c r="U27" s="2025"/>
      <c r="V27" s="2899"/>
      <c r="W27" s="2025"/>
      <c r="X27" s="2894"/>
      <c r="Y27" s="2026"/>
      <c r="Z27" s="2900"/>
      <c r="AA27" s="2901"/>
      <c r="AB27" s="2026"/>
      <c r="AC27" s="2902"/>
      <c r="AD27" s="2026"/>
    </row>
    <row r="28" spans="1:30" s="2043" customFormat="1" ht="12.75">
      <c r="A28" s="2038" t="s">
        <v>3379</v>
      </c>
      <c r="B28" s="2029">
        <v>2024</v>
      </c>
      <c r="C28" s="2040">
        <v>3</v>
      </c>
      <c r="D28" s="2005"/>
      <c r="E28" s="2005">
        <v>0</v>
      </c>
      <c r="F28" s="2005">
        <v>0</v>
      </c>
      <c r="G28" s="2005">
        <v>0</v>
      </c>
      <c r="H28" s="2005"/>
      <c r="I28" s="2006">
        <f t="shared" ref="I28" si="47">F28</f>
        <v>0</v>
      </c>
      <c r="J28" s="2904"/>
      <c r="K28" s="2041"/>
      <c r="L28" s="2026">
        <f t="shared" ref="L28" si="48">E28/100</f>
        <v>0</v>
      </c>
      <c r="M28" s="2026">
        <f t="shared" ref="M28" si="49">F28/100</f>
        <v>0</v>
      </c>
      <c r="N28" s="2026">
        <f t="shared" ref="N28" si="50">G28/100</f>
        <v>0</v>
      </c>
      <c r="O28" s="2026"/>
      <c r="P28" s="2026">
        <f>M28</f>
        <v>0</v>
      </c>
      <c r="Q28" s="2904"/>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4"/>
      <c r="Y28" s="2026"/>
      <c r="Z28" s="2900">
        <f t="shared" ref="Z28:AB29" si="51">IF(E28=0,0,ROUND(AVERAGE(E28:E41)/100,4))</f>
        <v>0</v>
      </c>
      <c r="AA28" s="2900">
        <f t="shared" si="51"/>
        <v>0</v>
      </c>
      <c r="AB28" s="2900">
        <f t="shared" si="51"/>
        <v>0</v>
      </c>
      <c r="AC28" s="2902"/>
      <c r="AD28" s="2026">
        <f>IF(I28=0,0,ROUND(AVERAGE(I28:I41)/100,4))</f>
        <v>0</v>
      </c>
    </row>
    <row r="29" spans="1:30" s="2914" customFormat="1" ht="12.75">
      <c r="A29" s="2905" t="s">
        <v>3380</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3" customFormat="1" ht="12.75">
      <c r="A30" s="2903" t="s">
        <v>3381</v>
      </c>
      <c r="B30" s="2029">
        <v>2024</v>
      </c>
      <c r="C30" s="2040">
        <v>1</v>
      </c>
      <c r="D30" s="2005"/>
      <c r="E30" s="2005">
        <v>0.25</v>
      </c>
      <c r="F30" s="2005">
        <v>0.4</v>
      </c>
      <c r="G30" s="2005">
        <v>-0.63</v>
      </c>
      <c r="H30" s="2915"/>
      <c r="I30" s="2006">
        <f t="shared" ref="I30:I31" si="54">F30</f>
        <v>0.4</v>
      </c>
      <c r="J30" s="2904"/>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4"/>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4"/>
      <c r="Y30" s="2026"/>
      <c r="Z30" s="2900"/>
      <c r="AA30" s="2901"/>
      <c r="AB30" s="2026"/>
      <c r="AC30" s="2902"/>
      <c r="AD30" s="2026"/>
    </row>
    <row r="31" spans="1:30" s="2043" customFormat="1" ht="12.75">
      <c r="A31" s="2903" t="s">
        <v>3378</v>
      </c>
      <c r="B31" s="2029">
        <v>2023</v>
      </c>
      <c r="C31" s="2040">
        <v>4</v>
      </c>
      <c r="D31" s="2005"/>
      <c r="E31" s="2005">
        <v>7.0000000000000007E-2</v>
      </c>
      <c r="F31" s="2005">
        <v>0.09</v>
      </c>
      <c r="G31" s="2005">
        <v>0.03</v>
      </c>
      <c r="H31" s="2915"/>
      <c r="I31" s="2006">
        <f t="shared" si="54"/>
        <v>0.09</v>
      </c>
      <c r="J31" s="2904"/>
      <c r="K31" s="2041"/>
      <c r="L31" s="2026">
        <f t="shared" si="53"/>
        <v>7.000000000000001E-4</v>
      </c>
      <c r="M31" s="2026">
        <f t="shared" si="53"/>
        <v>8.9999999999999998E-4</v>
      </c>
      <c r="N31" s="2026">
        <f t="shared" si="53"/>
        <v>2.9999999999999997E-4</v>
      </c>
      <c r="O31" s="2026"/>
      <c r="P31" s="2026">
        <f t="shared" ref="P31" si="60">M31</f>
        <v>8.9999999999999998E-4</v>
      </c>
      <c r="Q31" s="2904"/>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4"/>
      <c r="Y31" s="2026"/>
      <c r="Z31" s="2900"/>
      <c r="AA31" s="2901"/>
      <c r="AB31" s="2026"/>
      <c r="AC31" s="2902"/>
      <c r="AD31" s="2026"/>
    </row>
    <row r="32" spans="1:30" s="2043" customFormat="1" ht="12.75">
      <c r="A32" s="2903" t="s">
        <v>3376</v>
      </c>
      <c r="B32" s="2029">
        <v>2023</v>
      </c>
      <c r="C32" s="2040">
        <v>3</v>
      </c>
      <c r="D32" s="2005"/>
      <c r="E32" s="2005">
        <v>0.35</v>
      </c>
      <c r="F32" s="2005">
        <v>0.17</v>
      </c>
      <c r="G32" s="2005">
        <v>0.52</v>
      </c>
      <c r="H32" s="2915"/>
      <c r="I32" s="2006">
        <f t="shared" si="52"/>
        <v>0.17</v>
      </c>
      <c r="J32" s="2904"/>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4"/>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4"/>
      <c r="Y32" s="2026"/>
      <c r="Z32" s="2900"/>
      <c r="AA32" s="2901"/>
      <c r="AB32" s="2026"/>
      <c r="AC32" s="2902"/>
      <c r="AD32" s="2026"/>
    </row>
    <row r="33" spans="1:30" s="2043" customFormat="1" ht="12.75">
      <c r="A33" s="2903" t="s">
        <v>3375</v>
      </c>
      <c r="B33" s="2029">
        <v>2023</v>
      </c>
      <c r="C33" s="2040">
        <v>2</v>
      </c>
      <c r="D33" s="2005"/>
      <c r="E33" s="2005">
        <v>0.5</v>
      </c>
      <c r="F33" s="2005">
        <v>0.45</v>
      </c>
      <c r="G33" s="2005">
        <v>0.89</v>
      </c>
      <c r="H33" s="2915"/>
      <c r="I33" s="2006">
        <f t="shared" si="52"/>
        <v>0.45</v>
      </c>
      <c r="J33" s="2904"/>
      <c r="K33" s="2041"/>
      <c r="L33" s="2026">
        <f t="shared" si="62"/>
        <v>5.0000000000000001E-3</v>
      </c>
      <c r="M33" s="2026">
        <f t="shared" si="63"/>
        <v>4.5000000000000005E-3</v>
      </c>
      <c r="N33" s="2026">
        <f t="shared" si="64"/>
        <v>8.8999999999999999E-3</v>
      </c>
      <c r="O33" s="2026"/>
      <c r="P33" s="2026">
        <f t="shared" si="65"/>
        <v>4.5000000000000005E-3</v>
      </c>
      <c r="Q33" s="2904"/>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4"/>
      <c r="Y33" s="2026"/>
      <c r="Z33" s="2900"/>
      <c r="AA33" s="2901"/>
      <c r="AB33" s="2026"/>
      <c r="AC33" s="2902"/>
      <c r="AD33" s="2026"/>
    </row>
    <row r="34" spans="1:30" s="2043" customFormat="1" ht="12.75">
      <c r="A34" s="2903" t="s">
        <v>3371</v>
      </c>
      <c r="B34" s="2029">
        <v>2023</v>
      </c>
      <c r="C34" s="2040">
        <v>1</v>
      </c>
      <c r="D34" s="2005"/>
      <c r="E34" s="2005">
        <v>0.55000000000000004</v>
      </c>
      <c r="F34" s="2005">
        <v>0.59</v>
      </c>
      <c r="G34" s="2005">
        <v>0.64</v>
      </c>
      <c r="H34" s="2915"/>
      <c r="I34" s="2006">
        <f t="shared" si="52"/>
        <v>0.59</v>
      </c>
      <c r="J34" s="2904"/>
      <c r="K34" s="2041"/>
      <c r="L34" s="2026">
        <f t="shared" si="62"/>
        <v>5.5000000000000005E-3</v>
      </c>
      <c r="M34" s="2026">
        <f t="shared" si="63"/>
        <v>5.8999999999999999E-3</v>
      </c>
      <c r="N34" s="2026">
        <f t="shared" si="64"/>
        <v>6.4000000000000003E-3</v>
      </c>
      <c r="O34" s="2026"/>
      <c r="P34" s="2026">
        <f t="shared" si="65"/>
        <v>5.8999999999999999E-3</v>
      </c>
      <c r="Q34" s="2904"/>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4"/>
      <c r="Y34" s="2026"/>
      <c r="Z34" s="2900"/>
      <c r="AA34" s="2901"/>
      <c r="AB34" s="2026"/>
      <c r="AC34" s="2902"/>
      <c r="AD34" s="2026"/>
    </row>
    <row r="35" spans="1:30" s="2043" customFormat="1" ht="12.75">
      <c r="A35" s="2903" t="s">
        <v>3370</v>
      </c>
      <c r="B35" s="2029">
        <v>2022</v>
      </c>
      <c r="C35" s="2040">
        <v>4</v>
      </c>
      <c r="D35" s="2005"/>
      <c r="E35" s="2005">
        <v>0.45</v>
      </c>
      <c r="F35" s="2005">
        <v>0.2</v>
      </c>
      <c r="G35" s="2005">
        <v>0.38</v>
      </c>
      <c r="H35" s="2915"/>
      <c r="I35" s="2006">
        <f t="shared" si="52"/>
        <v>0.2</v>
      </c>
      <c r="J35" s="2904"/>
      <c r="K35" s="2041"/>
      <c r="L35" s="2026">
        <f t="shared" si="53"/>
        <v>4.5000000000000005E-3</v>
      </c>
      <c r="M35" s="2026">
        <f t="shared" si="53"/>
        <v>2E-3</v>
      </c>
      <c r="N35" s="2026">
        <f t="shared" si="53"/>
        <v>3.8E-3</v>
      </c>
      <c r="O35" s="2026"/>
      <c r="P35" s="2026">
        <f t="shared" ref="P35:P42" si="67">M35</f>
        <v>2E-3</v>
      </c>
      <c r="Q35" s="2904"/>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4"/>
      <c r="Y35" s="2026"/>
      <c r="Z35" s="2900">
        <f t="shared" ref="Z35:AD42" si="69">IF(E35=0,0,ROUND(AVERAGE(E35:E43)/100,4))</f>
        <v>4.0000000000000001E-3</v>
      </c>
      <c r="AA35" s="2901">
        <f t="shared" si="69"/>
        <v>2.5999999999999999E-3</v>
      </c>
      <c r="AB35" s="2026">
        <f t="shared" si="69"/>
        <v>7.4000000000000003E-3</v>
      </c>
      <c r="AC35" s="2902"/>
      <c r="AD35" s="2026">
        <f t="shared" si="69"/>
        <v>2.5999999999999999E-3</v>
      </c>
    </row>
    <row r="36" spans="1:30" s="2043" customFormat="1" ht="12.75">
      <c r="A36" s="2903" t="s">
        <v>3367</v>
      </c>
      <c r="B36" s="2029">
        <v>2022</v>
      </c>
      <c r="C36" s="2040">
        <v>3</v>
      </c>
      <c r="D36" s="2005"/>
      <c r="E36" s="2005">
        <v>0.3</v>
      </c>
      <c r="F36" s="2005">
        <v>0.28999999999999998</v>
      </c>
      <c r="G36" s="2005">
        <v>0.83</v>
      </c>
      <c r="H36" s="2915"/>
      <c r="I36" s="2006">
        <f t="shared" si="52"/>
        <v>0.28999999999999998</v>
      </c>
      <c r="J36" s="2904"/>
      <c r="K36" s="2041"/>
      <c r="L36" s="2026">
        <f t="shared" si="53"/>
        <v>3.0000000000000001E-3</v>
      </c>
      <c r="M36" s="2026">
        <f t="shared" si="53"/>
        <v>2.8999999999999998E-3</v>
      </c>
      <c r="N36" s="2026">
        <f t="shared" si="53"/>
        <v>8.3000000000000001E-3</v>
      </c>
      <c r="O36" s="2026"/>
      <c r="P36" s="2026">
        <f t="shared" si="67"/>
        <v>2.8999999999999998E-3</v>
      </c>
      <c r="Q36" s="2904"/>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4"/>
      <c r="Y36" s="2026"/>
      <c r="Z36" s="2900">
        <f t="shared" si="69"/>
        <v>3.8999999999999998E-3</v>
      </c>
      <c r="AA36" s="2901">
        <f t="shared" si="69"/>
        <v>2.7000000000000001E-3</v>
      </c>
      <c r="AB36" s="2026">
        <f t="shared" si="69"/>
        <v>7.9000000000000008E-3</v>
      </c>
      <c r="AC36" s="2902"/>
      <c r="AD36" s="2026">
        <f t="shared" si="69"/>
        <v>2.7000000000000001E-3</v>
      </c>
    </row>
    <row r="37" spans="1:30" s="2043" customFormat="1" ht="12.75">
      <c r="A37" s="2903" t="s">
        <v>3357</v>
      </c>
      <c r="B37" s="2029">
        <v>2022</v>
      </c>
      <c r="C37" s="2040">
        <v>2</v>
      </c>
      <c r="D37" s="2005"/>
      <c r="E37" s="2005">
        <v>-0.11</v>
      </c>
      <c r="F37" s="2005">
        <v>-0.13</v>
      </c>
      <c r="G37" s="2005">
        <v>0.53</v>
      </c>
      <c r="H37" s="2915"/>
      <c r="I37" s="2006">
        <f t="shared" si="52"/>
        <v>-0.13</v>
      </c>
      <c r="J37" s="2904"/>
      <c r="K37" s="2041"/>
      <c r="L37" s="2026">
        <f t="shared" si="53"/>
        <v>-1.1000000000000001E-3</v>
      </c>
      <c r="M37" s="2026">
        <f t="shared" si="53"/>
        <v>-1.2999999999999999E-3</v>
      </c>
      <c r="N37" s="2026">
        <f t="shared" si="53"/>
        <v>5.3E-3</v>
      </c>
      <c r="O37" s="2026"/>
      <c r="P37" s="2026">
        <f t="shared" si="67"/>
        <v>-1.2999999999999999E-3</v>
      </c>
      <c r="Q37" s="2904"/>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4"/>
      <c r="Y37" s="2026"/>
      <c r="Z37" s="2900">
        <f t="shared" si="69"/>
        <v>4.1000000000000003E-3</v>
      </c>
      <c r="AA37" s="2901">
        <f t="shared" si="69"/>
        <v>2.7000000000000001E-3</v>
      </c>
      <c r="AB37" s="2026">
        <f t="shared" si="69"/>
        <v>7.9000000000000008E-3</v>
      </c>
      <c r="AC37" s="2902"/>
      <c r="AD37" s="2026">
        <f t="shared" si="69"/>
        <v>2.7000000000000001E-3</v>
      </c>
    </row>
    <row r="38" spans="1:30" s="2043" customFormat="1" ht="12.75">
      <c r="A38" s="2903" t="s">
        <v>2837</v>
      </c>
      <c r="B38" s="2029">
        <v>2022</v>
      </c>
      <c r="C38" s="2040">
        <v>1</v>
      </c>
      <c r="D38" s="2005"/>
      <c r="E38" s="2005">
        <v>0.6</v>
      </c>
      <c r="F38" s="2005">
        <v>0.45</v>
      </c>
      <c r="G38" s="2005">
        <v>0.53</v>
      </c>
      <c r="H38" s="2915"/>
      <c r="I38" s="2006">
        <f t="shared" si="52"/>
        <v>0.45</v>
      </c>
      <c r="J38" s="2904"/>
      <c r="K38" s="2041"/>
      <c r="L38" s="2026">
        <f t="shared" si="53"/>
        <v>6.0000000000000001E-3</v>
      </c>
      <c r="M38" s="2026">
        <f t="shared" si="53"/>
        <v>4.5000000000000005E-3</v>
      </c>
      <c r="N38" s="2026">
        <f t="shared" si="53"/>
        <v>5.3E-3</v>
      </c>
      <c r="O38" s="2026"/>
      <c r="P38" s="2026">
        <f t="shared" si="67"/>
        <v>4.5000000000000005E-3</v>
      </c>
      <c r="Q38" s="2904"/>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4"/>
      <c r="Y38" s="2026"/>
      <c r="Z38" s="2900">
        <f t="shared" si="69"/>
        <v>5.1000000000000004E-3</v>
      </c>
      <c r="AA38" s="2901">
        <f t="shared" si="69"/>
        <v>3.5000000000000001E-3</v>
      </c>
      <c r="AB38" s="2026">
        <f t="shared" si="69"/>
        <v>8.3999999999999995E-3</v>
      </c>
      <c r="AC38" s="2902"/>
      <c r="AD38" s="2026">
        <f t="shared" si="69"/>
        <v>3.5000000000000001E-3</v>
      </c>
    </row>
    <row r="39" spans="1:30" s="2043" customFormat="1" ht="12.75">
      <c r="A39" s="2903" t="s">
        <v>2838</v>
      </c>
      <c r="B39" s="2029">
        <v>2021</v>
      </c>
      <c r="C39" s="2040">
        <v>4</v>
      </c>
      <c r="D39" s="2005"/>
      <c r="E39" s="2005">
        <v>0.57999999999999996</v>
      </c>
      <c r="F39" s="2005">
        <v>0.08</v>
      </c>
      <c r="G39" s="2005">
        <v>0.68</v>
      </c>
      <c r="H39" s="2915"/>
      <c r="I39" s="2006">
        <f t="shared" si="52"/>
        <v>0.08</v>
      </c>
      <c r="J39" s="2904"/>
      <c r="K39" s="2041"/>
      <c r="L39" s="2026">
        <f t="shared" si="53"/>
        <v>5.7999999999999996E-3</v>
      </c>
      <c r="M39" s="2026">
        <f t="shared" si="53"/>
        <v>8.0000000000000004E-4</v>
      </c>
      <c r="N39" s="2026">
        <f t="shared" si="53"/>
        <v>6.8000000000000005E-3</v>
      </c>
      <c r="O39" s="2026"/>
      <c r="P39" s="2026">
        <f t="shared" si="67"/>
        <v>8.0000000000000004E-4</v>
      </c>
      <c r="Q39" s="2904"/>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4"/>
      <c r="Y39" s="2026"/>
      <c r="Z39" s="2900">
        <f t="shared" si="69"/>
        <v>4.8999999999999998E-3</v>
      </c>
      <c r="AA39" s="2901">
        <f t="shared" si="69"/>
        <v>3.3E-3</v>
      </c>
      <c r="AB39" s="2026">
        <f t="shared" si="69"/>
        <v>9.1999999999999998E-3</v>
      </c>
      <c r="AC39" s="2902"/>
      <c r="AD39" s="2026">
        <f t="shared" si="69"/>
        <v>3.3E-3</v>
      </c>
    </row>
    <row r="40" spans="1:30" s="2043" customFormat="1" ht="12.75">
      <c r="A40" s="2903" t="s">
        <v>2839</v>
      </c>
      <c r="B40" s="2029">
        <v>2021</v>
      </c>
      <c r="C40" s="2040">
        <v>3</v>
      </c>
      <c r="D40" s="2005"/>
      <c r="E40" s="2005">
        <v>0.47</v>
      </c>
      <c r="F40" s="2005">
        <v>0.28000000000000003</v>
      </c>
      <c r="G40" s="2005">
        <v>0.91</v>
      </c>
      <c r="H40" s="2915"/>
      <c r="I40" s="2006">
        <f t="shared" si="52"/>
        <v>0.28000000000000003</v>
      </c>
      <c r="J40" s="2904"/>
      <c r="K40" s="2041"/>
      <c r="L40" s="2026">
        <f t="shared" si="53"/>
        <v>4.6999999999999993E-3</v>
      </c>
      <c r="M40" s="2026">
        <f t="shared" si="53"/>
        <v>2.8000000000000004E-3</v>
      </c>
      <c r="N40" s="2026">
        <f t="shared" si="53"/>
        <v>9.1000000000000004E-3</v>
      </c>
      <c r="O40" s="2026"/>
      <c r="P40" s="2026">
        <f t="shared" si="67"/>
        <v>2.8000000000000004E-3</v>
      </c>
      <c r="Q40" s="2904"/>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4"/>
      <c r="Y40" s="2026"/>
      <c r="Z40" s="2900">
        <f t="shared" si="69"/>
        <v>4.5999999999999999E-3</v>
      </c>
      <c r="AA40" s="2901">
        <f t="shared" si="69"/>
        <v>4.1000000000000003E-3</v>
      </c>
      <c r="AB40" s="2026">
        <f t="shared" si="69"/>
        <v>0.01</v>
      </c>
      <c r="AC40" s="2902"/>
      <c r="AD40" s="2026">
        <f t="shared" si="69"/>
        <v>4.1000000000000003E-3</v>
      </c>
    </row>
    <row r="41" spans="1:30" s="2043" customFormat="1" ht="12.75">
      <c r="A41" s="2903" t="s">
        <v>2840</v>
      </c>
      <c r="B41" s="2029">
        <v>2021</v>
      </c>
      <c r="C41" s="2040">
        <v>2</v>
      </c>
      <c r="D41" s="2005"/>
      <c r="E41" s="2005">
        <v>0.55000000000000004</v>
      </c>
      <c r="F41" s="2005">
        <v>0.46</v>
      </c>
      <c r="G41" s="2005">
        <v>1.1000000000000001</v>
      </c>
      <c r="H41" s="2915"/>
      <c r="I41" s="2006">
        <f t="shared" si="52"/>
        <v>0.46</v>
      </c>
      <c r="J41" s="2904"/>
      <c r="K41" s="2041"/>
      <c r="L41" s="2026">
        <f t="shared" si="53"/>
        <v>5.5000000000000005E-3</v>
      </c>
      <c r="M41" s="2026">
        <f t="shared" si="53"/>
        <v>4.5999999999999999E-3</v>
      </c>
      <c r="N41" s="2026">
        <f t="shared" si="53"/>
        <v>1.1000000000000001E-2</v>
      </c>
      <c r="O41" s="2026"/>
      <c r="P41" s="2026">
        <f t="shared" si="67"/>
        <v>4.5999999999999999E-3</v>
      </c>
      <c r="Q41" s="2904"/>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4"/>
      <c r="Y41" s="2026"/>
      <c r="Z41" s="2900">
        <f t="shared" si="69"/>
        <v>4.4999999999999997E-3</v>
      </c>
      <c r="AA41" s="2901">
        <f t="shared" si="69"/>
        <v>4.7000000000000002E-3</v>
      </c>
      <c r="AB41" s="2026">
        <f t="shared" si="69"/>
        <v>1.04E-2</v>
      </c>
      <c r="AC41" s="2902"/>
      <c r="AD41" s="2026">
        <f t="shared" si="69"/>
        <v>4.7000000000000002E-3</v>
      </c>
    </row>
    <row r="42" spans="1:30" s="2926" customFormat="1" thickBot="1">
      <c r="A42" s="2916" t="s">
        <v>2826</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4.25" thickTop="1"/>
    <row r="44" spans="1:30">
      <c r="A44" s="3141"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29" t="s">
        <v>452</v>
      </c>
      <c r="C1" s="3529"/>
      <c r="D1" s="3529"/>
      <c r="E1" s="3529"/>
      <c r="F1" s="3529"/>
      <c r="G1" s="3525" t="s">
        <v>453</v>
      </c>
      <c r="H1" s="3525"/>
      <c r="I1" s="3525"/>
      <c r="J1" s="3525"/>
      <c r="K1" s="3525"/>
      <c r="L1" s="3525"/>
      <c r="N1" s="3525" t="s">
        <v>454</v>
      </c>
      <c r="O1" s="3525"/>
      <c r="P1" s="3525"/>
      <c r="Q1" s="3525"/>
      <c r="S1" s="3525" t="s">
        <v>455</v>
      </c>
      <c r="T1" s="3525"/>
      <c r="U1" s="3525"/>
      <c r="V1" s="3525"/>
      <c r="X1" s="3524" t="s">
        <v>456</v>
      </c>
      <c r="Y1" s="3525"/>
      <c r="Z1" s="3525"/>
      <c r="AA1" s="3525"/>
      <c r="AB1" s="3525"/>
      <c r="AD1" s="3524" t="s">
        <v>457</v>
      </c>
      <c r="AE1" s="3525"/>
      <c r="AF1" s="3525"/>
      <c r="AG1" s="3525"/>
      <c r="AH1" s="3525"/>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27">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27"/>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27"/>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34"/>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30">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27"/>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27"/>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34"/>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30">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27"/>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27"/>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28"/>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26">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27"/>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27"/>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28"/>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26">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27"/>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27"/>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28"/>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31">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32"/>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32"/>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33"/>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26">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27"/>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27"/>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28"/>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26">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27">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27">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28">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26">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27">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27">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28">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26">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27">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27">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28">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26">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27">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27">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28">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26">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27">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27">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28">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26">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27">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27">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28">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26">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27">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27">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28">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26">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27">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27">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28">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26">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27">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27">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28">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26">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27">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27">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28">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41106</v>
      </c>
      <c r="D1" s="1216" t="s">
        <v>603</v>
      </c>
      <c r="E1" s="1211">
        <f>'数据-取费表'!B22</f>
        <v>2</v>
      </c>
      <c r="F1" s="1216" t="s">
        <v>604</v>
      </c>
      <c r="G1" s="1212">
        <f ca="1">INDIRECT("d"&amp;$K$1)/100</f>
        <v>6.1500000000000006E-2</v>
      </c>
      <c r="H1" s="1216" t="s">
        <v>634</v>
      </c>
      <c r="I1" s="1212">
        <f ca="1">F4/100</f>
        <v>0.03</v>
      </c>
      <c r="J1" s="1217">
        <f>IF(C1&gt;C13,0,MATCH(C1,C$13:C$113,-1))+IF(SUMIF(C13:C113,C1,D13:D113)=0,13,12)</f>
        <v>32</v>
      </c>
      <c r="K1" s="1217">
        <f>MATCH(E1,C3:C7,1)+IF(SUMIF(C3:C7,E1,D3:D7)=0,2,1)</f>
        <v>5</v>
      </c>
      <c r="L1" s="1217">
        <f>IF(C1&gt;M13,0,MATCH(C1,M$13:M$100,-1))+IF(SUMIF(M13:M100,C1,N13:N100)=0,13,12)</f>
        <v>19</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5.6</v>
      </c>
      <c r="E3" s="1162">
        <v>0.5</v>
      </c>
      <c r="F3" s="1163">
        <f ca="1">INDIRECT("p"&amp;$L$1)</f>
        <v>2.8</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6</v>
      </c>
      <c r="E4" s="1168">
        <v>1</v>
      </c>
      <c r="F4" s="1169">
        <f ca="1">INDIRECT("q"&amp;$L$1)</f>
        <v>3</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6.15</v>
      </c>
      <c r="E5" s="1168">
        <v>2</v>
      </c>
      <c r="F5" s="1169">
        <f ca="1">INDIRECT("r"&amp;$L$1)</f>
        <v>3.75</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6.4</v>
      </c>
      <c r="E6" s="1168">
        <v>3</v>
      </c>
      <c r="F6" s="1169">
        <f ca="1">INDIRECT("s"&amp;$L$1)</f>
        <v>4.25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6.55</v>
      </c>
      <c r="E7" s="1173">
        <v>5</v>
      </c>
      <c r="F7" s="1174">
        <f ca="1">INDIRECT("t"&amp;$L$1)</f>
        <v>4.75</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2">
        <v>4.25</v>
      </c>
      <c r="E25" s="2572">
        <v>4.25</v>
      </c>
      <c r="F25" s="2572">
        <v>4.25</v>
      </c>
      <c r="G25" s="2572">
        <v>4.25</v>
      </c>
      <c r="H25" s="2572">
        <v>4.8499999999999996</v>
      </c>
      <c r="I25" s="2572"/>
      <c r="J25" s="2572"/>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5"/>
      <c r="C26" s="2576">
        <v>42301</v>
      </c>
      <c r="D26" s="2577">
        <v>4.3499999999999996</v>
      </c>
      <c r="E26" s="2577">
        <v>4.3499999999999996</v>
      </c>
      <c r="F26" s="2577">
        <v>4.75</v>
      </c>
      <c r="G26" s="2577">
        <v>4.75</v>
      </c>
      <c r="H26" s="2577">
        <v>4.9000000000000004</v>
      </c>
      <c r="I26" s="2577"/>
      <c r="J26" s="257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9" t="str">
        <f>IF(项目基本情况!B9="房地产市场价值","估价结果一览表","结果表-2")</f>
        <v>估价结果一览表</v>
      </c>
      <c r="B1" s="3209"/>
      <c r="C1" s="3209"/>
      <c r="D1" s="3209"/>
      <c r="E1" s="3209"/>
      <c r="F1" s="3209"/>
      <c r="G1" s="3209"/>
      <c r="H1" s="3209"/>
      <c r="I1" s="3209"/>
    </row>
    <row r="2" spans="1:9" ht="30" customHeight="1" thickTop="1">
      <c r="A2" s="3210" t="s">
        <v>928</v>
      </c>
      <c r="B2" s="3210" t="s">
        <v>929</v>
      </c>
      <c r="C2" s="3210" t="s">
        <v>930</v>
      </c>
      <c r="D2" s="3210" t="str">
        <f>结果表!D116</f>
        <v>出让国有建设用地使用权价值</v>
      </c>
      <c r="E2" s="3210"/>
      <c r="F2" s="3210" t="str">
        <f>结果表!F116</f>
        <v>在建建筑物价值</v>
      </c>
      <c r="G2" s="3210"/>
      <c r="H2" s="3210" t="str">
        <f>IF(项目基本情况!B9="房地产市场价值","房地产市场价值","房地产价值")</f>
        <v>房地产市场价值</v>
      </c>
      <c r="I2" s="3210"/>
    </row>
    <row r="3" spans="1:9" ht="15">
      <c r="A3" s="3211"/>
      <c r="B3" s="3211"/>
      <c r="C3" s="3211"/>
      <c r="D3" s="801" t="s">
        <v>925</v>
      </c>
      <c r="E3" s="801" t="s">
        <v>931</v>
      </c>
      <c r="F3" s="801" t="s">
        <v>925</v>
      </c>
      <c r="G3" s="801" t="s">
        <v>926</v>
      </c>
      <c r="H3" s="801" t="s">
        <v>925</v>
      </c>
      <c r="I3" s="801" t="s">
        <v>926</v>
      </c>
    </row>
    <row r="4" spans="1:9" ht="15">
      <c r="A4" s="1402" t="str">
        <f>项目基本情况!S2</f>
        <v>北京市房地产</v>
      </c>
      <c r="B4" s="801">
        <f>项目基本情况!C17</f>
        <v>55.92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11" t="s">
        <v>927</v>
      </c>
      <c r="B5" s="3211"/>
      <c r="C5" s="3211"/>
      <c r="D5" s="3211" t="e">
        <f ca="1">结果表!D119</f>
        <v>#REF!</v>
      </c>
      <c r="E5" s="3211"/>
      <c r="F5" s="3211" t="e">
        <f ca="1">结果表!F119</f>
        <v>#REF!</v>
      </c>
      <c r="G5" s="3211"/>
      <c r="H5" s="3211" t="e">
        <f ca="1">结果表!H119</f>
        <v>#REF!</v>
      </c>
      <c r="I5" s="3211"/>
    </row>
    <row r="6" spans="1:9" ht="15.75">
      <c r="A6" s="3212" t="str">
        <f>结果表!A120</f>
        <v/>
      </c>
      <c r="B6" s="3212"/>
      <c r="C6" s="3212"/>
      <c r="D6" s="3212">
        <f>结果表!D120</f>
        <v>0</v>
      </c>
      <c r="E6" s="3212"/>
      <c r="F6" s="3212"/>
      <c r="G6" s="3212"/>
      <c r="H6" s="3212"/>
      <c r="I6" s="3212"/>
    </row>
    <row r="7" spans="1:9" ht="15">
      <c r="A7" s="3211" t="s">
        <v>927</v>
      </c>
      <c r="B7" s="3211"/>
      <c r="C7" s="3211"/>
      <c r="D7" s="3213" t="str">
        <f>结果表!D121</f>
        <v>零元整</v>
      </c>
      <c r="E7" s="3214"/>
      <c r="F7" s="3214"/>
      <c r="G7" s="3214"/>
      <c r="H7" s="3214"/>
      <c r="I7" s="3215"/>
    </row>
    <row r="8" spans="1:9" ht="15.75">
      <c r="A8" s="3212" t="str">
        <f>结果表!A122</f>
        <v/>
      </c>
      <c r="B8" s="3212"/>
      <c r="C8" s="3212"/>
      <c r="D8" s="3212" t="e">
        <f ca="1">结果表!D122</f>
        <v>#REF!</v>
      </c>
      <c r="E8" s="3212"/>
      <c r="F8" s="3212"/>
      <c r="G8" s="3212"/>
      <c r="H8" s="3212"/>
      <c r="I8" s="3212"/>
    </row>
    <row r="9" spans="1:9" ht="15">
      <c r="A9" s="3211" t="s">
        <v>927</v>
      </c>
      <c r="B9" s="3211"/>
      <c r="C9" s="3211"/>
      <c r="D9" s="3211" t="e">
        <f ca="1">结果表!D123</f>
        <v>#REF!</v>
      </c>
      <c r="E9" s="3211"/>
      <c r="F9" s="3211"/>
      <c r="G9" s="3211"/>
      <c r="H9" s="3211"/>
      <c r="I9" s="3211"/>
    </row>
    <row r="10" spans="1:9" ht="15.75">
      <c r="A10" s="3212" t="str">
        <f>结果表!A124</f>
        <v/>
      </c>
      <c r="B10" s="3212"/>
      <c r="C10" s="3212"/>
      <c r="D10" s="3212" t="str">
        <f>结果表!D124</f>
        <v>——</v>
      </c>
      <c r="E10" s="3212"/>
      <c r="F10" s="3212"/>
      <c r="G10" s="3212"/>
      <c r="H10" s="3212"/>
      <c r="I10" s="3212"/>
    </row>
    <row r="11" spans="1:9" ht="15">
      <c r="A11" s="3211" t="s">
        <v>927</v>
      </c>
      <c r="B11" s="3211"/>
      <c r="C11" s="3211"/>
      <c r="D11" s="3211" t="e">
        <f>结果表!D125</f>
        <v>#VALUE!</v>
      </c>
      <c r="E11" s="3211"/>
      <c r="F11" s="3211"/>
      <c r="G11" s="3211"/>
      <c r="H11" s="3211"/>
      <c r="I11" s="3211"/>
    </row>
    <row r="12" spans="1:9" ht="15.75">
      <c r="A12" s="3212" t="str">
        <f>结果表!A126</f>
        <v/>
      </c>
      <c r="B12" s="3212"/>
      <c r="C12" s="3212"/>
      <c r="D12" s="3212" t="str">
        <f>结果表!D126</f>
        <v>——</v>
      </c>
      <c r="E12" s="3212"/>
      <c r="F12" s="3212"/>
      <c r="G12" s="3212"/>
      <c r="H12" s="3212"/>
      <c r="I12" s="3212"/>
    </row>
    <row r="13" spans="1:9" ht="15.75" thickBot="1">
      <c r="A13" s="3216" t="s">
        <v>927</v>
      </c>
      <c r="B13" s="3216"/>
      <c r="C13" s="3216"/>
      <c r="D13" s="3216" t="e">
        <f>结果表!D127</f>
        <v>#VALUE!</v>
      </c>
      <c r="E13" s="3216"/>
      <c r="F13" s="3216"/>
      <c r="G13" s="3216"/>
      <c r="H13" s="3216"/>
      <c r="I13" s="3216"/>
    </row>
    <row r="14" spans="1:9" ht="15" thickTop="1">
      <c r="A14" s="3217" t="s">
        <v>932</v>
      </c>
      <c r="B14" s="3217"/>
      <c r="C14" s="3217"/>
      <c r="D14" s="3217"/>
      <c r="E14" s="3217"/>
      <c r="F14" s="3217"/>
      <c r="G14" s="3217"/>
      <c r="H14" s="3217"/>
      <c r="I14" s="3217"/>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8" t="s">
        <v>949</v>
      </c>
      <c r="B1" s="3218"/>
      <c r="C1" s="3218"/>
      <c r="D1" s="3218"/>
    </row>
    <row r="2" spans="1:4" ht="18">
      <c r="A2" s="3219" t="s">
        <v>933</v>
      </c>
      <c r="B2" s="3219"/>
      <c r="C2" s="3219"/>
      <c r="D2" s="3219"/>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19" t="s">
        <v>939</v>
      </c>
      <c r="B6" s="3219"/>
      <c r="C6" s="3219"/>
      <c r="D6" s="321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20" t="s">
        <v>942</v>
      </c>
      <c r="B11" s="3221"/>
      <c r="C11" s="3221"/>
      <c r="D11" s="3221"/>
    </row>
    <row r="12" spans="1:4" ht="15.75">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2"/>
      <c r="C12" s="3222"/>
      <c r="D12" s="3222"/>
    </row>
    <row r="13" spans="1:4" ht="30" customHeight="1">
      <c r="A13" s="3221" t="str">
        <f>IF(项目基本情况!B8="抵押","3.抵押双方在办理抵押登记手续时，应使用本公司出具的正式《房地产评估报告》，特提醒报告使用者注意。","——")</f>
        <v>——</v>
      </c>
      <c r="B13" s="3222"/>
      <c r="C13" s="3222"/>
      <c r="D13" s="3222"/>
    </row>
    <row r="14" spans="1:4" ht="15.75" customHeight="1">
      <c r="A14" s="3221" t="str">
        <f>IF(项目基本情况!B8="抵押","4.本次评估估价师所知悉的法定优先受偿款情况说明如下：","——")</f>
        <v>——</v>
      </c>
      <c r="B14" s="3222"/>
      <c r="C14" s="3222"/>
      <c r="D14" s="3222"/>
    </row>
    <row r="15" spans="1:4" ht="42" customHeight="1">
      <c r="A15" s="3221" t="str">
        <f>IF(项目基本情况!B8="抵押","（1）"&amp;CONCATENATE(项目基本情况!L20,项目基本情况!L21,项目基本情况!L22),"——")</f>
        <v>——</v>
      </c>
      <c r="B15" s="3221"/>
      <c r="C15" s="3221"/>
      <c r="D15" s="3221"/>
    </row>
    <row r="16" spans="1:4" ht="30" customHeight="1">
      <c r="A16" s="3224" t="s">
        <v>943</v>
      </c>
      <c r="B16" s="3224"/>
      <c r="C16" s="3224"/>
      <c r="D16" s="3224"/>
    </row>
    <row r="17" spans="1:4" ht="144" customHeight="1">
      <c r="A17" s="3224" t="s">
        <v>944</v>
      </c>
      <c r="B17" s="3224"/>
      <c r="C17" s="3224"/>
      <c r="D17" s="3224"/>
    </row>
    <row r="18" spans="1:4" ht="15.75" customHeight="1">
      <c r="A18" s="3221" t="str">
        <f>IF(项目基本情况!B8="抵押",结果表!K120,"——")</f>
        <v>——</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1"/>
      <c r="C20" s="3221"/>
      <c r="D20" s="3221"/>
    </row>
    <row r="21" spans="1:4" ht="57.75" customHeight="1">
      <c r="A21" s="32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5"/>
      <c r="C21" s="3225"/>
      <c r="D21" s="3225"/>
    </row>
    <row r="22" spans="1:4" ht="18.75" customHeight="1">
      <c r="A22" s="3226" t="s">
        <v>945</v>
      </c>
      <c r="B22" s="3226"/>
      <c r="C22" s="3226"/>
      <c r="D22" s="3226"/>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23">
        <v>42551</v>
      </c>
      <c r="D31" s="32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32" t="s">
        <v>956</v>
      </c>
      <c r="B15" s="3227" t="s">
        <v>109</v>
      </c>
      <c r="C15" s="3228"/>
    </row>
    <row r="16" spans="1:7" ht="13.5">
      <c r="A16" s="3233"/>
      <c r="B16" s="3227" t="s">
        <v>42</v>
      </c>
      <c r="C16" s="3228"/>
    </row>
    <row r="17" spans="1:3" ht="13.5">
      <c r="A17" s="3233"/>
      <c r="B17" s="3230" t="s">
        <v>957</v>
      </c>
      <c r="C17" s="1428" t="s">
        <v>956</v>
      </c>
    </row>
    <row r="18" spans="1:3" ht="13.5">
      <c r="A18" s="3233"/>
      <c r="B18" s="3230"/>
      <c r="C18" s="1428" t="s">
        <v>958</v>
      </c>
    </row>
    <row r="19" spans="1:3" ht="13.5">
      <c r="A19" s="3233"/>
      <c r="B19" s="3230"/>
      <c r="C19" s="1428" t="s">
        <v>959</v>
      </c>
    </row>
    <row r="20" spans="1:3" ht="13.5">
      <c r="A20" s="3234"/>
      <c r="B20" s="3229" t="s">
        <v>960</v>
      </c>
      <c r="C20" s="3228"/>
    </row>
    <row r="21" spans="1:3" ht="13.5">
      <c r="A21" s="1429" t="s">
        <v>961</v>
      </c>
      <c r="B21" s="1430"/>
      <c r="C21" s="1431"/>
    </row>
    <row r="22" spans="1:3" ht="13.5">
      <c r="A22" s="3231" t="s">
        <v>962</v>
      </c>
      <c r="B22" s="3229" t="s">
        <v>963</v>
      </c>
      <c r="C22" s="3228"/>
    </row>
    <row r="23" spans="1:3" ht="13.5">
      <c r="A23" s="3231"/>
      <c r="B23" s="3229" t="s">
        <v>964</v>
      </c>
      <c r="C23" s="3228"/>
    </row>
    <row r="24" spans="1:3" ht="13.5">
      <c r="A24" s="3231"/>
      <c r="B24" s="3229" t="s">
        <v>965</v>
      </c>
      <c r="C24" s="3228"/>
    </row>
    <row r="25" spans="1:3" ht="13.5">
      <c r="A25" s="3231"/>
      <c r="B25" s="3230" t="s">
        <v>966</v>
      </c>
      <c r="C25" s="1428" t="s">
        <v>967</v>
      </c>
    </row>
    <row r="26" spans="1:3" ht="13.5">
      <c r="A26" s="3231"/>
      <c r="B26" s="3230"/>
      <c r="C26" s="1428" t="s">
        <v>968</v>
      </c>
    </row>
    <row r="27" spans="1:3" ht="13.5">
      <c r="A27" s="3231"/>
      <c r="B27" s="3230"/>
      <c r="C27" s="1428" t="s">
        <v>969</v>
      </c>
    </row>
    <row r="28" spans="1:3" ht="13.5">
      <c r="A28" s="3231"/>
      <c r="B28" s="3230"/>
      <c r="C28" s="1428" t="s">
        <v>970</v>
      </c>
    </row>
    <row r="29" spans="1:3" ht="13.5">
      <c r="A29" s="3231"/>
      <c r="B29" s="3230"/>
      <c r="C29" s="1428" t="s">
        <v>971</v>
      </c>
    </row>
    <row r="30" spans="1:3" ht="13.5">
      <c r="A30" s="3231"/>
      <c r="B30" s="3230"/>
      <c r="C30" s="1428" t="s">
        <v>972</v>
      </c>
    </row>
    <row r="31" spans="1:3" ht="13.5">
      <c r="A31" s="3231"/>
      <c r="B31" s="3230"/>
      <c r="C31" s="1428" t="s">
        <v>973</v>
      </c>
    </row>
    <row r="32" spans="1:3" ht="13.5">
      <c r="A32" s="3231"/>
      <c r="B32" s="3230"/>
      <c r="C32" s="1428" t="s">
        <v>974</v>
      </c>
    </row>
    <row r="33" spans="1:3" ht="13.5">
      <c r="A33" s="3231"/>
      <c r="B33" s="323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45986</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t="str">
        <f ca="1">IF(C4&lt;B2,"已过期",1119970066)</f>
        <v>已过期</v>
      </c>
      <c r="C4" s="2160">
        <v>45937</v>
      </c>
      <c r="D4" s="2161" t="str">
        <f ca="1">A4&amp;"（注册号："&amp;B4&amp;"）"</f>
        <v>梁津（注册号：已过期）</v>
      </c>
      <c r="E4" s="2162" t="s">
        <v>2148</v>
      </c>
      <c r="F4" s="1218">
        <f ca="1">IF(G4&lt;B2,"已过期",96010014)</f>
        <v>96010014</v>
      </c>
      <c r="G4" s="2163">
        <v>47118</v>
      </c>
      <c r="H4" s="2164" t="str">
        <f ca="1">E4&amp;"（注册号："&amp;F4&amp;"）"</f>
        <v>梁津（注册号：96010014）</v>
      </c>
    </row>
    <row r="5" spans="1:8" ht="24" customHeight="1">
      <c r="A5" s="1218" t="s">
        <v>2149</v>
      </c>
      <c r="B5" s="1218" t="str">
        <f ca="1">IF(C5&lt;B2,"已过期",1119970111)</f>
        <v>已过期</v>
      </c>
      <c r="C5" s="2160">
        <v>45937</v>
      </c>
      <c r="D5" s="2161" t="str">
        <f t="shared" ref="D5:D15" ca="1" si="0">A5&amp;"（注册号："&amp;B5&amp;"）"</f>
        <v>叶凌（注册号：已过期）</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t="str">
        <f ca="1">IF(C7&lt;B2,"已过期",1120000080)</f>
        <v>已过期</v>
      </c>
      <c r="C7" s="2160">
        <v>45937</v>
      </c>
      <c r="D7" s="2161" t="str">
        <f t="shared" ca="1" si="0"/>
        <v>欧红伟（注册号：已过期）</v>
      </c>
      <c r="E7" s="2162" t="s">
        <v>2151</v>
      </c>
      <c r="F7" s="1218">
        <f ca="1">IF(G7&lt;B2,"已过期",2000110082)</f>
        <v>2000110082</v>
      </c>
      <c r="G7" s="2163">
        <v>46387</v>
      </c>
      <c r="H7" s="2164" t="str">
        <f t="shared" ca="1" si="1"/>
        <v>欧红伟（注册号：2000110082）</v>
      </c>
    </row>
    <row r="8" spans="1:8" ht="24" customHeight="1">
      <c r="A8" s="1218" t="s">
        <v>2152</v>
      </c>
      <c r="B8" s="1218" t="str">
        <f ca="1">IF(C8&lt;B2,"已过期",1419970001)</f>
        <v>已过期</v>
      </c>
      <c r="C8" s="2160">
        <v>45937</v>
      </c>
      <c r="D8" s="2161" t="str">
        <f t="shared" ca="1" si="0"/>
        <v>吴薇（注册号：已过期）</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t="str">
        <f ca="1">IF(C11&lt;B2,"已过期",1120070131)</f>
        <v>已过期</v>
      </c>
      <c r="C11" s="2160">
        <v>45937</v>
      </c>
      <c r="D11" s="2161" t="str">
        <f t="shared" ca="1" si="0"/>
        <v>郑燚（注册号：已过期）</v>
      </c>
      <c r="E11" s="2162" t="s">
        <v>2155</v>
      </c>
      <c r="F11" s="1218">
        <f ca="1">IF(G11&lt;B2,"已过期",2014110011)</f>
        <v>2014110011</v>
      </c>
      <c r="G11" s="2163">
        <v>49302</v>
      </c>
      <c r="H11" s="2164" t="str">
        <f t="shared" ca="1" si="1"/>
        <v>郑燚（注册号：2014110011）</v>
      </c>
    </row>
    <row r="12" spans="1:8" ht="24" customHeight="1">
      <c r="A12" s="1218" t="s">
        <v>2156</v>
      </c>
      <c r="B12" s="1218" t="str">
        <f ca="1">IF(C12&lt;B2,"已过期",1120040230)</f>
        <v>已过期</v>
      </c>
      <c r="C12" s="2165">
        <v>45937</v>
      </c>
      <c r="D12" s="2161" t="str">
        <f t="shared" ca="1" si="0"/>
        <v>苏海（注册号：已过期）</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2439</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35" t="s">
        <v>2160</v>
      </c>
      <c r="B17" s="3235"/>
      <c r="C17" s="3235"/>
      <c r="D17" s="3235"/>
      <c r="E17" s="3235"/>
      <c r="F17" s="3235"/>
      <c r="G17" s="3235"/>
      <c r="H17" s="3235"/>
    </row>
    <row r="18" spans="1:8" ht="24" customHeight="1">
      <c r="A18" s="3236" t="s">
        <v>2161</v>
      </c>
      <c r="B18" s="3236"/>
      <c r="C18" s="3236"/>
      <c r="D18" s="2158"/>
      <c r="E18" s="3237" t="s">
        <v>2162</v>
      </c>
      <c r="F18" s="3236"/>
      <c r="G18" s="3236"/>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2025-11-25T09:05:50Z</dcterms:modified>
</cp:coreProperties>
</file>