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台账" sheetId="81"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3"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Sheet1" sheetId="80" r:id="rId48"/>
    <sheet name="Sheet3" sheetId="82"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8" i="1" l="1"/>
  <c r="V27" i="1" l="1"/>
  <c r="X27" i="1" s="1"/>
  <c r="X26" i="1"/>
  <c r="AB8" i="83"/>
  <c r="U28" i="1"/>
  <c r="U27" i="1"/>
  <c r="U26" i="1"/>
  <c r="AB6" i="83"/>
  <c r="I41" i="40" s="1"/>
  <c r="AB3" i="83"/>
  <c r="G41" i="40" s="1"/>
  <c r="X25" i="83"/>
  <c r="AA25" i="83" s="1"/>
  <c r="D11" i="78"/>
  <c r="D12" i="78" s="1"/>
  <c r="E5" i="78"/>
  <c r="E7" i="78" s="1"/>
  <c r="B6" i="78"/>
  <c r="X28" i="1" l="1"/>
  <c r="U6" i="1" s="1"/>
  <c r="AA26" i="83"/>
  <c r="AA27" i="83" s="1"/>
  <c r="E6" i="78"/>
  <c r="I34" i="40"/>
  <c r="I7" i="40"/>
  <c r="I6" i="40"/>
  <c r="C11" i="40"/>
  <c r="I5" i="40"/>
  <c r="G34" i="40"/>
  <c r="G7" i="40"/>
  <c r="G6" i="40"/>
  <c r="G5" i="40"/>
  <c r="D66" i="40"/>
  <c r="E66" i="40" s="1"/>
  <c r="F66" i="40" s="1"/>
  <c r="G66" i="40" s="1"/>
  <c r="H66" i="40" s="1"/>
  <c r="I66" i="40" s="1"/>
  <c r="J66" i="40" s="1"/>
  <c r="K66" i="40" s="1"/>
  <c r="L66" i="40" s="1"/>
  <c r="M66" i="40" s="1"/>
  <c r="N66" i="40" s="1"/>
  <c r="O66" i="40" s="1"/>
  <c r="E41" i="40"/>
  <c r="E34" i="40"/>
  <c r="O5" i="6"/>
  <c r="E7" i="40"/>
  <c r="E6" i="40"/>
  <c r="E5" i="40"/>
  <c r="C14" i="74"/>
  <c r="B14" i="74"/>
  <c r="D33" i="43" l="1"/>
  <c r="G84" i="43"/>
  <c r="G85" i="43"/>
  <c r="G86" i="43"/>
  <c r="G87" i="43"/>
  <c r="G88" i="43"/>
  <c r="G89" i="43"/>
  <c r="G90" i="43"/>
  <c r="G83" i="43"/>
  <c r="G44" i="43"/>
  <c r="J49" i="15"/>
  <c r="Y6" i="1"/>
  <c r="E17" i="81"/>
  <c r="F17" i="81"/>
  <c r="F5" i="81"/>
  <c r="F6" i="81"/>
  <c r="F7" i="81"/>
  <c r="F8" i="81"/>
  <c r="F9" i="81"/>
  <c r="F10" i="81"/>
  <c r="F11" i="81"/>
  <c r="F12" i="81"/>
  <c r="F13" i="81"/>
  <c r="F14" i="81"/>
  <c r="F15" i="81"/>
  <c r="F16" i="81"/>
  <c r="F4" i="81"/>
  <c r="D17" i="81"/>
  <c r="N6" i="1" l="1"/>
  <c r="O4" i="6"/>
  <c r="N5" i="6"/>
  <c r="N4" i="6"/>
  <c r="N3" i="6"/>
  <c r="G19" i="6"/>
  <c r="F19" i="6"/>
  <c r="I13" i="3"/>
  <c r="K13" i="3"/>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7" i="79"/>
  <c r="AR8" i="79" s="1"/>
  <c r="AD35" i="79"/>
  <c r="AR36" i="79"/>
  <c r="D60" i="78"/>
  <c r="C60" i="78"/>
  <c r="B55" i="78"/>
  <c r="D55" i="78" s="1"/>
  <c r="D53" i="78"/>
  <c r="D52" i="78"/>
  <c r="B51" i="78"/>
  <c r="B56" i="78" s="1"/>
  <c r="D51" i="78" l="1"/>
  <c r="C51" i="78"/>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R40" i="79"/>
  <c r="AR41" i="79" s="1"/>
  <c r="AR42" i="79" s="1"/>
  <c r="AR43" i="79" s="1"/>
  <c r="AR44" i="79" s="1"/>
  <c r="AR45" i="79" s="1"/>
  <c r="AR46" i="79" s="1"/>
  <c r="AR47" i="79" s="1"/>
  <c r="AR48" i="79" s="1"/>
  <c r="AR49" i="79" s="1"/>
  <c r="AR50" i="79" s="1"/>
  <c r="AR51" i="79" s="1"/>
  <c r="AR52" i="79" s="1"/>
  <c r="AD38" i="79"/>
  <c r="AD36" i="79"/>
  <c r="AD37" i="79"/>
  <c r="W40" i="79"/>
  <c r="AK40" i="79" s="1"/>
  <c r="AH40" i="79"/>
  <c r="AR18" i="79"/>
  <c r="AR19" i="79" s="1"/>
  <c r="AR20" i="79" s="1"/>
  <c r="AR21" i="79" s="1"/>
  <c r="AR22" i="79" s="1"/>
  <c r="AR23" i="79" s="1"/>
  <c r="AR24" i="79" s="1"/>
  <c r="T33" i="79"/>
  <c r="T35" i="79"/>
  <c r="T34"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B39" i="71" s="1"/>
  <c r="B40" i="71" s="1"/>
  <c r="S40" i="71" s="1"/>
  <c r="F38" i="71"/>
  <c r="F39" i="71" s="1"/>
  <c r="Q37" i="71"/>
  <c r="P37" i="71"/>
  <c r="AA37" i="71" s="1"/>
  <c r="O37" i="71"/>
  <c r="C38" i="71" s="1"/>
  <c r="N37" i="71"/>
  <c r="B38" i="71" s="1"/>
  <c r="D37" i="71"/>
  <c r="Q36" i="71"/>
  <c r="AB36" i="71" s="1"/>
  <c r="P36" i="71"/>
  <c r="AA35" i="71" s="1"/>
  <c r="O36" i="71"/>
  <c r="N36" i="71"/>
  <c r="Q35" i="71"/>
  <c r="AB35" i="71"/>
  <c r="P35" i="71"/>
  <c r="O35" i="71"/>
  <c r="N35" i="71"/>
  <c r="Q34" i="71"/>
  <c r="AB34" i="71"/>
  <c r="P34" i="71"/>
  <c r="O34" i="71"/>
  <c r="N34" i="71"/>
  <c r="Q33" i="71"/>
  <c r="P33" i="71"/>
  <c r="O33" i="71"/>
  <c r="N33" i="71"/>
  <c r="D33" i="71"/>
  <c r="Q32" i="71"/>
  <c r="AB32" i="71" s="1"/>
  <c r="P32" i="71"/>
  <c r="O32" i="71"/>
  <c r="N32" i="71"/>
  <c r="Q31" i="71"/>
  <c r="P31" i="71"/>
  <c r="O31" i="71"/>
  <c r="N31" i="71"/>
  <c r="Q30" i="71"/>
  <c r="P30" i="71"/>
  <c r="O30" i="71"/>
  <c r="N30" i="71"/>
  <c r="Q29" i="71"/>
  <c r="F30" i="71" s="1"/>
  <c r="F31" i="71" s="1"/>
  <c r="F32" i="71" s="1"/>
  <c r="V32" i="71" s="1"/>
  <c r="P29" i="71"/>
  <c r="AA3" i="71" s="1"/>
  <c r="O29" i="71"/>
  <c r="N29" i="71"/>
  <c r="D29" i="71"/>
  <c r="O28" i="71"/>
  <c r="N28" i="71"/>
  <c r="B30" i="71"/>
  <c r="B31" i="71"/>
  <c r="B32" i="71" s="1"/>
  <c r="S32" i="71" s="1"/>
  <c r="E30" i="71"/>
  <c r="E31" i="71" s="1"/>
  <c r="E32" i="71" s="1"/>
  <c r="U32" i="71" s="1"/>
  <c r="E34" i="71"/>
  <c r="C30" i="71"/>
  <c r="X31" i="71"/>
  <c r="C34" i="71"/>
  <c r="D34" i="71" s="1"/>
  <c r="X34" i="71"/>
  <c r="F51" i="71"/>
  <c r="F52" i="71" s="1"/>
  <c r="V52" i="71" s="1"/>
  <c r="Y27" i="71"/>
  <c r="Z27" i="71" s="1"/>
  <c r="B28" i="71"/>
  <c r="B27" i="71" s="1"/>
  <c r="B26" i="71"/>
  <c r="D30" i="71"/>
  <c r="D50" i="71"/>
  <c r="P28" i="71"/>
  <c r="U68" i="71"/>
  <c r="E67" i="71"/>
  <c r="Q28" i="71"/>
  <c r="C59" i="71"/>
  <c r="D58" i="71"/>
  <c r="C63" i="71"/>
  <c r="C64" i="71" s="1"/>
  <c r="D62" i="71"/>
  <c r="T68" i="71"/>
  <c r="O68" i="71"/>
  <c r="D68" i="71"/>
  <c r="C67" i="71"/>
  <c r="D67" i="71" s="1"/>
  <c r="Q68" i="71"/>
  <c r="E71" i="71"/>
  <c r="E70" i="71"/>
  <c r="D72" i="71"/>
  <c r="C75" i="71"/>
  <c r="D76" i="71"/>
  <c r="E79" i="71"/>
  <c r="E78" i="71"/>
  <c r="C87" i="71"/>
  <c r="C86" i="71" s="1"/>
  <c r="D86" i="71" s="1"/>
  <c r="F28" i="71"/>
  <c r="F27" i="71"/>
  <c r="F26" i="71"/>
  <c r="D63" i="71"/>
  <c r="D75" i="71"/>
  <c r="C74" i="71"/>
  <c r="D74" i="71" s="1"/>
  <c r="D87" i="71"/>
  <c r="C60" i="71"/>
  <c r="T60" i="71" s="1"/>
  <c r="D59" i="71"/>
  <c r="P67" i="71"/>
  <c r="E66" i="71"/>
  <c r="P65" i="71" s="1"/>
  <c r="D51" i="71"/>
  <c r="P66"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21" i="34"/>
  <c r="H25" i="40"/>
  <c r="AB25" i="40" s="1"/>
  <c r="J25" i="40"/>
  <c r="W25" i="40" s="1"/>
  <c r="H29" i="39"/>
  <c r="AB29" i="39" s="1"/>
  <c r="J29" i="39"/>
  <c r="J18" i="36"/>
  <c r="AC18" i="36" s="1"/>
  <c r="H18" i="35"/>
  <c r="AB18" i="35" s="1"/>
  <c r="J18" i="35"/>
  <c r="H21" i="37"/>
  <c r="F21" i="37"/>
  <c r="AA21" i="37" s="1"/>
  <c r="F84" i="34"/>
  <c r="G84" i="34" s="1"/>
  <c r="H21" i="34"/>
  <c r="AB21" i="34" s="1"/>
  <c r="H21" i="33"/>
  <c r="U21" i="33" s="1"/>
  <c r="F21" i="33"/>
  <c r="AA21" i="33" s="1"/>
  <c r="H1" i="69"/>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W39" i="33"/>
  <c r="H39" i="37"/>
  <c r="AB39" i="37" s="1"/>
  <c r="S27" i="35"/>
  <c r="F11" i="40"/>
  <c r="AA11" i="40" s="1"/>
  <c r="H11" i="40"/>
  <c r="AB11" i="40" s="1"/>
  <c r="W8" i="40"/>
  <c r="AB39" i="40"/>
  <c r="U9" i="40"/>
  <c r="S34"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H28" i="40"/>
  <c r="U28" i="40" s="1"/>
  <c r="F17" i="40"/>
  <c r="AA17" i="40" s="1"/>
  <c r="J17" i="40"/>
  <c r="W17" i="40" s="1"/>
  <c r="F15" i="40"/>
  <c r="S15" i="40" s="1"/>
  <c r="H15" i="40"/>
  <c r="AB15" i="40" s="1"/>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BL136" i="3"/>
  <c r="G137" i="3"/>
  <c r="BA139" i="3"/>
  <c r="AZ139" i="3" s="1"/>
  <c r="BL140" i="3"/>
  <c r="G141" i="3"/>
  <c r="BA143" i="3"/>
  <c r="AZ143" i="3" s="1"/>
  <c r="BL144" i="3"/>
  <c r="G145" i="3"/>
  <c r="BA147" i="3"/>
  <c r="BL148" i="3"/>
  <c r="AZ148" i="3"/>
  <c r="G149" i="3"/>
  <c r="BA151" i="3"/>
  <c r="BL152" i="3"/>
  <c r="G153" i="3"/>
  <c r="BA155" i="3"/>
  <c r="AZ155" i="3" s="1"/>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AZ184" i="3" s="1"/>
  <c r="G185" i="3"/>
  <c r="BA187" i="3"/>
  <c r="AZ187" i="3" s="1"/>
  <c r="BL188" i="3"/>
  <c r="AZ188" i="3" s="1"/>
  <c r="G189" i="3"/>
  <c r="BA191" i="3"/>
  <c r="BL192" i="3"/>
  <c r="AZ192" i="3" s="1"/>
  <c r="G193" i="3"/>
  <c r="BA195" i="3"/>
  <c r="AZ195" i="3" s="1"/>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2" i="3"/>
  <c r="AZ500" i="3"/>
  <c r="BA16" i="3"/>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G393" i="3"/>
  <c r="AZ283" i="3"/>
  <c r="BO5" i="3"/>
  <c r="BM5" i="3"/>
  <c r="BJ5" i="3"/>
  <c r="BH5" i="3"/>
  <c r="BF5" i="3"/>
  <c r="BD5" i="3"/>
  <c r="AZ325" i="3"/>
  <c r="AC5" i="3"/>
  <c r="AZ506" i="3"/>
  <c r="AZ496" i="3"/>
  <c r="G548" i="3"/>
  <c r="G538" i="3"/>
  <c r="G520" i="3"/>
  <c r="G502" i="3"/>
  <c r="BS5" i="3"/>
  <c r="BP5" i="3"/>
  <c r="BN5" i="3"/>
  <c r="BK5" i="3"/>
  <c r="BI5" i="3"/>
  <c r="BG5" i="3"/>
  <c r="BE5" i="3"/>
  <c r="BC5" i="3"/>
  <c r="G17" i="3"/>
  <c r="BA17" i="3"/>
  <c r="BT5" i="3"/>
  <c r="BA15" i="3"/>
  <c r="AZ15" i="3" s="1"/>
  <c r="BB5" i="3"/>
  <c r="BR5" i="3"/>
  <c r="AZ380" i="3"/>
  <c r="AZ499" i="3"/>
  <c r="G509" i="3"/>
  <c r="BL493" i="3"/>
  <c r="AZ493" i="3" s="1"/>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AA27" i="40" s="1"/>
  <c r="J30" i="40"/>
  <c r="AC30" i="40" s="1"/>
  <c r="F30" i="40"/>
  <c r="S30" i="40" s="1"/>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69" i="3"/>
  <c r="AZ77"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33" i="3"/>
  <c r="AZ586" i="3"/>
  <c r="W12" i="33"/>
  <c r="AC12" i="33"/>
  <c r="AA32" i="36"/>
  <c r="S32" i="36"/>
  <c r="AZ437" i="3"/>
  <c r="BL14" i="3"/>
  <c r="U30" i="33"/>
  <c r="AC13" i="34"/>
  <c r="AA47" i="34"/>
  <c r="W28" i="37"/>
  <c r="S19" i="39"/>
  <c r="F12" i="33"/>
  <c r="H12" i="39"/>
  <c r="AB12" i="39"/>
  <c r="F39" i="40"/>
  <c r="BA14" i="3"/>
  <c r="AZ224" i="3"/>
  <c r="AZ189" i="3"/>
  <c r="B12" i="1"/>
  <c r="E12" i="1" s="1"/>
  <c r="B10" i="1"/>
  <c r="E10" i="1" s="1"/>
  <c r="K12" i="1"/>
  <c r="M12" i="1" s="1"/>
  <c r="S13" i="1"/>
  <c r="AR13" i="1" s="1"/>
  <c r="R13" i="1"/>
  <c r="J51" i="67"/>
  <c r="AC34" i="33"/>
  <c r="AA34" i="33"/>
  <c r="B41" i="1"/>
  <c r="F48" i="9" s="1"/>
  <c r="O52" i="9" s="1"/>
  <c r="AA32" i="40"/>
  <c r="AC15" i="40"/>
  <c r="AB27" i="40"/>
  <c r="AA19"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5"/>
  <c r="C48" i="35" s="1"/>
  <c r="D48" i="35" s="1"/>
  <c r="C7" i="33"/>
  <c r="C7" i="21"/>
  <c r="M47" i="9"/>
  <c r="G23" i="43"/>
  <c r="C23" i="43" s="1"/>
  <c r="L20" i="6"/>
  <c r="B6" i="1"/>
  <c r="E6" i="1" s="1"/>
  <c r="K11" i="1"/>
  <c r="M11" i="1" s="1"/>
  <c r="O11" i="1" s="1"/>
  <c r="B9" i="1"/>
  <c r="E9" i="1" s="1"/>
  <c r="K7" i="1"/>
  <c r="M7" i="1" s="1"/>
  <c r="O7" i="1" s="1"/>
  <c r="P7" i="1" s="1"/>
  <c r="G1" i="15"/>
  <c r="G1" i="69"/>
  <c r="G1" i="67"/>
  <c r="U32" i="40"/>
  <c r="AB31" i="40"/>
  <c r="AB28" i="40"/>
  <c r="W28" i="40"/>
  <c r="W34" i="40"/>
  <c r="W19" i="40"/>
  <c r="AC14" i="40"/>
  <c r="S13" i="40"/>
  <c r="S33" i="40"/>
  <c r="AA15"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AB19" i="33" s="1"/>
  <c r="G81" i="33"/>
  <c r="H17" i="33"/>
  <c r="U17" i="33" s="1"/>
  <c r="F17" i="33"/>
  <c r="S17" i="33" s="1"/>
  <c r="W17" i="33"/>
  <c r="AC17" i="33"/>
  <c r="S37" i="21"/>
  <c r="AA23" i="21"/>
  <c r="AB15" i="21"/>
  <c r="J23" i="21"/>
  <c r="F85" i="21"/>
  <c r="G85" i="21" s="1"/>
  <c r="H23" i="21"/>
  <c r="S13" i="21"/>
  <c r="AP7" i="1"/>
  <c r="AB45" i="21"/>
  <c r="AB9" i="21"/>
  <c r="AA32" i="21"/>
  <c r="S32" i="21"/>
  <c r="W9" i="21"/>
  <c r="AB32" i="21"/>
  <c r="U32" i="21"/>
  <c r="U32" i="39"/>
  <c r="W23" i="37"/>
  <c r="J63" i="37"/>
  <c r="K63" i="37" s="1"/>
  <c r="L63" i="37" s="1"/>
  <c r="M63" i="37" s="1"/>
  <c r="J11" i="37"/>
  <c r="AC11" i="37" s="1"/>
  <c r="H70" i="34"/>
  <c r="I70" i="34" s="1"/>
  <c r="J70" i="34" s="1"/>
  <c r="K70" i="34" s="1"/>
  <c r="L70" i="34" s="1"/>
  <c r="M70" i="34" s="1"/>
  <c r="J11" i="34"/>
  <c r="W11" i="34" s="1"/>
  <c r="W27" i="33"/>
  <c r="W25" i="33"/>
  <c r="AC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15"/>
  <c r="B13" i="76"/>
  <c r="B9" i="76"/>
  <c r="F38" i="15"/>
  <c r="F37" i="67"/>
  <c r="M24" i="15"/>
  <c r="F7" i="67"/>
  <c r="E8" i="76"/>
  <c r="AO13" i="1"/>
  <c r="F8" i="67"/>
  <c r="E7" i="76"/>
  <c r="L48" i="67"/>
  <c r="F36" i="67"/>
  <c r="F9" i="15"/>
  <c r="F36" i="15"/>
  <c r="F20" i="31"/>
  <c r="M8" i="67"/>
  <c r="B10" i="76"/>
  <c r="C76" i="15"/>
  <c r="J15" i="67"/>
  <c r="L48" i="15"/>
  <c r="F6" i="67"/>
  <c r="F9" i="67"/>
  <c r="M8" i="15"/>
  <c r="F8" i="15"/>
  <c r="F43" i="15"/>
  <c r="M22" i="15"/>
  <c r="E12" i="76"/>
  <c r="F16" i="67"/>
  <c r="M28" i="15"/>
  <c r="D6" i="73"/>
  <c r="M28" i="67"/>
  <c r="F26" i="15"/>
  <c r="E2" i="68"/>
  <c r="B7" i="76"/>
  <c r="F13" i="67"/>
  <c r="B12" i="76"/>
  <c r="F42" i="15"/>
  <c r="L47" i="15"/>
  <c r="M6" i="67"/>
  <c r="F7" i="73"/>
  <c r="M23" i="15"/>
  <c r="F37" i="15"/>
  <c r="F6" i="73"/>
  <c r="F13" i="15"/>
  <c r="F4" i="73"/>
  <c r="F43" i="67"/>
  <c r="F40" i="15"/>
  <c r="M6" i="15"/>
  <c r="F5" i="73"/>
  <c r="M26" i="67"/>
  <c r="E11" i="76"/>
  <c r="M29" i="67"/>
  <c r="M23" i="67"/>
  <c r="J15" i="15"/>
  <c r="M9" i="15"/>
  <c r="B8" i="76"/>
  <c r="C76" i="67"/>
  <c r="M26" i="15"/>
  <c r="F7" i="15"/>
  <c r="M22" i="67"/>
  <c r="F6" i="15"/>
  <c r="E2" i="69"/>
  <c r="F3" i="73"/>
  <c r="F16" i="15"/>
  <c r="E10" i="76"/>
  <c r="M9" i="67"/>
  <c r="B11" i="76"/>
  <c r="E13" i="76"/>
  <c r="F40" i="67"/>
  <c r="E9" i="76"/>
  <c r="AC21" i="40" l="1"/>
  <c r="F92" i="40"/>
  <c r="G92" i="40" s="1"/>
  <c r="J23" i="40"/>
  <c r="AC23" i="40" s="1"/>
  <c r="H23" i="40"/>
  <c r="AB23" i="40" s="1"/>
  <c r="F23" i="40"/>
  <c r="AA23" i="40" s="1"/>
  <c r="AB19" i="40"/>
  <c r="AC17" i="40"/>
  <c r="S27" i="40"/>
  <c r="W27" i="40"/>
  <c r="U25" i="40"/>
  <c r="AC25" i="40"/>
  <c r="S25" i="40"/>
  <c r="U21" i="40"/>
  <c r="AB17" i="40"/>
  <c r="S17" i="40"/>
  <c r="U15" i="40"/>
  <c r="J36" i="40"/>
  <c r="W36" i="40" s="1"/>
  <c r="F36" i="40"/>
  <c r="AA36" i="40" s="1"/>
  <c r="AB37" i="40"/>
  <c r="U36" i="40"/>
  <c r="W37" i="40"/>
  <c r="S37" i="40"/>
  <c r="S36" i="40"/>
  <c r="AC36" i="40"/>
  <c r="U35" i="40"/>
  <c r="W35" i="40"/>
  <c r="S35" i="40"/>
  <c r="U34" i="40"/>
  <c r="AA9" i="40"/>
  <c r="U11" i="40"/>
  <c r="AC11" i="40"/>
  <c r="A24" i="51"/>
  <c r="B18" i="72" s="1"/>
  <c r="F28" i="15"/>
  <c r="F32" i="67"/>
  <c r="F60" i="67" s="1"/>
  <c r="F28" i="67"/>
  <c r="M18" i="15"/>
  <c r="M18" i="67"/>
  <c r="F30" i="11"/>
  <c r="C48" i="11" s="1"/>
  <c r="F54" i="9"/>
  <c r="F32" i="15"/>
  <c r="F60" i="15" s="1"/>
  <c r="F52" i="9"/>
  <c r="F30" i="68"/>
  <c r="F48" i="68" s="1"/>
  <c r="D68" i="9"/>
  <c r="F30" i="69"/>
  <c r="F48" i="69" s="1"/>
  <c r="F31" i="12"/>
  <c r="F29" i="6"/>
  <c r="C7" i="40"/>
  <c r="C63" i="40" s="1"/>
  <c r="C7" i="39"/>
  <c r="C67" i="39" s="1"/>
  <c r="AC32" i="39"/>
  <c r="U19" i="33"/>
  <c r="D6" i="52"/>
  <c r="S17" i="37"/>
  <c r="AZ14" i="3"/>
  <c r="U12" i="36"/>
  <c r="AB12" i="36"/>
  <c r="AB36" i="33"/>
  <c r="AZ390" i="3"/>
  <c r="AZ355" i="3"/>
  <c r="AZ313" i="3"/>
  <c r="U25" i="37"/>
  <c r="AB25" i="37"/>
  <c r="AC12" i="40"/>
  <c r="W12" i="40"/>
  <c r="S14" i="40"/>
  <c r="AA25" i="21"/>
  <c r="AC36" i="34"/>
  <c r="AC28" i="34"/>
  <c r="AZ531" i="3"/>
  <c r="AZ583" i="3"/>
  <c r="AZ568" i="3"/>
  <c r="AZ576" i="3"/>
  <c r="S44" i="34"/>
  <c r="AA14" i="34"/>
  <c r="AA14" i="37"/>
  <c r="C15" i="39"/>
  <c r="G587" i="3"/>
  <c r="F9" i="33"/>
  <c r="AA9" i="33" s="1"/>
  <c r="J12" i="35"/>
  <c r="F25" i="37"/>
  <c r="AZ345" i="3"/>
  <c r="AZ334" i="3"/>
  <c r="AZ372" i="3"/>
  <c r="AZ347" i="3"/>
  <c r="AZ337" i="3"/>
  <c r="AZ376" i="3"/>
  <c r="AZ309" i="3"/>
  <c r="AA11" i="39"/>
  <c r="AZ523" i="3"/>
  <c r="AZ547" i="3"/>
  <c r="AZ571" i="3"/>
  <c r="AZ579" i="3"/>
  <c r="AB46" i="34"/>
  <c r="AB30" i="21"/>
  <c r="S41" i="33"/>
  <c r="BL585" i="3"/>
  <c r="AZ585" i="3" s="1"/>
  <c r="AZ462" i="3"/>
  <c r="AZ351" i="3"/>
  <c r="AZ336" i="3"/>
  <c r="AB33" i="40"/>
  <c r="AC31" i="33"/>
  <c r="AZ539" i="3"/>
  <c r="AZ529" i="3"/>
  <c r="AZ537" i="3"/>
  <c r="AZ518" i="3"/>
  <c r="AZ526" i="3"/>
  <c r="AZ546" i="3"/>
  <c r="AZ564" i="3"/>
  <c r="AZ580" i="3"/>
  <c r="AB45" i="33"/>
  <c r="AA29" i="35"/>
  <c r="AB17" i="34"/>
  <c r="B79" i="43"/>
  <c r="H9" i="34"/>
  <c r="F12" i="34"/>
  <c r="S12" i="34" s="1"/>
  <c r="H23" i="35"/>
  <c r="AZ513" i="3"/>
  <c r="AZ548" i="3"/>
  <c r="AZ502" i="3"/>
  <c r="BL587" i="3"/>
  <c r="AZ587" i="3" s="1"/>
  <c r="J9" i="34"/>
  <c r="H12" i="34"/>
  <c r="J38" i="40"/>
  <c r="BA551" i="3"/>
  <c r="AZ551" i="3" s="1"/>
  <c r="BA550" i="3"/>
  <c r="BL548" i="3"/>
  <c r="BL435" i="3"/>
  <c r="BL436" i="3"/>
  <c r="BA439" i="3"/>
  <c r="BA440" i="3"/>
  <c r="AZ440" i="3" s="1"/>
  <c r="BA445" i="3"/>
  <c r="BL459" i="3"/>
  <c r="G462" i="3"/>
  <c r="BA465" i="3"/>
  <c r="AZ465" i="3" s="1"/>
  <c r="BA467" i="3"/>
  <c r="BA468" i="3"/>
  <c r="BL471" i="3"/>
  <c r="BL475" i="3"/>
  <c r="BA477" i="3"/>
  <c r="BA478" i="3"/>
  <c r="BA481" i="3"/>
  <c r="G484" i="3"/>
  <c r="BA488" i="3"/>
  <c r="AZ488" i="3" s="1"/>
  <c r="BA491" i="3"/>
  <c r="BA319" i="3"/>
  <c r="AZ319" i="3" s="1"/>
  <c r="BA332" i="3"/>
  <c r="AZ332" i="3" s="1"/>
  <c r="BL332" i="3"/>
  <c r="G339" i="3"/>
  <c r="BA348" i="3"/>
  <c r="BA350" i="3"/>
  <c r="AZ350" i="3" s="1"/>
  <c r="BL220" i="3"/>
  <c r="BL221" i="3"/>
  <c r="D38" i="71"/>
  <c r="C39" i="71"/>
  <c r="C55" i="71"/>
  <c r="D54" i="71"/>
  <c r="N67" i="71"/>
  <c r="B66" i="71"/>
  <c r="F66" i="71"/>
  <c r="Q67" i="71"/>
  <c r="T80" i="71"/>
  <c r="C79" i="71"/>
  <c r="D80" i="7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G465" i="3"/>
  <c r="BA471" i="3"/>
  <c r="BL316" i="3"/>
  <c r="BL324" i="3"/>
  <c r="AZ324" i="3" s="1"/>
  <c r="BL328" i="3"/>
  <c r="AZ328" i="3" s="1"/>
  <c r="BA335" i="3"/>
  <c r="AZ335" i="3" s="1"/>
  <c r="BA339" i="3"/>
  <c r="AZ339" i="3" s="1"/>
  <c r="BA386" i="3"/>
  <c r="AZ386" i="3" s="1"/>
  <c r="BA397" i="3"/>
  <c r="AZ397" i="3" s="1"/>
  <c r="BL397" i="3"/>
  <c r="BA210" i="3"/>
  <c r="BL210" i="3"/>
  <c r="BA214" i="3"/>
  <c r="AZ214" i="3" s="1"/>
  <c r="BL215" i="3"/>
  <c r="BA218" i="3"/>
  <c r="BL218" i="3"/>
  <c r="BL127" i="3"/>
  <c r="AZ127" i="3" s="1"/>
  <c r="G551" i="3"/>
  <c r="BL550" i="3"/>
  <c r="G542" i="3"/>
  <c r="BA398" i="3"/>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AZ435" i="3"/>
  <c r="BL442" i="3"/>
  <c r="BL444" i="3"/>
  <c r="AZ444" i="3" s="1"/>
  <c r="BL448" i="3"/>
  <c r="AZ448" i="3" s="1"/>
  <c r="BA454" i="3"/>
  <c r="AZ454" i="3" s="1"/>
  <c r="AZ459" i="3"/>
  <c r="AZ460" i="3"/>
  <c r="AZ469" i="3"/>
  <c r="BA483" i="3"/>
  <c r="BL483" i="3"/>
  <c r="AZ483" i="3" s="1"/>
  <c r="BA486" i="3"/>
  <c r="BL489" i="3"/>
  <c r="BL491" i="3"/>
  <c r="BL492" i="3"/>
  <c r="G307" i="3"/>
  <c r="BA315" i="3"/>
  <c r="AZ315" i="3" s="1"/>
  <c r="BL340" i="3"/>
  <c r="AZ340" i="3" s="1"/>
  <c r="BL346" i="3"/>
  <c r="AZ346" i="3" s="1"/>
  <c r="G349" i="3"/>
  <c r="G364" i="3"/>
  <c r="BA367" i="3"/>
  <c r="AZ367" i="3" s="1"/>
  <c r="BA370" i="3"/>
  <c r="AZ370" i="3" s="1"/>
  <c r="BL385" i="3"/>
  <c r="BA212" i="3"/>
  <c r="BL213" i="3"/>
  <c r="BA216" i="3"/>
  <c r="AZ216" i="3" s="1"/>
  <c r="BL272" i="3"/>
  <c r="BA301" i="3"/>
  <c r="AZ301" i="3" s="1"/>
  <c r="BL122" i="3"/>
  <c r="AZ125" i="3"/>
  <c r="BA134" i="3"/>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BL473" i="3"/>
  <c r="AZ473" i="3" s="1"/>
  <c r="BL474" i="3"/>
  <c r="BA354" i="3"/>
  <c r="BA366" i="3"/>
  <c r="AZ366" i="3" s="1"/>
  <c r="BL375" i="3"/>
  <c r="AZ375" i="3" s="1"/>
  <c r="BA392" i="3"/>
  <c r="AZ392" i="3" s="1"/>
  <c r="BA395" i="3"/>
  <c r="AZ395" i="3" s="1"/>
  <c r="BA208" i="3"/>
  <c r="AZ208" i="3" s="1"/>
  <c r="BA211" i="3"/>
  <c r="AZ211" i="3" s="1"/>
  <c r="AZ270"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0" i="3"/>
  <c r="G262" i="3"/>
  <c r="BL263" i="3"/>
  <c r="BL270" i="3"/>
  <c r="BA272" i="3"/>
  <c r="AZ272" i="3" s="1"/>
  <c r="BL275" i="3"/>
  <c r="AZ275" i="3" s="1"/>
  <c r="BL285" i="3"/>
  <c r="BL287" i="3"/>
  <c r="BA290" i="3"/>
  <c r="BL299" i="3"/>
  <c r="BL113" i="3"/>
  <c r="BL115" i="3"/>
  <c r="AZ115" i="3" s="1"/>
  <c r="BA118" i="3"/>
  <c r="BL118" i="3"/>
  <c r="BA122" i="3"/>
  <c r="BL125" i="3"/>
  <c r="BL126" i="3"/>
  <c r="BL157" i="3"/>
  <c r="BL159" i="3"/>
  <c r="AZ159" i="3" s="1"/>
  <c r="BA178" i="3"/>
  <c r="AZ178" i="3" s="1"/>
  <c r="BA182" i="3"/>
  <c r="BL185" i="3"/>
  <c r="BL193" i="3"/>
  <c r="BL194" i="3"/>
  <c r="AZ194" i="3" s="1"/>
  <c r="BA198" i="3"/>
  <c r="AA34" i="71"/>
  <c r="AA30" i="7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BA117" i="3"/>
  <c r="BA130" i="3"/>
  <c r="BL130" i="3"/>
  <c r="BA144" i="3"/>
  <c r="AZ144" i="3" s="1"/>
  <c r="BL149" i="3"/>
  <c r="AZ149" i="3" s="1"/>
  <c r="BL150" i="3"/>
  <c r="BA152" i="3"/>
  <c r="AZ152" i="3" s="1"/>
  <c r="BA154" i="3"/>
  <c r="AZ154" i="3" s="1"/>
  <c r="BL173" i="3"/>
  <c r="AZ173" i="3" s="1"/>
  <c r="BA176" i="3"/>
  <c r="AZ176" i="3" s="1"/>
  <c r="BA181" i="3"/>
  <c r="AZ181" i="3" s="1"/>
  <c r="BL183" i="3"/>
  <c r="AZ183" i="3" s="1"/>
  <c r="BA186" i="3"/>
  <c r="AZ186" i="3" s="1"/>
  <c r="BA190" i="3"/>
  <c r="AZ190" i="3" s="1"/>
  <c r="BA197" i="3"/>
  <c r="AZ197" i="3" s="1"/>
  <c r="BA201" i="3"/>
  <c r="AZ201" i="3" s="1"/>
  <c r="BA202" i="3"/>
  <c r="BL206" i="3"/>
  <c r="BA19" i="3"/>
  <c r="AZ19" i="3" s="1"/>
  <c r="G27" i="3"/>
  <c r="BA27" i="3"/>
  <c r="AZ27" i="3" s="1"/>
  <c r="BL30" i="3"/>
  <c r="BL31" i="3"/>
  <c r="AZ31" i="3" s="1"/>
  <c r="G37" i="3"/>
  <c r="F40" i="68"/>
  <c r="C21" i="68"/>
  <c r="C40" i="68"/>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5" i="3"/>
  <c r="AZ135" i="3" s="1"/>
  <c r="BL138" i="3"/>
  <c r="BA140" i="3"/>
  <c r="AZ140" i="3" s="1"/>
  <c r="BA142" i="3"/>
  <c r="BA157" i="3"/>
  <c r="BA164" i="3"/>
  <c r="AZ164" i="3" s="1"/>
  <c r="BA166" i="3"/>
  <c r="AZ166" i="3" s="1"/>
  <c r="BA169" i="3"/>
  <c r="AZ169" i="3" s="1"/>
  <c r="BL171" i="3"/>
  <c r="AZ171" i="3" s="1"/>
  <c r="BA174" i="3"/>
  <c r="BL177" i="3"/>
  <c r="AZ177" i="3" s="1"/>
  <c r="BL198" i="3"/>
  <c r="BL199" i="3"/>
  <c r="AZ199" i="3" s="1"/>
  <c r="BA200" i="3"/>
  <c r="AZ200" i="3" s="1"/>
  <c r="G204" i="3"/>
  <c r="G205" i="3"/>
  <c r="BA18" i="3"/>
  <c r="BL21" i="3"/>
  <c r="G23" i="3"/>
  <c r="BL29" i="3"/>
  <c r="G33" i="3"/>
  <c r="G34" i="3"/>
  <c r="BA37" i="3"/>
  <c r="BL39" i="3"/>
  <c r="BA42" i="3"/>
  <c r="G51" i="3"/>
  <c r="BL64" i="3"/>
  <c r="AZ64" i="3" s="1"/>
  <c r="BL82" i="3"/>
  <c r="AZ82" i="3" s="1"/>
  <c r="G40" i="3"/>
  <c r="BL40" i="3"/>
  <c r="BL41" i="3"/>
  <c r="AZ41" i="3" s="1"/>
  <c r="G45" i="3"/>
  <c r="BL45" i="3"/>
  <c r="AZ45" i="3" s="1"/>
  <c r="BA48" i="3"/>
  <c r="BA49" i="3"/>
  <c r="AZ49" i="3" s="1"/>
  <c r="BA51" i="3"/>
  <c r="AZ51" i="3" s="1"/>
  <c r="G55" i="3"/>
  <c r="BL56" i="3"/>
  <c r="BA58" i="3"/>
  <c r="BL59" i="3"/>
  <c r="AZ59" i="3" s="1"/>
  <c r="BL60" i="3"/>
  <c r="BA61" i="3"/>
  <c r="AZ61" i="3" s="1"/>
  <c r="BA68" i="3"/>
  <c r="BA71" i="3"/>
  <c r="AZ71" i="3" s="1"/>
  <c r="BL72" i="3"/>
  <c r="BL75" i="3"/>
  <c r="BL92" i="3"/>
  <c r="AC29" i="39"/>
  <c r="W29" i="39"/>
  <c r="F34" i="71"/>
  <c r="F35" i="71" s="1"/>
  <c r="F36" i="71" s="1"/>
  <c r="V36" i="71" s="1"/>
  <c r="AB33" i="71"/>
  <c r="AB28" i="71"/>
  <c r="C44" i="71"/>
  <c r="D43" i="71"/>
  <c r="T72" i="71"/>
  <c r="C71" i="71"/>
  <c r="U76" i="71"/>
  <c r="E75" i="71"/>
  <c r="E74" i="71" s="1"/>
  <c r="V24" i="71"/>
  <c r="E23" i="71"/>
  <c r="E22" i="71" s="1"/>
  <c r="E21" i="71" s="1"/>
  <c r="E20" i="71" s="1"/>
  <c r="E19" i="71" s="1"/>
  <c r="E18" i="71" s="1"/>
  <c r="E17" i="71" s="1"/>
  <c r="E16" i="71" s="1"/>
  <c r="BL49" i="3"/>
  <c r="BL50" i="3"/>
  <c r="AZ50" i="3" s="1"/>
  <c r="BL51" i="3"/>
  <c r="G53" i="3"/>
  <c r="BL53" i="3"/>
  <c r="BA56" i="3"/>
  <c r="BA57" i="3"/>
  <c r="AZ57" i="3" s="1"/>
  <c r="BL58" i="3"/>
  <c r="G60" i="3"/>
  <c r="BA60" i="3"/>
  <c r="BA63" i="3"/>
  <c r="BA66" i="3"/>
  <c r="AZ66" i="3" s="1"/>
  <c r="BL70" i="3"/>
  <c r="AZ70" i="3" s="1"/>
  <c r="BL71" i="3"/>
  <c r="BA78" i="3"/>
  <c r="BA80" i="3"/>
  <c r="G84" i="3"/>
  <c r="BL84" i="3"/>
  <c r="BA89" i="3"/>
  <c r="BL100" i="3"/>
  <c r="BL110" i="3"/>
  <c r="P27" i="6"/>
  <c r="E28" i="71"/>
  <c r="AA27" i="71"/>
  <c r="AA28" i="71"/>
  <c r="Y29" i="71"/>
  <c r="Z29" i="71" s="1"/>
  <c r="C31" i="71"/>
  <c r="Y30" i="71"/>
  <c r="Z30" i="71" s="1"/>
  <c r="X25" i="71"/>
  <c r="AA38" i="71"/>
  <c r="AA39" i="71"/>
  <c r="D84" i="71"/>
  <c r="C83" i="71"/>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G70" i="3"/>
  <c r="BA72" i="3"/>
  <c r="AZ72" i="3" s="1"/>
  <c r="BA73" i="3"/>
  <c r="BA79" i="3"/>
  <c r="AZ79" i="3" s="1"/>
  <c r="G82" i="3"/>
  <c r="G83" i="3"/>
  <c r="BA84" i="3"/>
  <c r="AZ84" i="3" s="1"/>
  <c r="BL88" i="3"/>
  <c r="AZ88" i="3" s="1"/>
  <c r="G90" i="3"/>
  <c r="BL90" i="3"/>
  <c r="BA94" i="3"/>
  <c r="BL99" i="3"/>
  <c r="BA105" i="3"/>
  <c r="AA18" i="36"/>
  <c r="S18" i="36"/>
  <c r="Y26" i="71"/>
  <c r="Z26" i="71" s="1"/>
  <c r="C28" i="71"/>
  <c r="Y28" i="71"/>
  <c r="Z28" i="71" s="1"/>
  <c r="Y25" i="71"/>
  <c r="Z25" i="71" s="1"/>
  <c r="Y35" i="71"/>
  <c r="Z35" i="71" s="1"/>
  <c r="Y37" i="71"/>
  <c r="Z37" i="71" s="1"/>
  <c r="X36" i="71"/>
  <c r="X35" i="71"/>
  <c r="X38" i="71"/>
  <c r="C47" i="71"/>
  <c r="D47" i="71" s="1"/>
  <c r="D46" i="7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F3" i="35"/>
  <c r="S21" i="33"/>
  <c r="S21" i="37"/>
  <c r="B77" i="43"/>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66" i="71"/>
  <c r="AB26" i="71"/>
  <c r="S28" i="71"/>
  <c r="X28" i="71"/>
  <c r="X32" i="71"/>
  <c r="F40" i="71"/>
  <c r="V40" i="71" s="1"/>
  <c r="AB38" i="71"/>
  <c r="F75" i="71"/>
  <c r="F74" i="71" s="1"/>
  <c r="BL94" i="3"/>
  <c r="BA100" i="3"/>
  <c r="BA102" i="3"/>
  <c r="BL105" i="3"/>
  <c r="BL107" i="3"/>
  <c r="BA111" i="3"/>
  <c r="AZ111" i="3" s="1"/>
  <c r="K13" i="1"/>
  <c r="M13" i="1" s="1"/>
  <c r="O13" i="1" s="1"/>
  <c r="P13" i="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F71" i="67"/>
  <c r="C27" i="15"/>
  <c r="F65" i="15"/>
  <c r="B13" i="70"/>
  <c r="M7" i="67"/>
  <c r="J6" i="67" s="1"/>
  <c r="F50" i="67"/>
  <c r="F68" i="67"/>
  <c r="F64" i="67"/>
  <c r="F68" i="15"/>
  <c r="C36" i="68"/>
  <c r="D9" i="69"/>
  <c r="C36" i="69"/>
  <c r="D9" i="68"/>
  <c r="C16" i="67"/>
  <c r="D5" i="73"/>
  <c r="M24" i="67"/>
  <c r="L47" i="67"/>
  <c r="D3" i="73"/>
  <c r="F42" i="67"/>
  <c r="C16" i="15"/>
  <c r="D4" i="73"/>
  <c r="F38" i="67"/>
  <c r="D7" i="73"/>
  <c r="F26" i="67"/>
  <c r="W23" i="40" l="1"/>
  <c r="U23" i="40"/>
  <c r="S23" i="40"/>
  <c r="N370" i="46"/>
  <c r="P6" i="1"/>
  <c r="C13" i="12" s="1"/>
  <c r="K16" i="1"/>
  <c r="H16" i="1"/>
  <c r="Q16" i="1"/>
  <c r="F27" i="69" s="1"/>
  <c r="F45" i="69" s="1"/>
  <c r="J26" i="43"/>
  <c r="N94" i="46"/>
  <c r="F26" i="43"/>
  <c r="G26" i="43"/>
  <c r="E26" i="43"/>
  <c r="N59" i="67"/>
  <c r="L58" i="67"/>
  <c r="Q60" i="67" s="1"/>
  <c r="M59" i="67"/>
  <c r="L59" i="67"/>
  <c r="Q74" i="67" s="1"/>
  <c r="C27" i="67"/>
  <c r="F66" i="67"/>
  <c r="G5" i="3"/>
  <c r="B3" i="3" s="1"/>
  <c r="E212" i="3" s="1"/>
  <c r="AZ102" i="3"/>
  <c r="AZ110" i="3"/>
  <c r="T28" i="71"/>
  <c r="D28" i="71"/>
  <c r="U28" i="71" s="1"/>
  <c r="C27" i="71"/>
  <c r="AZ105" i="3"/>
  <c r="AZ126" i="3"/>
  <c r="AZ263" i="3"/>
  <c r="AZ243" i="3"/>
  <c r="AZ368" i="3"/>
  <c r="AZ130" i="3"/>
  <c r="AZ282" i="3"/>
  <c r="AZ241" i="3"/>
  <c r="AZ249" i="3"/>
  <c r="AZ229" i="3"/>
  <c r="AZ398" i="3"/>
  <c r="AZ471" i="3"/>
  <c r="C78" i="71"/>
  <c r="D78" i="71" s="1"/>
  <c r="D79" i="71"/>
  <c r="N65" i="71"/>
  <c r="N66" i="71"/>
  <c r="C40" i="71"/>
  <c r="D39" i="71"/>
  <c r="AC9" i="34"/>
  <c r="W9" i="34"/>
  <c r="AA25" i="37"/>
  <c r="S25" i="37"/>
  <c r="G16" i="1"/>
  <c r="F10" i="39" s="1"/>
  <c r="AA10" i="39" s="1"/>
  <c r="AZ100" i="3"/>
  <c r="AZ108" i="3"/>
  <c r="C82" i="71"/>
  <c r="D82" i="71" s="1"/>
  <c r="D83" i="71"/>
  <c r="D44" i="71"/>
  <c r="T44" i="71"/>
  <c r="AZ157" i="3"/>
  <c r="AZ122" i="3"/>
  <c r="AZ421" i="3"/>
  <c r="U23" i="35"/>
  <c r="AB23" i="35"/>
  <c r="W12" i="35"/>
  <c r="AC12" i="35"/>
  <c r="O65" i="71"/>
  <c r="D66" i="71"/>
  <c r="O66" i="71"/>
  <c r="AZ94" i="3"/>
  <c r="C70" i="71"/>
  <c r="D70" i="71" s="1"/>
  <c r="D71" i="71"/>
  <c r="AZ198" i="3"/>
  <c r="AZ182" i="3"/>
  <c r="AZ550" i="3"/>
  <c r="AC38" i="40"/>
  <c r="W38" i="40"/>
  <c r="C36" i="71"/>
  <c r="D35" i="71"/>
  <c r="AZ39" i="3"/>
  <c r="D31" i="71"/>
  <c r="C32" i="71"/>
  <c r="AZ63" i="3"/>
  <c r="AZ58" i="3"/>
  <c r="AZ121" i="3"/>
  <c r="AZ274" i="3"/>
  <c r="AZ118" i="3"/>
  <c r="AZ401" i="3"/>
  <c r="AZ218" i="3"/>
  <c r="AZ210" i="3"/>
  <c r="C56" i="71"/>
  <c r="D55" i="71"/>
  <c r="AZ491" i="3"/>
  <c r="U12" i="34"/>
  <c r="AB12" i="34"/>
  <c r="AB9" i="34"/>
  <c r="U9" i="34"/>
  <c r="J7" i="37"/>
  <c r="K1" i="73"/>
  <c r="E552" i="3"/>
  <c r="E166" i="3"/>
  <c r="E519" i="3"/>
  <c r="E447" i="3"/>
  <c r="E185" i="3"/>
  <c r="K6" i="3"/>
  <c r="AO6" i="3"/>
  <c r="E579" i="3"/>
  <c r="E191"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F41" i="67"/>
  <c r="AE6" i="1"/>
  <c r="G1" i="73"/>
  <c r="F28" i="12" l="1"/>
  <c r="C29" i="12" s="1"/>
  <c r="D28" i="12" s="1"/>
  <c r="C29" i="69"/>
  <c r="D27" i="69" s="1"/>
  <c r="C47" i="69"/>
  <c r="D45" i="69" s="1"/>
  <c r="H10" i="40"/>
  <c r="AB10" i="40" s="1"/>
  <c r="E118" i="3"/>
  <c r="E172" i="3"/>
  <c r="E526" i="3"/>
  <c r="E227" i="3"/>
  <c r="E545" i="3"/>
  <c r="AR6" i="3"/>
  <c r="E585" i="3"/>
  <c r="E453" i="3"/>
  <c r="E481" i="3"/>
  <c r="E428" i="3"/>
  <c r="E378" i="3"/>
  <c r="E131" i="3"/>
  <c r="E487" i="3"/>
  <c r="E132" i="3"/>
  <c r="E215" i="3"/>
  <c r="E211" i="3"/>
  <c r="E171" i="3"/>
  <c r="E399" i="3"/>
  <c r="E508" i="3"/>
  <c r="E318" i="3"/>
  <c r="E382" i="3"/>
  <c r="E321" i="3"/>
  <c r="AY6" i="3"/>
  <c r="X6" i="3"/>
  <c r="E514" i="3"/>
  <c r="E531" i="3"/>
  <c r="E577" i="3"/>
  <c r="E91" i="3"/>
  <c r="E44" i="3"/>
  <c r="E433" i="3"/>
  <c r="E320" i="3"/>
  <c r="E357" i="3"/>
  <c r="E248" i="3"/>
  <c r="E240" i="3"/>
  <c r="E483" i="3"/>
  <c r="E119" i="3"/>
  <c r="E385" i="3"/>
  <c r="E135" i="3"/>
  <c r="E563" i="3"/>
  <c r="E387" i="3"/>
  <c r="E311" i="3"/>
  <c r="E509" i="3"/>
  <c r="E109" i="3"/>
  <c r="E182" i="3"/>
  <c r="E557" i="3"/>
  <c r="E327" i="3"/>
  <c r="E74" i="3"/>
  <c r="E146" i="3"/>
  <c r="E465" i="3"/>
  <c r="E133" i="3"/>
  <c r="E181" i="3"/>
  <c r="E495" i="3"/>
  <c r="E503" i="3"/>
  <c r="E216" i="3"/>
  <c r="E270" i="3"/>
  <c r="E305" i="3"/>
  <c r="E331" i="3"/>
  <c r="E505" i="3"/>
  <c r="E107" i="3"/>
  <c r="E351" i="3"/>
  <c r="E562" i="3"/>
  <c r="E45" i="3"/>
  <c r="E253" i="3"/>
  <c r="E61" i="3"/>
  <c r="E358" i="3"/>
  <c r="P6" i="3"/>
  <c r="E128" i="3"/>
  <c r="E97" i="3"/>
  <c r="E82" i="3"/>
  <c r="E392" i="3"/>
  <c r="E381" i="3"/>
  <c r="E200" i="3"/>
  <c r="E69" i="3"/>
  <c r="E322" i="3"/>
  <c r="E70" i="3"/>
  <c r="E362" i="3"/>
  <c r="E277" i="3"/>
  <c r="E586" i="3"/>
  <c r="E337" i="3"/>
  <c r="E186" i="3"/>
  <c r="E269" i="3"/>
  <c r="E99" i="3"/>
  <c r="E117" i="3"/>
  <c r="E236" i="3"/>
  <c r="E353" i="3"/>
  <c r="E501" i="3"/>
  <c r="E226" i="3"/>
  <c r="E242" i="3"/>
  <c r="AI6" i="3"/>
  <c r="E161" i="3"/>
  <c r="AB6" i="3"/>
  <c r="E201" i="3"/>
  <c r="E572" i="3"/>
  <c r="E400" i="3"/>
  <c r="E204" i="3"/>
  <c r="E454" i="3"/>
  <c r="E406" i="3"/>
  <c r="E77" i="3"/>
  <c r="E361" i="3"/>
  <c r="E439" i="3"/>
  <c r="E343" i="3"/>
  <c r="E477" i="3"/>
  <c r="E111" i="3"/>
  <c r="E457" i="3"/>
  <c r="E293" i="3"/>
  <c r="E239" i="3"/>
  <c r="E374" i="3"/>
  <c r="F27" i="68"/>
  <c r="C47" i="68" s="1"/>
  <c r="D45" i="68" s="1"/>
  <c r="E142" i="3"/>
  <c r="E296" i="3"/>
  <c r="E100" i="3"/>
  <c r="E423" i="3"/>
  <c r="E445" i="3"/>
  <c r="E189" i="3"/>
  <c r="M6" i="3"/>
  <c r="E431" i="3"/>
  <c r="E268" i="3"/>
  <c r="E377" i="3"/>
  <c r="E489" i="3"/>
  <c r="E485" i="3"/>
  <c r="E89" i="3"/>
  <c r="E214" i="3"/>
  <c r="E468" i="3"/>
  <c r="E472" i="3"/>
  <c r="AK6" i="3"/>
  <c r="E347" i="3"/>
  <c r="E301" i="3"/>
  <c r="E261" i="3"/>
  <c r="E538" i="3"/>
  <c r="E410" i="3"/>
  <c r="E441" i="3"/>
  <c r="E27" i="3"/>
  <c r="E414" i="3"/>
  <c r="E567" i="3"/>
  <c r="E72" i="3"/>
  <c r="E458" i="3"/>
  <c r="E85" i="3"/>
  <c r="E518" i="3"/>
  <c r="E415" i="3"/>
  <c r="E125" i="3"/>
  <c r="E203" i="3"/>
  <c r="E17" i="3"/>
  <c r="E126" i="3"/>
  <c r="E110" i="3"/>
  <c r="E393" i="3"/>
  <c r="E114" i="3"/>
  <c r="E407" i="3"/>
  <c r="E229" i="3"/>
  <c r="N6" i="3"/>
  <c r="E480" i="3"/>
  <c r="E88" i="3"/>
  <c r="E448" i="3"/>
  <c r="E32" i="3"/>
  <c r="E496" i="3"/>
  <c r="E437" i="3"/>
  <c r="E434" i="3"/>
  <c r="E303" i="3"/>
  <c r="E565" i="3"/>
  <c r="E338" i="3"/>
  <c r="E359" i="3"/>
  <c r="E319" i="3"/>
  <c r="E71" i="3"/>
  <c r="E471" i="3"/>
  <c r="E187" i="3"/>
  <c r="E266" i="3"/>
  <c r="E312" i="3"/>
  <c r="E365" i="3"/>
  <c r="E194" i="3"/>
  <c r="E463" i="3"/>
  <c r="E16" i="3"/>
  <c r="E104" i="3"/>
  <c r="E554" i="3"/>
  <c r="E550" i="3"/>
  <c r="E130" i="3"/>
  <c r="E551" i="3"/>
  <c r="E396" i="3"/>
  <c r="E282" i="3"/>
  <c r="E334" i="3"/>
  <c r="E444" i="3"/>
  <c r="AG6" i="3"/>
  <c r="E394" i="3"/>
  <c r="E429" i="3"/>
  <c r="E330" i="3"/>
  <c r="AA6" i="3"/>
  <c r="E159" i="3"/>
  <c r="E304" i="3"/>
  <c r="E523" i="3"/>
  <c r="O6" i="3"/>
  <c r="E53" i="3"/>
  <c r="E548" i="3"/>
  <c r="E474" i="3"/>
  <c r="E195" i="3"/>
  <c r="E464" i="3"/>
  <c r="E24" i="3"/>
  <c r="E20" i="3"/>
  <c r="E15" i="3"/>
  <c r="AH6" i="3"/>
  <c r="E80" i="3"/>
  <c r="E45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134" i="3"/>
  <c r="E183" i="3"/>
  <c r="E380" i="3"/>
  <c r="E533" i="3"/>
  <c r="E555" i="3"/>
  <c r="E175" i="3"/>
  <c r="E210" i="3"/>
  <c r="E476" i="3"/>
  <c r="E515" i="3"/>
  <c r="E549" i="3"/>
  <c r="E279" i="3"/>
  <c r="E571" i="3"/>
  <c r="E573" i="3"/>
  <c r="E511" i="3"/>
  <c r="E336" i="3"/>
  <c r="E245" i="3"/>
  <c r="E260" i="3"/>
  <c r="E294" i="3"/>
  <c r="E559" i="3"/>
  <c r="E569" i="3"/>
  <c r="E366" i="3"/>
  <c r="E316" i="3"/>
  <c r="E581" i="3"/>
  <c r="E252" i="3"/>
  <c r="E256" i="3"/>
  <c r="AE6" i="3"/>
  <c r="E120" i="3"/>
  <c r="E280" i="3"/>
  <c r="E221" i="3"/>
  <c r="E298" i="3"/>
  <c r="S6" i="3"/>
  <c r="E328" i="3"/>
  <c r="E317" i="3"/>
  <c r="E207" i="3"/>
  <c r="E157" i="3"/>
  <c r="E66" i="3"/>
  <c r="E48" i="3"/>
  <c r="E348" i="3"/>
  <c r="E123" i="3"/>
  <c r="L6" i="3"/>
  <c r="E507" i="3"/>
  <c r="E324" i="3"/>
  <c r="E235" i="3"/>
  <c r="E291" i="3"/>
  <c r="E403" i="3"/>
  <c r="E411" i="3"/>
  <c r="E196" i="3"/>
  <c r="E208" i="3"/>
  <c r="E537"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232" i="3"/>
  <c r="E220" i="3"/>
  <c r="E356" i="3"/>
  <c r="E420" i="3"/>
  <c r="E173" i="3"/>
  <c r="E75" i="3"/>
  <c r="E67" i="3"/>
  <c r="E536" i="3"/>
  <c r="E547" i="3"/>
  <c r="U6" i="3"/>
  <c r="E93" i="3"/>
  <c r="E168" i="3"/>
  <c r="W6" i="3"/>
  <c r="E313" i="3"/>
  <c r="E136" i="3"/>
  <c r="E307" i="3"/>
  <c r="E154" i="3"/>
  <c r="AD6" i="3"/>
  <c r="E462" i="3"/>
  <c r="E341" i="3"/>
  <c r="E297" i="3"/>
  <c r="E323" i="3"/>
  <c r="E138" i="3"/>
  <c r="E500" i="3"/>
  <c r="E222" i="3"/>
  <c r="E521" i="3"/>
  <c r="E460" i="3"/>
  <c r="E165" i="3"/>
  <c r="E176" i="3"/>
  <c r="E340" i="3"/>
  <c r="E36" i="3"/>
  <c r="E299" i="3"/>
  <c r="E38" i="3"/>
  <c r="E540" i="3"/>
  <c r="E346" i="3"/>
  <c r="E108" i="3"/>
  <c r="E419" i="3"/>
  <c r="E440" i="3"/>
  <c r="E543" i="3"/>
  <c r="E116" i="3"/>
  <c r="E326" i="3"/>
  <c r="E49" i="3"/>
  <c r="E190" i="3"/>
  <c r="E225" i="3"/>
  <c r="E13" i="3"/>
  <c r="E287" i="3"/>
  <c r="E281" i="3"/>
  <c r="E267"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21" i="3"/>
  <c r="E558" i="3"/>
  <c r="E164" i="3"/>
  <c r="E580" i="3"/>
  <c r="E73" i="3"/>
  <c r="E424" i="3"/>
  <c r="E177" i="3"/>
  <c r="E238" i="3"/>
  <c r="E402" i="3"/>
  <c r="E302" i="3"/>
  <c r="E237" i="3"/>
  <c r="E506" i="3"/>
  <c r="E285" i="3"/>
  <c r="E426" i="3"/>
  <c r="AM6" i="3"/>
  <c r="E92" i="3"/>
  <c r="E367" i="3"/>
  <c r="E145" i="3"/>
  <c r="E14" i="3"/>
  <c r="E54" i="3"/>
  <c r="E438" i="3"/>
  <c r="E224" i="3"/>
  <c r="E461" i="3"/>
  <c r="E504" i="3"/>
  <c r="E87" i="3"/>
  <c r="E179" i="3"/>
  <c r="E39" i="3"/>
  <c r="E584" i="3"/>
  <c r="E436" i="3"/>
  <c r="E284" i="3"/>
  <c r="E446" i="3"/>
  <c r="E416" i="3"/>
  <c r="E250" i="3"/>
  <c r="E58" i="3"/>
  <c r="E566" i="3"/>
  <c r="E524" i="3"/>
  <c r="E62" i="3"/>
  <c r="E289" i="3"/>
  <c r="AQ6" i="3"/>
  <c r="E234" i="3"/>
  <c r="E79" i="3"/>
  <c r="E60" i="3"/>
  <c r="E276" i="3"/>
  <c r="E25" i="3"/>
  <c r="J6" i="3"/>
  <c r="E422" i="3"/>
  <c r="E564" i="3"/>
  <c r="E188" i="3"/>
  <c r="E158" i="3"/>
  <c r="E35" i="3"/>
  <c r="E412" i="3"/>
  <c r="E115" i="3"/>
  <c r="E360" i="3"/>
  <c r="E206" i="3"/>
  <c r="E309" i="3"/>
  <c r="E349" i="3"/>
  <c r="E452" i="3"/>
  <c r="E451" i="3"/>
  <c r="E405" i="3"/>
  <c r="E140" i="3"/>
  <c r="E113" i="3"/>
  <c r="E34" i="3"/>
  <c r="E129" i="3"/>
  <c r="E42" i="3"/>
  <c r="E198" i="3"/>
  <c r="E264" i="3"/>
  <c r="E355" i="3"/>
  <c r="E492" i="3"/>
  <c r="E64" i="3"/>
  <c r="E241" i="3"/>
  <c r="E449" i="3"/>
  <c r="E539" i="3"/>
  <c r="E408" i="3"/>
  <c r="E534" i="3"/>
  <c r="E205" i="3"/>
  <c r="E102" i="3"/>
  <c r="E522" i="3"/>
  <c r="E96" i="3"/>
  <c r="AL6" i="3"/>
  <c r="E21" i="3"/>
  <c r="E81" i="3"/>
  <c r="E144" i="3"/>
  <c r="E310" i="3"/>
  <c r="E467" i="3"/>
  <c r="E37" i="3"/>
  <c r="E442"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26" i="3"/>
  <c r="E497" i="3"/>
  <c r="E469" i="3"/>
  <c r="E525" i="3"/>
  <c r="E22" i="3"/>
  <c r="E251" i="3"/>
  <c r="E383" i="3"/>
  <c r="E18" i="3"/>
  <c r="E332" i="3"/>
  <c r="E513" i="3"/>
  <c r="E63" i="3"/>
  <c r="E33" i="3"/>
  <c r="E300" i="3"/>
  <c r="E389" i="3"/>
  <c r="E417" i="3"/>
  <c r="E502" i="3"/>
  <c r="E233" i="3"/>
  <c r="E23" i="3"/>
  <c r="E249" i="3"/>
  <c r="E409" i="3"/>
  <c r="E95" i="3"/>
  <c r="AP6" i="3"/>
  <c r="E575" i="3"/>
  <c r="D26" i="43"/>
  <c r="C25" i="43" s="1"/>
  <c r="C33" i="43" s="1"/>
  <c r="J10" i="40"/>
  <c r="AC10" i="40" s="1"/>
  <c r="E3" i="6"/>
  <c r="E41" i="3"/>
  <c r="E470" i="3"/>
  <c r="E556" i="3"/>
  <c r="E512" i="3"/>
  <c r="T6" i="3"/>
  <c r="E197" i="3"/>
  <c r="E308" i="3"/>
  <c r="AF6" i="3"/>
  <c r="AC6" i="3" s="1"/>
  <c r="E86" i="3"/>
  <c r="E174" i="3"/>
  <c r="E482" i="3"/>
  <c r="E391" i="3"/>
  <c r="E494" i="3"/>
  <c r="E283" i="3"/>
  <c r="E68" i="3"/>
  <c r="E184" i="3"/>
  <c r="E84" i="3"/>
  <c r="E371" i="3"/>
  <c r="E160" i="3"/>
  <c r="E59" i="3"/>
  <c r="E258" i="3"/>
  <c r="E491" i="3"/>
  <c r="E430" i="3"/>
  <c r="E286" i="3"/>
  <c r="Q73" i="67"/>
  <c r="Q61" i="67"/>
  <c r="S10" i="39"/>
  <c r="H10" i="39"/>
  <c r="U10" i="39" s="1"/>
  <c r="J10" i="39"/>
  <c r="W10" i="39" s="1"/>
  <c r="F10" i="40"/>
  <c r="S10" i="40" s="1"/>
  <c r="T32" i="71"/>
  <c r="D32" i="71"/>
  <c r="T36" i="71"/>
  <c r="D36" i="71"/>
  <c r="C26" i="71"/>
  <c r="D26" i="71" s="1"/>
  <c r="D27" i="71"/>
  <c r="E103" i="3"/>
  <c r="E425" i="3"/>
  <c r="E76" i="3"/>
  <c r="E363" i="3"/>
  <c r="E192" i="3"/>
  <c r="E56" i="3"/>
  <c r="E435" i="3"/>
  <c r="I3" i="6"/>
  <c r="E541" i="3"/>
  <c r="R6" i="3"/>
  <c r="E199" i="3"/>
  <c r="E510"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A10" i="40" l="1"/>
  <c r="C29" i="68"/>
  <c r="D27" i="68" s="1"/>
  <c r="F25" i="12"/>
  <c r="C26" i="12" s="1"/>
  <c r="D25" i="12" s="1"/>
  <c r="W10" i="40"/>
  <c r="H6" i="3"/>
  <c r="E6" i="3" s="1"/>
  <c r="AC10" i="39"/>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H22" i="6" l="1"/>
  <c r="H24" i="6"/>
  <c r="R24" i="6" s="1"/>
  <c r="R11" i="1" s="1"/>
  <c r="C44" i="68"/>
  <c r="D41" i="68" s="1"/>
  <c r="H21" i="6"/>
  <c r="H25" i="6"/>
  <c r="C44" i="11"/>
  <c r="D41" i="11"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7"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F118" i="9"/>
  <c r="F119" i="9" s="1"/>
  <c r="F5" i="52" s="1"/>
  <c r="B53" i="72" s="1"/>
  <c r="D118" i="9"/>
  <c r="D4" i="52" s="1"/>
  <c r="B47" i="72" s="1"/>
  <c r="H118" i="9"/>
  <c r="H4" i="52" s="1"/>
  <c r="D119" i="9" l="1"/>
  <c r="D5" i="52" s="1"/>
  <c r="B49" i="72" s="1"/>
  <c r="G118" i="9"/>
  <c r="G4" i="52" s="1"/>
  <c r="B52" i="72" s="1"/>
  <c r="F4" i="52"/>
  <c r="B51" i="72" s="1"/>
  <c r="I118" i="9"/>
  <c r="H101" i="9"/>
  <c r="D14" i="74" s="1"/>
  <c r="C104" i="9"/>
  <c r="H119" i="9"/>
  <c r="H5" i="52" s="1"/>
  <c r="E14" i="74" l="1"/>
  <c r="B5" i="74"/>
  <c r="D5" i="74" s="1"/>
  <c r="F14" i="74"/>
  <c r="D5" i="53"/>
  <c r="H107" i="9"/>
  <c r="G14" i="74" s="1"/>
  <c r="B6" i="74" s="1"/>
  <c r="D6" i="74" s="1"/>
  <c r="D45" i="9"/>
  <c r="M48" i="9"/>
  <c r="I4" i="52"/>
  <c r="H102" i="9"/>
  <c r="E118" i="9"/>
  <c r="E4" i="52" s="1"/>
  <c r="B48" i="72" s="1"/>
  <c r="C105" i="9"/>
  <c r="D52" i="9" l="1"/>
  <c r="D55" i="9"/>
  <c r="M53" i="9" s="1"/>
  <c r="C64" i="9"/>
  <c r="C63" i="9" s="1"/>
  <c r="C67" i="9" s="1"/>
  <c r="C68" i="9" s="1"/>
  <c r="D54" i="9" s="1"/>
  <c r="C78" i="9"/>
  <c r="C73" i="9" s="1"/>
  <c r="D53" i="9"/>
  <c r="D48" i="9" s="1"/>
  <c r="M52" i="9" s="1"/>
  <c r="C85" i="9"/>
  <c r="C72" i="9"/>
  <c r="C93" i="9"/>
  <c r="C86" i="9" s="1"/>
  <c r="C5" i="74"/>
  <c r="D7" i="53"/>
  <c r="B21" i="72" s="1"/>
  <c r="H108" i="9"/>
  <c r="M49" i="9"/>
  <c r="D13" i="53"/>
  <c r="D122" i="9"/>
  <c r="D6" i="53"/>
  <c r="B22" i="72" s="1"/>
  <c r="B20" i="72"/>
  <c r="C6" i="74" l="1"/>
  <c r="D15" i="53"/>
  <c r="B31" i="72" s="1"/>
  <c r="C79" i="9"/>
  <c r="D14" i="53"/>
  <c r="B32" i="72" s="1"/>
  <c r="B30" i="72"/>
  <c r="L64" i="9"/>
  <c r="M64" i="9" s="1"/>
  <c r="L63" i="9"/>
  <c r="M63" i="9" s="1"/>
  <c r="L67" i="9"/>
  <c r="M67" i="9" s="1"/>
  <c r="L66" i="9"/>
  <c r="M66" i="9" s="1"/>
  <c r="L68" i="9"/>
  <c r="M68" i="9" s="1"/>
  <c r="L65" i="9"/>
  <c r="M65" i="9" s="1"/>
  <c r="D8" i="52"/>
  <c r="D123" i="9"/>
  <c r="D9" i="52" s="1"/>
  <c r="C95" i="9"/>
  <c r="M69" i="9" l="1"/>
  <c r="N69" i="9" s="1"/>
  <c r="C96" i="9"/>
  <c r="E96" i="9" s="1"/>
  <c r="E97" i="9" s="1"/>
  <c r="C80" i="9"/>
  <c r="E80" i="9" s="1"/>
  <c r="E81"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<sst xmlns="http://schemas.openxmlformats.org/spreadsheetml/2006/main" count="8269" uniqueCount="3647">
  <si>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</si>
  <si>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</si>
  <si>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</si>
  <si>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</si>
  <si>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</si>
  <si>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</si>
  <si>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</si>
  <si>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</si>
  <si>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</si>
  <si>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</si>
  <si>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</si>
  <si>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</si>
  <si>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</si>
  <si>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</si>
  <si>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</si>
  <si>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</si>
  <si>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</si>
  <si>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</si>
  <si>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</si>
  <si>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</si>
  <si>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</si>
  <si>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</si>
  <si>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</si>
  <si>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</si>
  <si>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</si>
  <si>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</si>
  <si>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</si>
  <si>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</si>
  <si>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</si>
  <si>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</si>
  <si>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</si>
  <si>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</si>
  <si>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</si>
  <si>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</si>
  <si>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</si>
  <si>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</si>
  <si>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</si>
  <si>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</si>
  <si>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</si>
  <si>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</si>
  <si>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</si>
  <si>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</si>
  <si>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</si>
  <si>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</si>
  <si>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</si>
  <si>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</si>
  <si>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</si>
  <si>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</si>
  <si>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</si>
  <si>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</si>
  <si>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</si>
  <si>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</si>
  <si>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</si>
  <si>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</si>
  <si>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</si>
  <si>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</si>
  <si>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</si>
  <si>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</si>
  <si>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</si>
  <si>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</si>
  <si>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</si>
  <si>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</si>
  <si>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</si>
  <si>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</si>
  <si>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</si>
  <si>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</si>
  <si>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</si>
  <si>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</si>
  <si>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</si>
  <si>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</si>
  <si>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</si>
  <si>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</si>
  <si>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</si>
  <si>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</si>
  <si>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</si>
  <si>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</si>
  <si>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</si>
  <si>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</si>
  <si>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</si>
  <si>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</si>
  <si>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</si>
  <si>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</si>
  <si>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</si>
  <si>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</si>
  <si>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</si>
  <si>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</si>
  <si>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</si>
  <si>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</si>
  <si>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</si>
  <si>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</si>
  <si>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</si>
  <si>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</si>
  <si>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</si>
  <si>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</si>
  <si>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</si>
  <si>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</si>
  <si>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</si>
  <si>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</si>
  <si>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</si>
  <si>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</si>
  <si>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</si>
  <si>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</si>
  <si>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</si>
  <si>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</si>
  <si>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</si>
  <si>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</si>
  <si>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</si>
  <si>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</si>
  <si>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</si>
  <si>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</si>
  <si>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</si>
  <si>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</si>
  <si>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</si>
  <si>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</si>
  <si>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</si>
  <si>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</si>
  <si>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</si>
  <si>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</si>
  <si>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</si>
  <si>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</si>
  <si>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</si>
  <si>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</si>
  <si>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</si>
  <si>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</si>
  <si>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</si>
  <si>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</si>
  <si>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</si>
  <si>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</si>
  <si>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</si>
  <si>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</si>
  <si>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</si>
  <si>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</si>
  <si>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</si>
  <si>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</si>
  <si>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</si>
  <si>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</si>
  <si>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</si>
  <si>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</si>
  <si>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</si>
  <si>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</si>
  <si>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</si>
  <si>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</si>
  <si>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</si>
  <si>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</si>
  <si>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</si>
  <si>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</si>
  <si>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</si>
  <si>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</si>
  <si>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</si>
  <si>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</si>
  <si>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</si>
  <si>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</si>
  <si>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</si>
  <si>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</si>
  <si>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</si>
  <si>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</si>
  <si>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</si>
  <si>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</si>
  <si>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</si>
  <si>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</si>
  <si>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</si>
  <si>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</si>
  <si>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</si>
  <si>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</si>
  <si>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</si>
  <si>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</si>
  <si>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</si>
  <si>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</si>
  <si>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</si>
  <si>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</si>
  <si>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</si>
  <si>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</si>
  <si>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</si>
  <si>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</si>
  <si>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</si>
  <si>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</si>
  <si>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</si>
  <si>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</si>
  <si>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</si>
  <si>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</si>
  <si>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</si>
  <si>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</si>
  <si>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</si>
  <si>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</si>
  <si>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</si>
  <si>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</si>
  <si>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</si>
  <si>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</si>
  <si>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</si>
  <si>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</si>
  <si>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</si>
  <si>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</si>
  <si>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</si>
  <si>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</si>
  <si>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</si>
  <si>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</si>
  <si>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</si>
  <si>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</si>
  <si>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</si>
  <si>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</si>
  <si>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</si>
  <si>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</si>
  <si>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</si>
  <si>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</si>
  <si>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</si>
  <si>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</si>
  <si>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</si>
  <si>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</si>
  <si>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</si>
  <si>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</si>
  <si>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</si>
  <si>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</si>
  <si>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</si>
  <si>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</si>
  <si>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</si>
  <si>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</si>
  <si>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</si>
  <si>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</si>
  <si>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</si>
  <si>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</si>
  <si>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</si>
  <si>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</si>
  <si>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</si>
  <si>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</si>
  <si>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</si>
  <si>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</si>
  <si>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</si>
  <si>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</si>
  <si>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</si>
  <si>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</si>
  <si>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</si>
  <si>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</si>
  <si>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</si>
  <si>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</si>
  <si>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</si>
  <si>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</si>
  <si>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</si>
  <si>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</si>
  <si>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</si>
  <si>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</si>
  <si>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</si>
  <si>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</si>
  <si>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</si>
  <si>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</si>
  <si>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</si>
  <si>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</si>
  <si>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</si>
  <si>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</si>
  <si>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</si>
  <si>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</si>
  <si>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</si>
  <si>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</si>
  <si>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</si>
  <si>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</si>
  <si>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</si>
  <si>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</si>
  <si>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</si>
  <si>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</si>
  <si>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</si>
  <si>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</si>
  <si>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</si>
  <si>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</si>
  <si>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</si>
  <si>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</si>
  <si>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</si>
  <si>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</si>
  <si>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</si>
  <si>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</si>
  <si>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</si>
  <si>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</si>
  <si>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</si>
  <si>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</si>
  <si>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</si>
  <si>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</si>
  <si>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</si>
  <si>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</si>
  <si>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</si>
  <si>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</si>
  <si>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</si>
  <si>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</si>
  <si>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</si>
  <si>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</si>
  <si>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</si>
  <si>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</si>
  <si>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</si>
  <si>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</si>
  <si>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</si>
  <si>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</si>
  <si>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</si>
  <si>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</si>
  <si>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</si>
  <si>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</si>
  <si>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</si>
  <si>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</si>
  <si>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</si>
  <si>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</si>
  <si>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</si>
  <si>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</si>
  <si>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</si>
  <si>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</si>
  <si>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</si>
  <si>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</si>
  <si>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</si>
  <si>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</si>
  <si>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</si>
  <si>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</si>
  <si>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</si>
  <si>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</si>
  <si>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</si>
  <si>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</si>
  <si>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</si>
  <si>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</si>
  <si>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</si>
  <si>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</si>
  <si>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</si>
  <si>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</si>
  <si>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</si>
  <si>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</si>
  <si>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</si>
  <si>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</si>
  <si>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</si>
  <si>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</si>
  <si>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</si>
  <si>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</si>
  <si>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</si>
  <si>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</si>
  <si>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</si>
  <si>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</si>
  <si>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</si>
  <si>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</si>
  <si>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</si>
  <si>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</si>
  <si>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</si>
  <si>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</si>
  <si>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</si>
  <si>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</si>
  <si>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</si>
  <si>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</si>
  <si>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</si>
  <si>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</si>
  <si>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</si>
  <si>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</si>
  <si>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</si>
  <si>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</si>
  <si>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</si>
  <si>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</si>
  <si>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</si>
  <si>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</si>
  <si>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</si>
  <si>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</si>
  <si>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</si>
  <si>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</si>
  <si>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</si>
  <si>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</si>
  <si>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</si>
  <si>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</si>
  <si>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</si>
  <si>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</si>
  <si>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</si>
  <si>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</si>
  <si>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</si>
  <si>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</si>
  <si>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</si>
  <si>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</si>
  <si>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</si>
  <si>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</si>
  <si>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</si>
  <si>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</si>
  <si>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</si>
  <si>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</si>
  <si>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</si>
  <si>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</si>
  <si>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</si>
  <si>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</si>
  <si>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</si>
  <si>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</si>
  <si>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</si>
  <si>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</si>
  <si>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</si>
  <si>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</si>
  <si>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</si>
  <si>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</si>
  <si>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</si>
  <si>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</si>
  <si>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</si>
  <si>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</si>
  <si>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</si>
  <si>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</si>
  <si>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</si>
  <si>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</si>
  <si>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</si>
  <si>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</si>
  <si>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</si>
  <si>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</si>
  <si>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</si>
  <si>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</si>
  <si>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</si>
  <si>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</si>
  <si>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</si>
  <si>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</si>
  <si>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</si>
  <si>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</si>
  <si>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</si>
  <si>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</si>
  <si>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</si>
  <si>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</si>
  <si>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</si>
  <si>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</si>
  <si>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</si>
  <si>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</si>
  <si>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</si>
  <si>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</si>
  <si>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</si>
  <si>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</si>
  <si>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</si>
  <si>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</si>
  <si>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</si>
  <si>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</si>
  <si>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</si>
  <si>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</si>
  <si>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</si>
  <si>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</si>
  <si>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</si>
  <si>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</si>
  <si>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</si>
  <si>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</si>
  <si>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</si>
  <si>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</si>
  <si>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</si>
  <si>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</si>
  <si>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</si>
  <si>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</si>
  <si>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</si>
  <si>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</si>
  <si>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</si>
  <si>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</si>
  <si>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</si>
  <si>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</si>
  <si>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</si>
  <si>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</si>
  <si>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</si>
  <si>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</si>
  <si>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</si>
  <si>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</si>
  <si>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</si>
  <si>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</si>
  <si>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</si>
  <si>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</si>
  <si>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</si>
  <si>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</si>
  <si>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</si>
  <si>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</si>
  <si>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</si>
  <si>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</si>
  <si>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</si>
  <si>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</si>
  <si>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</si>
  <si>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</si>
  <si>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</si>
  <si>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</si>
  <si>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</si>
  <si>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</si>
  <si>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</si>
  <si>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</si>
  <si>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</si>
  <si>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</si>
  <si>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</si>
  <si>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</si>
  <si>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</si>
  <si>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</si>
  <si>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</si>
  <si>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</si>
  <si>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</si>
  <si>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</si>
  <si>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</si>
  <si>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</si>
  <si>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</si>
  <si>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</si>
  <si>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</si>
  <si>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</si>
  <si>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</si>
  <si>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</si>
  <si>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</si>
  <si>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</si>
  <si>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</si>
  <si>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</si>
  <si>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</si>
  <si>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</si>
  <si>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</si>
  <si>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</si>
  <si>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</si>
  <si>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</si>
  <si>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</si>
  <si>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</si>
  <si>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</si>
  <si>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</si>
  <si>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</si>
  <si>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</si>
  <si>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</si>
  <si>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</si>
  <si>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</si>
  <si>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</si>
  <si>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</si>
  <si>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</si>
  <si>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</si>
  <si>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</si>
  <si>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</si>
  <si>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</si>
  <si>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</si>
  <si>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</si>
  <si>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</si>
  <si>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</si>
  <si>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</si>
  <si>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</si>
  <si>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</si>
  <si>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</si>
  <si>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</si>
  <si>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</si>
  <si>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</si>
  <si>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</si>
  <si>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</si>
  <si>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</si>
  <si>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</si>
  <si>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</si>
  <si>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</si>
  <si>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</si>
  <si>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</si>
  <si>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</si>
  <si>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</si>
  <si>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</si>
  <si>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</si>
  <si>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</si>
  <si>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</si>
  <si>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</si>
  <si>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</si>
  <si>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</si>
  <si>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</si>
  <si>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</si>
  <si>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</si>
  <si>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</si>
  <si>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</si>
  <si>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</si>
  <si>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</si>
  <si>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</si>
  <si>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</si>
  <si>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</si>
  <si>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</si>
  <si>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</si>
  <si>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</si>
  <si>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</si>
  <si>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</si>
  <si>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</si>
  <si>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</si>
  <si>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</si>
  <si>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</si>
  <si>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</si>
  <si>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</si>
  <si>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</si>
  <si>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</si>
  <si>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</si>
  <si>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</si>
  <si>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</si>
  <si>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</si>
  <si>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</si>
  <si>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</si>
  <si>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</si>
  <si>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</si>
  <si>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</si>
  <si>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</si>
  <si>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</si>
  <si>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</si>
  <si>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</si>
  <si>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</si>
  <si>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</si>
  <si>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</si>
  <si>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</si>
  <si>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</si>
  <si>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</si>
  <si>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</si>
  <si>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</si>
  <si>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</si>
  <si>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</si>
  <si>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</si>
  <si>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</si>
  <si>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</si>
  <si>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</si>
  <si>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</si>
  <si>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</si>
  <si>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</si>
  <si>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</si>
  <si>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</si>
  <si>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</si>
  <si>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</si>
  <si>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</si>
  <si>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</si>
  <si>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</si>
  <si>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</si>
  <si>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</si>
  <si>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</si>
  <si>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</si>
  <si>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</si>
  <si>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</si>
  <si>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</si>
  <si>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</si>
  <si>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</si>
  <si>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</si>
  <si>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</si>
  <si>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</si>
  <si>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</si>
  <si>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</si>
  <si>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</si>
  <si>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</si>
  <si>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</si>
  <si>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</si>
  <si>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</si>
  <si>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</si>
  <si>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</si>
  <si>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</si>
  <si>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</si>
  <si>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</si>
  <si>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</si>
  <si>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</si>
  <si>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</si>
  <si>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</si>
  <si>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</si>
  <si>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</si>
  <si>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</si>
  <si>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</si>
  <si>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</si>
  <si>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</si>
  <si>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</si>
  <si>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</si>
  <si>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</si>
  <si>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</si>
  <si>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</si>
  <si>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</si>
  <si>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</si>
  <si>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</si>
  <si>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</si>
  <si>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</si>
  <si>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</si>
  <si>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</si>
  <si>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</si>
  <si>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</si>
  <si>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</si>
  <si>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</si>
  <si>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</si>
  <si>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</si>
  <si>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</si>
  <si>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</si>
  <si>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</si>
  <si>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</si>
  <si>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</si>
  <si>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</si>
  <si>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</si>
  <si>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</si>
  <si>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</si>
  <si>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</si>
  <si>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</si>
  <si>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</si>
  <si>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</si>
  <si>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</si>
  <si>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</si>
  <si>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</si>
  <si>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</si>
  <si>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</si>
  <si>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</si>
  <si>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</si>
  <si>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</si>
  <si>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</si>
  <si>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</si>
  <si>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</si>
  <si>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</si>
  <si>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</si>
  <si>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</si>
  <si>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</si>
  <si>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</si>
  <si>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</si>
  <si>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</si>
  <si>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</si>
  <si>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</si>
  <si>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</si>
  <si>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</si>
  <si>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</si>
  <si>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</si>
  <si>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</si>
  <si>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</si>
  <si>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</si>
  <si>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</si>
  <si>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</si>
  <si>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</si>
  <si>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</si>
  <si>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</si>
  <si>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</si>
  <si>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</si>
  <si>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</si>
  <si>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</si>
  <si>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</si>
  <si>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</si>
  <si>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</si>
  <si>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</si>
  <si>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</si>
  <si>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</si>
  <si>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</si>
  <si>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</si>
  <si>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</si>
  <si>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</si>
  <si>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</si>
  <si>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</si>
  <si>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</si>
  <si>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</si>
  <si>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</si>
  <si>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</si>
  <si>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</si>
  <si>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</si>
  <si>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</si>
  <si>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</si>
  <si>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</si>
  <si>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</si>
  <si>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</si>
  <si>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</si>
  <si>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</si>
  <si>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</si>
  <si>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</si>
  <si>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</si>
  <si>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</si>
  <si>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</si>
  <si>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</si>
  <si>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</si>
  <si>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</si>
  <si>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</si>
  <si>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</si>
  <si>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</si>
  <si>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</si>
  <si>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</si>
  <si>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</si>
  <si>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</si>
  <si>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</si>
  <si>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</si>
  <si>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</si>
  <si>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</si>
  <si>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</si>
  <si>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</si>
  <si>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</si>
  <si>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</si>
  <si>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</si>
  <si>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</si>
  <si>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</si>
  <si>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</si>
  <si>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</si>
  <si>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</si>
  <si>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</si>
  <si>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</si>
  <si>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</si>
  <si>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</si>
  <si>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</si>
  <si>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</si>
  <si>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</si>
  <si>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</si>
  <si>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</si>
  <si>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</si>
  <si>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</si>
  <si>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</si>
  <si>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</si>
  <si>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</si>
  <si>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</si>
  <si>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</si>
  <si>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</si>
  <si>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</si>
  <si>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</si>
  <si>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</si>
  <si>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</si>
  <si>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</si>
  <si>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</si>
  <si>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</si>
  <si>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</si>
  <si>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</si>
  <si>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</si>
  <si>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</si>
  <si>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</si>
  <si>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</si>
  <si>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</si>
  <si>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</si>
  <si>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</si>
  <si>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</si>
  <si>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</si>
  <si>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</si>
  <si>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</si>
  <si>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</si>
  <si>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</si>
  <si>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</si>
  <si>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</si>
  <si>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</si>
  <si>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</si>
  <si>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</si>
  <si>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</si>
  <si>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</si>
  <si>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</si>
  <si>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</si>
  <si>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</si>
  <si>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</si>
  <si>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</si>
  <si>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</si>
  <si>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</si>
  <si>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</si>
  <si>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</si>
  <si>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</si>
  <si>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</si>
  <si>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</si>
  <si>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</si>
  <si>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</si>
  <si>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</si>
  <si>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</si>
  <si>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</si>
  <si>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</si>
  <si>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</si>
  <si>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</si>
  <si>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</si>
  <si>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</si>
  <si>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</si>
  <si>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</si>
  <si>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</si>
  <si>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</si>
  <si>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</si>
  <si>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</si>
  <si>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</si>
  <si>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</si>
  <si>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</si>
  <si>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</si>
  <si>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</si>
  <si>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</si>
  <si>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</si>
  <si>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</si>
  <si>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</si>
  <si>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</si>
  <si>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</si>
  <si>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</si>
  <si>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</si>
  <si>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</si>
  <si>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</si>
  <si>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</si>
  <si>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</si>
  <si>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</si>
  <si>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</si>
  <si>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</si>
  <si>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</si>
  <si>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</si>
  <si>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</si>
  <si>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</si>
  <si>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</si>
  <si>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</si>
  <si>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</si>
  <si>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</si>
  <si>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</si>
  <si>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</si>
  <si>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</si>
  <si>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</si>
  <si>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</si>
  <si>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</si>
  <si>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</si>
  <si>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</si>
  <si>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</si>
  <si>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</si>
  <si>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</si>
  <si>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</si>
  <si>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</si>
  <si>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</si>
  <si>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</si>
  <si>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</si>
  <si>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</si>
  <si>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</si>
  <si>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</si>
  <si>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</si>
  <si>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</si>
  <si>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</si>
  <si>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</si>
  <si>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</si>
  <si>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</si>
  <si>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</si>
  <si>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</si>
  <si>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</si>
  <si>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</si>
  <si>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</si>
  <si>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</si>
  <si>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</si>
  <si>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</si>
  <si>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</si>
  <si>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</si>
  <si>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</si>
  <si>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</si>
  <si>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</si>
  <si>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</si>
  <si>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</si>
  <si>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</si>
  <si>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</si>
  <si>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</si>
  <si>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</si>
  <si>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</si>
  <si>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</si>
  <si>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</si>
  <si>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</si>
  <si>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</si>
  <si>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</si>
  <si>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</si>
  <si>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</si>
  <si>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</si>
  <si>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</si>
  <si>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</si>
  <si>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</si>
  <si>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</si>
  <si>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</si>
  <si>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</si>
  <si>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</si>
  <si>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</si>
  <si>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</si>
  <si>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</si>
  <si>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</si>
  <si>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</si>
  <si>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</si>
  <si>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</si>
  <si>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</si>
  <si>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</si>
  <si>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</si>
  <si>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</si>
  <si>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</si>
  <si>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</si>
  <si>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</si>
  <si>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</si>
  <si>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</si>
  <si>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</si>
  <si>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</si>
  <si>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</si>
  <si>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</si>
  <si>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</si>
  <si>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</si>
  <si>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</si>
  <si>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</si>
  <si>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</si>
  <si>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</si>
  <si>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</si>
  <si>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</si>
  <si>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</si>
  <si>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</si>
  <si>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</si>
  <si>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</si>
  <si>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</si>
  <si>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</si>
  <si>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</si>
  <si>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</si>
  <si>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</si>
  <si>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</si>
  <si>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</si>
  <si>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</si>
  <si>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</si>
  <si>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</si>
  <si>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</si>
  <si>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</si>
  <si>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</si>
  <si>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</si>
  <si>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</si>
  <si>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</si>
  <si>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</si>
  <si>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</si>
  <si>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</si>
  <si>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</si>
  <si>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</si>
  <si>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</si>
  <si>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</si>
  <si>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</si>
  <si>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</si>
  <si>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</si>
  <si>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</si>
  <si>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</si>
  <si>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</si>
  <si>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</si>
  <si>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</si>
  <si>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</si>
  <si>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</si>
  <si>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</si>
  <si>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</si>
  <si>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</si>
  <si>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</si>
  <si>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</si>
  <si>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</si>
  <si>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</si>
  <si>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</si>
  <si>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</si>
  <si>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</si>
  <si>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</si>
  <si>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</si>
  <si>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</si>
  <si>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</si>
  <si>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</si>
  <si>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</si>
  <si>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</si>
  <si>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</si>
  <si>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</si>
  <si>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</si>
  <si>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</si>
  <si>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</si>
  <si>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</si>
  <si>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</si>
  <si>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</si>
  <si>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</si>
  <si>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</si>
  <si>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</si>
  <si>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</si>
  <si>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</si>
  <si>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</si>
  <si>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</si>
  <si>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</si>
  <si>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</si>
  <si>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</si>
  <si>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</si>
  <si>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</si>
  <si>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</si>
  <si>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</si>
  <si>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</si>
  <si>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</si>
  <si>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</si>
  <si>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</si>
  <si>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</si>
  <si>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</si>
  <si>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</si>
  <si>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</si>
  <si>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</si>
  <si>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</si>
  <si>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</si>
  <si>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</si>
  <si>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</si>
  <si>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</si>
  <si>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</si>
  <si>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</si>
  <si>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</si>
  <si>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</si>
  <si>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</si>
  <si>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</si>
  <si>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</si>
  <si>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</si>
  <si>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</si>
  <si>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</si>
  <si>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</si>
  <si>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</si>
  <si>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</si>
  <si>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</si>
  <si>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</si>
  <si>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</si>
  <si>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</si>
  <si>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</si>
  <si>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</si>
  <si>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</si>
  <si>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</si>
  <si>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</si>
  <si>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</si>
  <si>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</si>
  <si>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</si>
  <si>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</si>
  <si>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</si>
  <si>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</si>
  <si>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</si>
  <si>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</si>
  <si>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</si>
  <si>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</si>
  <si>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</si>
  <si>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</si>
  <si>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</si>
  <si>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</si>
  <si>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</si>
  <si>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</si>
  <si>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</si>
  <si>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</si>
  <si>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</si>
  <si>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</si>
  <si>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</si>
  <si>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</si>
  <si>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</si>
  <si>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</si>
  <si>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</si>
  <si>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</si>
  <si>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</si>
  <si>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</si>
  <si>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</si>
  <si>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</si>
  <si>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</si>
  <si>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</si>
  <si>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</si>
  <si>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</si>
  <si>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</si>
  <si>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</si>
  <si>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</si>
  <si>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</si>
  <si>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</si>
  <si>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</si>
  <si>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</si>
  <si>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</si>
  <si>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</si>
  <si>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</si>
  <si>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</si>
  <si>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</si>
  <si>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</si>
  <si>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</si>
  <si>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</si>
  <si>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</si>
  <si>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</si>
  <si>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</si>
  <si>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</si>
  <si>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</si>
  <si>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</si>
  <si>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</si>
  <si>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</si>
  <si>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</si>
  <si>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</si>
  <si>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</si>
  <si>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</si>
  <si>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</si>
  <si>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</si>
  <si>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</si>
  <si>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</si>
  <si>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</si>
  <si>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</si>
  <si>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</si>
  <si>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</si>
  <si>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</si>
  <si>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</si>
  <si>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</si>
  <si>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</si>
  <si>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</si>
  <si>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</si>
  <si>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</si>
  <si>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</si>
  <si>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</si>
  <si>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</si>
  <si>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</si>
  <si>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</si>
  <si>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</si>
  <si>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</si>
  <si>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</si>
  <si>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</si>
  <si>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</si>
  <si>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</si>
  <si>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</si>
  <si>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</si>
  <si>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</si>
  <si>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</si>
  <si>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</si>
  <si>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</si>
  <si>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</si>
  <si>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</si>
  <si>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</si>
  <si>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</si>
  <si>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</si>
  <si>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</si>
  <si>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</si>
  <si>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</si>
  <si>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</si>
  <si>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</si>
  <si>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</si>
  <si>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</si>
  <si>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</si>
  <si>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</si>
  <si>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</si>
  <si>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</si>
  <si>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</si>
  <si>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</si>
  <si>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</si>
  <si>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</si>
  <si>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</si>
  <si>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</si>
  <si>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</si>
  <si>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</si>
  <si>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</si>
  <si>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</si>
  <si>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</si>
  <si>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</si>
  <si>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</si>
  <si>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</si>
  <si>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</si>
  <si>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</si>
  <si>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</si>
  <si>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</si>
  <si>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</si>
  <si>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</si>
  <si>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</si>
  <si>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</si>
  <si>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</si>
  <si>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</si>
  <si>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</si>
  <si>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</si>
  <si>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</si>
  <si>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</si>
  <si>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</si>
  <si>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</si>
  <si>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</si>
  <si>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</si>
  <si>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</si>
  <si>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</si>
  <si>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</si>
  <si>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</si>
  <si>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</si>
  <si>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</si>
  <si>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</si>
  <si>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</si>
  <si>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</si>
  <si>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</si>
  <si>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</si>
  <si>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</si>
  <si>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</si>
  <si>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</si>
  <si>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</si>
  <si>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</si>
  <si>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</si>
  <si>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</si>
  <si>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</si>
  <si>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</si>
  <si>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</si>
  <si>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</si>
  <si>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</si>
  <si>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</si>
  <si>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</si>
  <si>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</si>
  <si>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</si>
  <si>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</si>
  <si>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</si>
  <si>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</si>
  <si>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</si>
  <si>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</si>
  <si>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</si>
  <si>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</si>
  <si>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</si>
  <si>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</si>
  <si>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</si>
  <si>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</si>
  <si>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</si>
  <si>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</si>
  <si>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</si>
  <si>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</si>
  <si>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</si>
  <si>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</si>
  <si>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</si>
  <si>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</si>
  <si>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</si>
  <si>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</si>
  <si>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</si>
  <si>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</si>
  <si>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</si>
  <si>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</si>
  <si>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</si>
  <si>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</si>
  <si>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</si>
  <si>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</si>
  <si>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</si>
  <si>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</si>
  <si>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</si>
  <si>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</si>
  <si>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</si>
  <si>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</si>
  <si>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</si>
  <si>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</si>
  <si>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</si>
  <si>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</si>
  <si>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</si>
  <si>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</si>
  <si>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</si>
  <si>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</si>
  <si>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</si>
  <si>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</si>
  <si>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</si>
  <si>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</si>
  <si>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</si>
  <si>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</si>
  <si>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</si>
  <si>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</si>
  <si>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</si>
  <si>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</si>
  <si>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</si>
  <si>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</si>
  <si>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</si>
  <si>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</si>
  <si>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</si>
  <si>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</si>
  <si>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</si>
  <si>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</si>
  <si>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</si>
  <si>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</si>
  <si>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</si>
  <si>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</si>
  <si>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</si>
  <si>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</si>
  <si>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</si>
  <si>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</si>
  <si>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</si>
  <si>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</si>
  <si>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</si>
  <si>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</si>
  <si>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</si>
  <si>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</si>
  <si>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</si>
  <si>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</si>
  <si>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</si>
  <si>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</si>
  <si>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</si>
  <si>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</si>
  <si>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</si>
  <si>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</si>
  <si>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</si>
  <si>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</si>
  <si>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</si>
  <si>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</si>
  <si>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</si>
  <si>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</si>
  <si>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</si>
  <si>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</si>
  <si>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</si>
  <si>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</si>
  <si>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</si>
  <si>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</si>
  <si>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</si>
  <si>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</si>
  <si>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</si>
  <si>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</si>
  <si>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</si>
  <si>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</si>
  <si>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</si>
  <si>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</si>
  <si>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</si>
  <si>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</si>
  <si>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</si>
  <si>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</si>
  <si>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</si>
  <si>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</si>
  <si>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</si>
  <si>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</si>
  <si>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</si>
  <si>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</si>
  <si>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</si>
  <si>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</si>
  <si>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</si>
  <si>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</si>
  <si>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</si>
  <si>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</si>
  <si>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</si>
  <si>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</si>
  <si>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</si>
  <si>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</si>
  <si>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</si>
  <si>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</si>
  <si>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</si>
  <si>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</si>
  <si>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</si>
  <si>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</si>
  <si>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</si>
  <si>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</si>
  <si>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</si>
  <si>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</si>
  <si>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</si>
  <si>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</si>
  <si>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</si>
  <si>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</si>
  <si>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</si>
  <si>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</si>
  <si>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</si>
  <si>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</si>
  <si>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</si>
  <si>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</si>
  <si>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</si>
  <si>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</si>
  <si>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</si>
  <si>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</si>
  <si>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</si>
  <si>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</si>
  <si>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</si>
  <si>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</si>
  <si>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</si>
  <si>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</si>
  <si>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</si>
  <si>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</si>
  <si>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</si>
  <si>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</si>
  <si>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</si>
  <si>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</si>
  <si>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</si>
  <si>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</si>
  <si>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</si>
  <si>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</si>
  <si>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</si>
  <si>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</si>
  <si>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</si>
  <si>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</si>
  <si>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</si>
  <si>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</si>
  <si>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</si>
  <si>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</si>
  <si>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</si>
  <si>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</si>
  <si>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</si>
  <si>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</si>
  <si>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</si>
  <si>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</si>
  <si>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</si>
  <si>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</si>
  <si>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</si>
  <si>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</si>
  <si>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</si>
  <si>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</si>
  <si>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</si>
  <si>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</si>
  <si>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</si>
  <si>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</si>
  <si>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</si>
  <si>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</si>
  <si>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</si>
  <si>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</si>
  <si>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</si>
  <si>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</si>
  <si>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</si>
  <si>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</si>
  <si>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</si>
  <si>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</si>
  <si>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</si>
  <si>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</si>
  <si>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</si>
  <si>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</si>
  <si>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</si>
  <si>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</si>
  <si>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</si>
  <si>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</si>
  <si>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</si>
  <si>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</si>
  <si>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</si>
  <si>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</si>
  <si>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</si>
  <si>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</si>
  <si>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</si>
  <si>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</si>
  <si>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</si>
  <si>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</si>
  <si>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</si>
  <si>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</si>
  <si>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</si>
  <si>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</si>
  <si>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</si>
  <si>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</si>
  <si>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</si>
  <si>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</si>
  <si>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</si>
  <si>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</si>
  <si>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</si>
  <si>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</si>
  <si>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</si>
  <si>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</si>
  <si>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</si>
  <si>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</si>
  <si>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</si>
  <si>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</si>
  <si>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</si>
  <si>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</si>
  <si>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</si>
  <si>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</si>
  <si>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</si>
  <si>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</si>
  <si>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</si>
  <si>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</si>
  <si>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</si>
  <si>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</si>
  <si>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</si>
  <si>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</si>
  <si>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</si>
  <si>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</si>
  <si>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</si>
  <si>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</si>
  <si>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</si>
  <si>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</si>
  <si>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</si>
  <si>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</si>
  <si>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</si>
  <si>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</si>
  <si>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</si>
  <si>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</si>
  <si>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</si>
  <si>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</si>
  <si>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</si>
  <si>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</si>
  <si>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</si>
  <si>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</si>
  <si>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</si>
  <si>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</si>
  <si>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</si>
  <si>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</si>
  <si>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</si>
  <si>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</si>
  <si>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</si>
  <si>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</si>
  <si>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</si>
  <si>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</si>
  <si>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</si>
  <si>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</si>
  <si>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</si>
  <si>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</si>
  <si>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</si>
  <si>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</si>
  <si>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</si>
  <si>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</si>
  <si>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</si>
  <si>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</si>
  <si>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</si>
  <si>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</si>
  <si>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</si>
  <si>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</si>
  <si>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</si>
  <si>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</si>
  <si>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</si>
  <si>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</si>
  <si>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</si>
  <si>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</si>
  <si>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</si>
  <si>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</si>
  <si>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</si>
  <si>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</si>
  <si>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</si>
  <si>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</si>
  <si>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</si>
  <si>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</si>
  <si>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</si>
  <si>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</si>
  <si>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</si>
  <si>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</si>
  <si>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</si>
  <si>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</si>
  <si>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</si>
  <si>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</si>
  <si>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</si>
  <si>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</si>
  <si>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</si>
  <si>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</si>
  <si>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</si>
  <si>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</si>
  <si>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</si>
  <si>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</si>
  <si>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</si>
  <si>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</si>
  <si>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</si>
  <si>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</si>
  <si>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</si>
  <si>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</si>
  <si>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</si>
  <si>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</si>
  <si>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</si>
  <si>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</si>
  <si>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</si>
  <si>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</si>
  <si>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</si>
  <si>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</si>
  <si>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</si>
  <si>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</si>
  <si>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</si>
  <si>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</si>
  <si>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</si>
  <si>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</si>
  <si>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</si>
  <si>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</si>
  <si>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</si>
  <si>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</si>
  <si>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</si>
  <si>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</si>
  <si>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</si>
  <si>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</si>
  <si>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</si>
  <si>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</si>
  <si>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</si>
  <si>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</si>
  <si>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</si>
  <si>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</si>
  <si>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</si>
  <si>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</si>
  <si>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</si>
  <si>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</si>
  <si>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</si>
  <si>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</si>
  <si>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</si>
  <si>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</si>
  <si>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</si>
  <si>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</si>
  <si>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</si>
  <si>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</si>
  <si>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</si>
  <si>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</si>
  <si>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</si>
  <si>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</si>
  <si>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</si>
  <si>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</si>
  <si>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</si>
  <si>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</si>
  <si>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</si>
  <si>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</si>
  <si>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</si>
  <si>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</si>
  <si>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</si>
  <si>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</si>
  <si>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</si>
  <si>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</si>
  <si>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</si>
  <si>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</si>
  <si>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</si>
  <si>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</si>
  <si>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</si>
  <si>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</si>
  <si>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</si>
  <si>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</si>
  <si>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</si>
  <si>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</si>
  <si>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</si>
  <si>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</si>
  <si>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</si>
  <si>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</si>
  <si>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</si>
  <si>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</si>
  <si>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</si>
  <si>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</si>
  <si>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</si>
  <si>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</si>
  <si>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</si>
  <si>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</si>
  <si>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</si>
  <si>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</si>
  <si>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</si>
  <si>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</si>
  <si>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</si>
  <si>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</si>
  <si>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</si>
  <si>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</si>
  <si>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</si>
  <si>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</si>
  <si>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</si>
  <si>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</si>
  <si>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</si>
  <si>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</si>
  <si>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</si>
  <si>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</si>
  <si>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</si>
  <si>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</si>
  <si>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</si>
  <si>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</si>
  <si>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</si>
  <si>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</si>
  <si>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</si>
  <si>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</si>
  <si>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</si>
  <si>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</si>
  <si>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</si>
  <si>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</si>
  <si>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</si>
  <si>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</si>
  <si>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</si>
  <si>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</si>
  <si>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</si>
  <si>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</si>
  <si>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</si>
  <si>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</si>
  <si>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</si>
  <si>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</si>
  <si>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</si>
  <si>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</si>
  <si>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</si>
  <si>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</si>
  <si>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</si>
  <si>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</si>
  <si>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</si>
  <si>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</si>
  <si>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</si>
  <si>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</si>
  <si>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</si>
  <si>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</si>
  <si>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</si>
  <si>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</si>
  <si>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</si>
  <si>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</si>
  <si>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</si>
  <si>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</si>
  <si>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</si>
  <si>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</si>
  <si>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</si>
  <si>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</si>
  <si>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</si>
  <si>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</si>
  <si>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</si>
  <si>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</si>
  <si>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</si>
  <si>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</si>
  <si>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</si>
  <si>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</si>
  <si>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</si>
  <si>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</si>
  <si>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</si>
  <si>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</si>
  <si>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</si>
  <si>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</si>
  <si>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</si>
  <si>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</si>
  <si>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</si>
  <si>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</si>
  <si>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</si>
  <si>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</si>
  <si>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</si>
  <si>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</si>
  <si>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</si>
  <si>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</si>
  <si>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</si>
  <si>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</si>
  <si>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</si>
  <si>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</si>
  <si>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</si>
  <si>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</si>
  <si>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</si>
  <si>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</si>
  <si>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</si>
  <si>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</si>
  <si>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</si>
  <si>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</si>
  <si>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</si>
  <si>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</si>
  <si>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</si>
  <si>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</si>
  <si>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</si>
  <si>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</si>
  <si>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</si>
  <si>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</si>
  <si>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</si>
  <si>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</si>
  <si>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</si>
  <si>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</si>
  <si>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</si>
  <si>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</si>
  <si>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</si>
  <si>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</si>
  <si>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</si>
  <si>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</si>
  <si>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</si>
  <si>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</si>
  <si>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</si>
  <si>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</si>
  <si>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</si>
  <si>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</si>
  <si>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</si>
  <si>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</si>
  <si>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</si>
  <si>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</si>
  <si>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</si>
  <si>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</si>
  <si>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</si>
  <si>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</si>
  <si>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</si>
  <si>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</si>
  <si>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</si>
  <si>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</si>
  <si>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</si>
  <si>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</si>
  <si>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</si>
  <si>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</si>
  <si>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</si>
  <si>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</si>
  <si>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</si>
  <si>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</si>
  <si>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</si>
  <si>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</si>
  <si>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</si>
  <si>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</si>
  <si>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</si>
  <si>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</si>
  <si>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</si>
  <si>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</si>
  <si>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</si>
  <si>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</si>
  <si>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</si>
  <si>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</si>
  <si>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</si>
  <si>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</si>
  <si>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</si>
  <si>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</si>
  <si>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</si>
  <si>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</si>
  <si>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</si>
  <si>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</si>
  <si>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</si>
  <si>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</si>
  <si>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</si>
  <si>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</si>
  <si>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</si>
  <si>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</si>
  <si>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</si>
  <si>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</si>
  <si>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</si>
  <si>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</si>
  <si>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</si>
  <si>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</si>
  <si>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</si>
  <si>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</si>
  <si>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</si>
  <si>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</si>
  <si>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</si>
  <si>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</si>
  <si>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</si>
  <si>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</si>
  <si>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</si>
  <si>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</si>
  <si>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</si>
  <si>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</si>
  <si>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</si>
  <si>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</si>
  <si>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</si>
  <si>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</si>
  <si>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</si>
  <si>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</si>
  <si>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</si>
  <si>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</si>
  <si>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</si>
  <si>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</si>
  <si>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</si>
  <si>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</si>
  <si>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</si>
  <si>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</si>
  <si>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</si>
  <si>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</si>
  <si>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</si>
  <si>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</si>
  <si>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</si>
  <si>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</si>
  <si>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</si>
  <si>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</si>
  <si>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</si>
  <si>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</si>
  <si>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</si>
  <si>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</si>
  <si>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</si>
  <si>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</si>
  <si>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</si>
  <si>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</si>
  <si>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</si>
  <si>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</si>
  <si>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</si>
  <si>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</si>
  <si>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</si>
  <si>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</si>
  <si>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</si>
  <si>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</si>
  <si>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</si>
  <si>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</si>
  <si>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</si>
  <si>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</si>
  <si>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</si>
  <si>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</si>
  <si>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</si>
  <si>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</si>
  <si>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</si>
  <si>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</si>
  <si>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</si>
  <si>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</si>
  <si>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</si>
  <si>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</si>
  <si>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</si>
  <si>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</si>
  <si>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</si>
  <si>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</si>
  <si>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</si>
  <si>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</si>
  <si>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</si>
  <si>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</si>
  <si>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</si>
  <si>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</si>
  <si>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</si>
  <si>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</si>
  <si>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</si>
  <si>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</si>
  <si>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</si>
  <si>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</si>
  <si>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</si>
  <si>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</si>
  <si>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</si>
  <si>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</si>
  <si>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</si>
  <si>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</si>
  <si>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</si>
  <si>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</si>
  <si>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</si>
  <si>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</si>
  <si>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</si>
  <si>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</si>
  <si>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</si>
  <si>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</si>
  <si>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</si>
  <si>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</si>
  <si>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</si>
  <si>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</si>
  <si>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</si>
  <si>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</si>
  <si>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</si>
  <si>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</si>
  <si>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</si>
  <si>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</si>
  <si>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</si>
  <si>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</si>
  <si>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</si>
  <si>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</si>
  <si>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</si>
  <si>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</si>
  <si>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</si>
  <si>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</si>
  <si>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</si>
  <si>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</si>
  <si>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</si>
  <si>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</si>
  <si>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</si>
  <si>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</si>
  <si>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</si>
  <si>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</si>
  <si>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</si>
  <si>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</si>
  <si>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</si>
  <si>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</si>
  <si>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</si>
  <si>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</si>
  <si>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</si>
  <si>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</si>
  <si>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</si>
  <si>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</si>
  <si>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</si>
  <si>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</si>
  <si>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</si>
  <si>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</si>
  <si>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</si>
  <si>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</si>
  <si>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</si>
  <si>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</si>
  <si>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</si>
  <si>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</si>
  <si>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</si>
  <si>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</si>
  <si>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</si>
  <si>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</si>
  <si>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</si>
  <si>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</si>
  <si>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</si>
  <si>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</si>
  <si>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</si>
  <si>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</si>
  <si>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</si>
  <si>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</si>
  <si>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</si>
  <si>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</si>
  <si>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</si>
  <si>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</si>
  <si>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</si>
  <si>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</si>
  <si>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</si>
  <si>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</si>
  <si>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</si>
  <si>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</si>
  <si>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</si>
  <si>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</si>
  <si>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</si>
  <si>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</si>
  <si>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</si>
  <si>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</si>
  <si>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</si>
  <si>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</si>
  <si>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</si>
  <si>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</si>
  <si>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</si>
  <si>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</si>
  <si>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</si>
  <si>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</si>
  <si>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</si>
  <si>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</si>
  <si>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</si>
  <si>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</si>
  <si>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</si>
  <si>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</si>
  <si>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</si>
  <si>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</si>
  <si>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</si>
  <si>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</si>
  <si>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</si>
  <si>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</si>
  <si>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</si>
  <si>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</si>
  <si>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</si>
  <si>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</si>
  <si>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</si>
  <si>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</si>
  <si>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</si>
  <si>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</si>
  <si>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</si>
  <si>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</si>
  <si>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</si>
  <si>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</si>
  <si>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</si>
  <si>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</si>
  <si>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</si>
  <si>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</si>
  <si>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</si>
  <si>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</si>
  <si>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</si>
  <si>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</si>
  <si>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</si>
  <si>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</si>
  <si>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</si>
  <si>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</si>
  <si>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</si>
  <si>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</si>
  <si>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</si>
  <si>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</si>
  <si>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</si>
  <si>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</si>
  <si>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</si>
  <si>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</si>
  <si>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</si>
  <si>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</si>
  <si>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</si>
  <si>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</si>
  <si>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</si>
  <si>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</si>
  <si>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</si>
  <si>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</si>
  <si>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</si>
  <si>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</si>
  <si>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</si>
  <si>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</si>
  <si>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</si>
  <si>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</si>
  <si>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</si>
  <si>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</si>
  <si>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</si>
  <si>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</si>
  <si>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</si>
  <si>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</si>
  <si>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</si>
  <si>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</si>
  <si>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</si>
  <si>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</si>
  <si>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</si>
  <si>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</si>
  <si>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</si>
  <si>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</si>
  <si>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</si>
  <si>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</si>
  <si>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</si>
  <si>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</si>
  <si>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</si>
  <si>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</si>
  <si>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</si>
  <si>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</si>
  <si>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</si>
  <si>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</si>
  <si>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</si>
  <si>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</si>
  <si>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</si>
  <si>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</si>
  <si>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</si>
  <si>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</si>
  <si>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</si>
  <si>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</si>
  <si>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</si>
  <si>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</si>
  <si>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</si>
  <si>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</si>
  <si>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</si>
  <si>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</si>
  <si>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</si>
  <si>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</si>
  <si>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</si>
  <si>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</si>
  <si>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</si>
  <si>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</si>
  <si>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</si>
  <si>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</si>
  <si>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</si>
  <si>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</si>
  <si>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</si>
  <si>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</si>
  <si>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</si>
  <si>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</si>
  <si>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</si>
  <si>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</si>
  <si>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</si>
  <si>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</si>
  <si>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</si>
  <si>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</si>
  <si>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</si>
  <si>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</si>
  <si>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</si>
  <si>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</si>
  <si>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</si>
  <si>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</si>
  <si>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</si>
  <si>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</si>
  <si>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</si>
  <si>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</si>
  <si>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</si>
  <si>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</si>
  <si>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</si>
  <si>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</si>
  <si>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</si>
  <si>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</si>
  <si>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</si>
  <si>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</si>
  <si>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</si>
  <si>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</si>
  <si>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</si>
  <si>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</si>
  <si>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</si>
  <si>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</si>
  <si>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</si>
  <si>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</si>
  <si>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</si>
  <si>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</si>
  <si>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</si>
  <si>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</si>
  <si>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</si>
  <si>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</si>
  <si>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</si>
  <si>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</si>
  <si>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</si>
  <si>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</si>
  <si>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</si>
  <si>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</si>
  <si>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</si>
  <si>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</si>
  <si>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</si>
  <si>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</si>
  <si>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</si>
  <si>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</si>
  <si>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</si>
  <si>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</si>
  <si>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</si>
  <si>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</si>
  <si>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</si>
  <si>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</si>
  <si>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</si>
  <si>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</si>
  <si>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</si>
  <si>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</si>
  <si>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</si>
  <si>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</si>
  <si>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</si>
  <si>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</si>
  <si>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</si>
  <si>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</si>
  <si>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</si>
  <si>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</si>
  <si>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</si>
  <si>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</si>
  <si>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</si>
  <si>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</si>
  <si>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</si>
  <si>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</si>
  <si>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</si>
  <si>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</si>
  <si>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</si>
  <si>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</si>
  <si>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</si>
  <si>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</si>
  <si>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</si>
  <si>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</si>
  <si>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</si>
  <si>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</si>
  <si>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</si>
  <si>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</si>
  <si>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</si>
  <si>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</si>
  <si>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</si>
  <si>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</si>
  <si>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</si>
  <si>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</si>
  <si>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</si>
  <si>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</si>
  <si>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</si>
  <si>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</si>
  <si>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</si>
  <si>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</si>
  <si>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</si>
  <si>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</si>
  <si>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</si>
  <si>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</si>
  <si>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</si>
  <si>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</si>
  <si>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</si>
  <si>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</si>
  <si>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</si>
  <si>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</si>
  <si>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</si>
  <si>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</si>
  <si>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</si>
  <si>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</si>
  <si>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</si>
  <si>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</si>
  <si>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</si>
  <si>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</si>
  <si>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</si>
  <si>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</si>
  <si>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</si>
  <si>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</si>
  <si>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</si>
  <si>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</si>
  <si>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</si>
  <si>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</si>
  <si>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</si>
  <si>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</si>
  <si>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</si>
  <si>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</si>
  <si>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</si>
  <si>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</si>
  <si>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</si>
  <si>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</si>
  <si>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</si>
  <si>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</si>
  <si>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</si>
  <si>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</si>
  <si>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</si>
  <si>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</si>
  <si>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</si>
  <si>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</si>
  <si>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</si>
  <si>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</si>
  <si>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</si>
  <si>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</si>
  <si>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</si>
  <si>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</si>
  <si>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</si>
  <si>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</si>
  <si>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</si>
  <si>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</si>
  <si>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</si>
  <si>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</si>
  <si>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</si>
  <si>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</si>
  <si>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</si>
  <si>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</si>
  <si>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</si>
  <si>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</si>
  <si>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</si>
  <si>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</si>
  <si>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</si>
  <si>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</si>
  <si>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</si>
  <si>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</si>
  <si>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</si>
  <si>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</si>
  <si>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</si>
  <si>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</si>
  <si>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</si>
  <si>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</si>
  <si>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</si>
  <si>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</si>
  <si>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</si>
  <si>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</si>
  <si>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</si>
  <si>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</si>
  <si>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</si>
  <si>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</si>
  <si>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</si>
  <si>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</si>
  <si>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</si>
  <si>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</si>
  <si>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</si>
  <si>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</si>
  <si>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</si>
  <si>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</si>
  <si>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</si>
  <si>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</si>
  <si>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</si>
  <si>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</si>
  <si>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</si>
  <si>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</si>
  <si>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</si>
  <si>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</si>
  <si>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</si>
  <si>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</si>
  <si>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</si>
  <si>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</si>
  <si>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</si>
  <si>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</si>
  <si>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</si>
  <si>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</si>
  <si>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</si>
  <si>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</si>
  <si>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</si>
  <si>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</si>
  <si>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</si>
  <si>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</si>
  <si>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</si>
  <si>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</si>
  <si>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</si>
  <si>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</si>
  <si>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</si>
  <si>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</si>
  <si>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</si>
  <si>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</si>
  <si>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</si>
  <si>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</si>
  <si>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</si>
  <si>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</si>
  <si>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</si>
  <si>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</si>
  <si>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</si>
  <si>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</si>
  <si>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</si>
  <si>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</si>
  <si>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</si>
  <si>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</si>
  <si>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</si>
  <si>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</si>
  <si>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</si>
  <si>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</si>
  <si>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</si>
  <si>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</si>
  <si>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</si>
  <si>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</si>
  <si>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</si>
  <si>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</si>
  <si>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</si>
  <si>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</si>
  <si>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</si>
  <si>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</si>
  <si>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</si>
  <si>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</si>
  <si>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</si>
  <si>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</si>
  <si>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</si>
  <si>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</si>
  <si>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</si>
  <si>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</si>
  <si>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</si>
  <si>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</si>
  <si>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</si>
  <si>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</si>
  <si>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</si>
  <si>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</si>
  <si>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</si>
  <si>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</si>
  <si>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</si>
  <si>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</si>
  <si>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</si>
  <si>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</si>
  <si>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</si>
  <si>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</si>
  <si>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</si>
  <si>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</si>
  <si>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</si>
  <si>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</si>
  <si>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</si>
  <si>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</si>
  <si>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</si>
  <si>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</si>
  <si>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</si>
  <si>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</si>
  <si>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</si>
  <si>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</si>
  <si>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</si>
  <si>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</si>
  <si>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</si>
  <si>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</si>
  <si>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</si>
  <si>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</si>
  <si>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</si>
  <si>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</si>
  <si>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</si>
  <si>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</si>
  <si>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</si>
  <si>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</si>
  <si>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</si>
  <si>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</si>
  <si>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</si>
  <si>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</si>
  <si>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</si>
  <si>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</si>
  <si>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</si>
  <si>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</si>
  <si>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</si>
  <si>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</si>
  <si>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</si>
  <si>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</si>
  <si>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</si>
  <si>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</si>
  <si>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</si>
  <si>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</si>
  <si>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</si>
  <si>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</si>
  <si>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</si>
  <si>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</si>
  <si>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</si>
  <si>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</si>
  <si>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</si>
  <si>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</si>
  <si>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</si>
  <si>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</si>
  <si>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</si>
  <si>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</si>
  <si>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</si>
  <si>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</si>
  <si>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</si>
  <si>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</si>
  <si>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</si>
  <si>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</si>
  <si>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</si>
  <si>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</si>
  <si>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</si>
  <si>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</si>
  <si>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</si>
  <si>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</si>
  <si>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</si>
  <si>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</si>
  <si>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</si>
  <si>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</si>
  <si>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</si>
  <si>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</si>
  <si>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</si>
  <si>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</si>
  <si>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</si>
  <si>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</si>
  <si>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</si>
  <si>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</si>
  <si>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</si>
  <si>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</si>
  <si>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</si>
  <si>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</si>
  <si>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</si>
  <si>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</si>
  <si>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</si>
  <si>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</si>
  <si>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</si>
  <si>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</si>
  <si>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</si>
  <si>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</si>
  <si>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</si>
  <si>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</si>
  <si>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</si>
  <si>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</si>
  <si>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</si>
  <si>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</si>
  <si>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</si>
  <si>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</si>
  <si>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</si>
  <si>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</si>
  <si>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</si>
  <si>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</si>
  <si>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</si>
  <si>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</si>
  <si>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</si>
  <si>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</si>
  <si>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</si>
  <si>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</si>
  <si>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</si>
  <si>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</si>
  <si>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</si>
  <si>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</si>
  <si>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</si>
  <si>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</si>
  <si>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</si>
  <si>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</si>
  <si>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</si>
  <si>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</si>
  <si>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</si>
  <si>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</si>
  <si>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</si>
  <si>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</si>
  <si>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</si>
  <si>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</si>
  <si>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</si>
  <si>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</si>
  <si>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</si>
  <si>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</si>
  <si>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</si>
  <si>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</si>
  <si>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</si>
  <si>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</si>
  <si>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</si>
  <si>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</si>
  <si>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</si>
  <si>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</si>
  <si>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</si>
  <si>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</si>
  <si>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</si>
  <si>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</si>
  <si>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</si>
  <si>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</si>
  <si>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</si>
  <si>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</si>
  <si>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</si>
  <si>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</si>
  <si>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</si>
  <si>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</si>
  <si>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</si>
  <si>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</si>
  <si>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</si>
  <si>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</si>
  <si>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</si>
  <si>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</si>
  <si>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</si>
  <si>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</si>
  <si>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</si>
  <si>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</si>
  <si>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</si>
  <si>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</si>
  <si>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</si>
  <si>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</si>
  <si>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</si>
  <si>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</si>
  <si>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</si>
  <si>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</si>
  <si>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</si>
  <si>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</si>
  <si>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</si>
  <si>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</si>
  <si>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</si>
  <si>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</si>
  <si>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</si>
  <si>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</si>
  <si>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</si>
  <si>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</si>
  <si>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</si>
  <si>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</si>
  <si>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</si>
  <si>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</si>
  <si>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</si>
  <si>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</si>
  <si>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</si>
  <si>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</si>
  <si>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</si>
  <si>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</si>
  <si>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</si>
  <si>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</si>
  <si>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</si>
  <si>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</si>
  <si>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</si>
  <si>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</si>
  <si>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</si>
  <si>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</si>
  <si>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</si>
  <si>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</si>
  <si>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</si>
  <si>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</si>
  <si>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</si>
  <si>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</si>
  <si>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</si>
  <si>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</si>
  <si>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</si>
  <si>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</si>
  <si>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</si>
  <si>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</si>
  <si>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</si>
  <si>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</si>
  <si>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</si>
  <si>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</si>
  <si>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</si>
  <si>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</si>
  <si>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</si>
  <si>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</si>
  <si>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</si>
  <si>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</si>
  <si>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</si>
  <si>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</si>
  <si>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</si>
  <si>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</si>
  <si>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</si>
  <si>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</si>
  <si>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</si>
  <si>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</si>
  <si>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</si>
  <si>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</si>
  <si>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</si>
  <si>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</si>
  <si>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</si>
  <si>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</si>
  <si>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</si>
  <si>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</si>
  <si>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</si>
  <si>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</si>
  <si>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</si>
  <si>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</si>
  <si>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</si>
  <si>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</si>
  <si>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</si>
  <si>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</si>
  <si>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</si>
  <si>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</si>
  <si>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</si>
  <si>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</si>
  <si>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</si>
  <si>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</si>
  <si>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</si>
  <si>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</si>
  <si>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</si>
  <si>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</si>
  <si>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</si>
  <si>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</si>
  <si>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</si>
  <si>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</si>
  <si>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</si>
  <si>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</si>
  <si>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</si>
  <si>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</si>
  <si>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</si>
  <si>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</si>
  <si>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</si>
  <si>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</si>
  <si>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</si>
  <si>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</si>
  <si>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</si>
  <si>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</si>
  <si>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</si>
  <si>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</si>
  <si>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</si>
  <si>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</si>
  <si>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</si>
  <si>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</si>
  <si>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</si>
  <si>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</si>
  <si>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</si>
  <si>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</si>
  <si>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</si>
  <si>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</si>
  <si>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</si>
  <si>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</si>
  <si>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</si>
  <si>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</si>
  <si>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</si>
  <si>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</si>
  <si>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</si>
  <si>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</si>
  <si>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</si>
  <si>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</si>
  <si>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</si>
  <si>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</si>
  <si>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</si>
  <si>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</si>
  <si>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</si>
  <si>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</si>
  <si>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</si>
  <si>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</si>
  <si>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</si>
  <si>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</si>
  <si>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</si>
  <si>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</si>
  <si>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</si>
  <si>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</si>
  <si>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</si>
  <si>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</si>
  <si>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</si>
  <si>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</si>
  <si>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</si>
  <si>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</si>
  <si>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</si>
  <si>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</si>
  <si>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</si>
  <si>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</si>
  <si>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</si>
  <si>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</si>
  <si>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</si>
  <si>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</si>
  <si>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</si>
  <si>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</si>
  <si>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</si>
  <si>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</si>
  <si>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</si>
  <si>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</si>
  <si>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</si>
  <si>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</si>
  <si>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</si>
  <si>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</si>
  <si>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</si>
  <si>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</si>
  <si>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</si>
  <si>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</si>
  <si>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</si>
  <si>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</si>
  <si>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</si>
  <si>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</si>
  <si>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</si>
  <si>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</si>
  <si>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</si>
  <si>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</si>
  <si>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</si>
  <si>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</si>
  <si>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</si>
  <si>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</si>
  <si>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</si>
  <si>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</si>
  <si>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</si>
  <si>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</si>
  <si>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</si>
  <si>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</si>
  <si>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</si>
  <si>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</si>
  <si>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</si>
  <si>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</si>
  <si>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</si>
  <si>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</si>
  <si>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</si>
  <si>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</si>
  <si>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</si>
  <si>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</si>
  <si>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</si>
  <si>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</si>
  <si>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</si>
  <si>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</si>
  <si>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</si>
  <si>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</si>
  <si>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</si>
  <si>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</si>
  <si>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</si>
  <si>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</si>
  <si>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</si>
  <si>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</si>
  <si>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</si>
  <si>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</si>
  <si>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</si>
  <si>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</si>
  <si>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</si>
  <si>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</si>
  <si>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</si>
  <si>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</si>
  <si>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</si>
  <si>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</si>
  <si>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</si>
  <si>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</si>
  <si>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</si>
  <si>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</si>
  <si>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</si>
  <si>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</si>
  <si>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</si>
  <si>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</si>
  <si>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</si>
  <si>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</si>
  <si>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</si>
  <si>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</si>
  <si>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</si>
  <si>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</si>
  <si>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</si>
  <si>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</si>
  <si>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</si>
  <si>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</si>
  <si>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</si>
  <si>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</si>
  <si>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</si>
  <si>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</si>
  <si>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</si>
  <si>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</si>
  <si>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</si>
  <si>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</si>
  <si>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</si>
  <si>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</si>
  <si>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</si>
  <si>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</si>
  <si>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</si>
  <si>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</si>
  <si>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</si>
  <si>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</si>
  <si>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</si>
  <si>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</si>
  <si>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</si>
  <si>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</si>
  <si>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</si>
  <si>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</si>
  <si>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</si>
  <si>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</si>
  <si>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</si>
  <si>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</si>
  <si>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</si>
  <si>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</si>
  <si>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</si>
  <si>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</si>
  <si>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</si>
  <si>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</si>
  <si>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</si>
  <si>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</si>
  <si>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</si>
  <si>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</si>
  <si>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</si>
  <si>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</si>
  <si>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</si>
  <si>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</si>
  <si>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</si>
  <si>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</si>
  <si>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</si>
  <si>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</si>
  <si>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</si>
  <si>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</si>
  <si>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</si>
  <si>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</si>
  <si>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</si>
  <si>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</si>
  <si>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</si>
  <si>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</si>
  <si>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</si>
  <si>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</si>
  <si>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</si>
  <si>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</si>
  <si>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</si>
  <si>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</si>
  <si>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</si>
  <si>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</si>
  <si>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</si>
  <si>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</si>
  <si>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</si>
  <si>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</si>
  <si>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</si>
  <si>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</si>
  <si>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</si>
  <si>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</si>
  <si>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</si>
  <si>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</si>
  <si>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</si>
  <si>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</si>
  <si>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</si>
  <si>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</si>
  <si>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</si>
  <si>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</si>
  <si>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</si>
  <si>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</si>
  <si>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</si>
  <si>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</si>
  <si>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</si>
  <si>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</si>
  <si>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</si>
  <si>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</si>
  <si>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</si>
  <si>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</si>
  <si>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</si>
  <si>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</si>
  <si>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</si>
  <si>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</si>
  <si>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</si>
  <si>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</si>
  <si>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</si>
  <si>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</si>
  <si>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</si>
  <si>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</si>
  <si>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</si>
  <si>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</si>
  <si>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</si>
  <si>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</si>
  <si>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</si>
  <si>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</si>
  <si>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</si>
  <si>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</si>
  <si>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</si>
  <si>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</si>
  <si>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</si>
  <si>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</si>
  <si>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</si>
  <si>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</si>
  <si>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</si>
  <si>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</si>
  <si>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</si>
  <si>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</si>
  <si>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</si>
  <si>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</si>
  <si>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</si>
  <si>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</si>
  <si>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</si>
  <si>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</si>
  <si>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</si>
  <si>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</si>
  <si>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</si>
  <si>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</si>
  <si>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</si>
  <si>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</si>
  <si>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</si>
  <si>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</si>
  <si>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</si>
  <si>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</si>
  <si>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</si>
  <si>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</si>
  <si>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</si>
  <si>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</si>
  <si>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</si>
  <si>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</si>
  <si>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</si>
  <si>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</si>
  <si>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</si>
  <si>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</si>
  <si>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</si>
  <si>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</si>
  <si>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</si>
  <si>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</si>
  <si>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</si>
  <si>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</si>
  <si>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</si>
  <si>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</si>
  <si>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</si>
  <si>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</si>
  <si>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</si>
  <si>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</si>
  <si>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</si>
  <si>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</si>
  <si>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</si>
  <si>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</si>
  <si>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</si>
  <si>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</si>
  <si>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</si>
  <si>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</si>
  <si>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</si>
  <si>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</si>
  <si>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</si>
  <si>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</si>
  <si>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</si>
  <si>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</si>
  <si>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</si>
  <si>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</si>
  <si>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</si>
  <si>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</si>
  <si>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</si>
  <si>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</si>
  <si>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</si>
  <si>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</si>
  <si>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</si>
  <si>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</si>
  <si>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</si>
  <si>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</si>
  <si>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</si>
  <si>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</si>
  <si>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</si>
  <si>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</si>
  <si>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</si>
  <si>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</si>
  <si>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</si>
  <si>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</si>
  <si>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</si>
  <si>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</si>
  <si>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</si>
  <si>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</si>
  <si>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</si>
  <si>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</si>
  <si>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</si>
  <si>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</si>
  <si>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</si>
  <si>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</si>
  <si>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</si>
  <si>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</si>
  <si>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</si>
  <si>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</si>
  <si>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</si>
  <si>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</si>
  <si>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</si>
  <si>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</si>
  <si>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</si>
  <si>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</si>
  <si>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</si>
  <si>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</si>
  <si>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</si>
  <si>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</si>
  <si>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</si>
  <si>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</si>
  <si>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</si>
  <si>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</si>
  <si>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</si>
  <si>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</si>
  <si>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</si>
  <si>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</si>
  <si>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</si>
  <si>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</si>
  <si>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</si>
  <si>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</si>
  <si>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</si>
  <si>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</si>
  <si>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</si>
  <si>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</si>
  <si>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</si>
  <si>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</si>
  <si>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</si>
  <si>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</si>
  <si>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</si>
  <si>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</si>
  <si>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</si>
  <si>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</si>
  <si>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</si>
  <si>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</si>
  <si>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</si>
  <si>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</si>
  <si>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</si>
  <si>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</si>
  <si>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</si>
  <si>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</si>
  <si>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</si>
  <si>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</si>
  <si>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</si>
  <si>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</si>
  <si>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</si>
  <si>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</si>
  <si>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</si>
  <si>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</si>
  <si>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</si>
  <si>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</si>
  <si>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</si>
  <si>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</si>
  <si>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</si>
  <si>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</si>
  <si>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</si>
  <si>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</si>
  <si>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</si>
  <si>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</si>
  <si>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</si>
  <si>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</si>
  <si>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</si>
  <si>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</si>
  <si>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</si>
  <si>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</si>
  <si>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</si>
  <si>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</si>
  <si>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</si>
  <si>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</si>
  <si>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</si>
  <si>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</si>
  <si>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</si>
  <si>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</si>
  <si>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</si>
  <si>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</si>
  <si>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</si>
  <si>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</si>
  <si>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</si>
  <si>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</si>
  <si>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</si>
  <si>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</si>
  <si>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</si>
  <si>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</si>
  <si>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</si>
  <si>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</si>
  <si>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</si>
  <si>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</si>
  <si>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</si>
  <si>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</si>
  <si>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</si>
  <si>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</si>
  <si>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</si>
  <si>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</si>
  <si>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</si>
  <si>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</si>
  <si>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</si>
  <si>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</si>
  <si>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</si>
  <si>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</si>
  <si>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</si>
  <si>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</si>
  <si>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</si>
  <si>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</si>
  <si>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</si>
  <si>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</si>
  <si>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</si>
  <si>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</si>
  <si>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</si>
  <si>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</si>
  <si>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</si>
  <si>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</si>
  <si>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</si>
  <si>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</si>
  <si>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</si>
  <si>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</si>
  <si>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</si>
  <si>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</si>
  <si>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</si>
  <si>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</si>
  <si>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</si>
  <si>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</si>
  <si>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</si>
  <si>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</si>
  <si>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</si>
  <si>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</si>
  <si>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</si>
  <si>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</si>
  <si>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</si>
  <si>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</si>
  <si>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</si>
  <si>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</si>
  <si>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</si>
  <si>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</si>
  <si>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</si>
  <si>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</si>
  <si>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</si>
  <si>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</si>
  <si>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</si>
  <si>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</si>
  <si>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</si>
  <si>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</si>
  <si>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</si>
  <si>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</si>
  <si>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</si>
  <si>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</si>
  <si>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</si>
  <si>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</si>
  <si>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</si>
  <si>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</si>
  <si>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</si>
  <si>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</si>
  <si>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</si>
  <si>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</si>
  <si>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</si>
  <si>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</si>
  <si>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</si>
  <si>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</si>
  <si>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</si>
  <si>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</si>
  <si>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</si>
  <si>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</si>
  <si>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</si>
  <si>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</si>
  <si>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</si>
  <si>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</si>
  <si>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</si>
  <si>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</si>
  <si>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</si>
  <si>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</si>
  <si>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</si>
  <si>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</si>
  <si>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</si>
  <si>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</si>
  <si>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</si>
  <si>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</si>
  <si>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</si>
  <si>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</si>
  <si>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</si>
  <si>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</si>
  <si>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</si>
  <si>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</si>
  <si>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</si>
  <si>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</si>
  <si>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</si>
  <si>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</si>
  <si>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</si>
  <si>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</si>
  <si>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</si>
  <si>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</si>
  <si>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</si>
  <si>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</si>
  <si>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</si>
  <si>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</si>
  <si>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</si>
  <si>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</si>
  <si>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</si>
  <si>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</si>
  <si>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</si>
  <si>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</si>
  <si>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</si>
  <si>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</si>
  <si>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</si>
  <si>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</si>
  <si>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</si>
  <si>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</si>
  <si>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</si>
  <si>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</si>
  <si>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</si>
  <si>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</si>
  <si>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</si>
  <si>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</si>
  <si>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</si>
  <si>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</si>
  <si>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</si>
  <si>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</si>
  <si>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</si>
  <si>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</si>
  <si>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</si>
  <si>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</si>
  <si>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</si>
  <si>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</si>
  <si>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</si>
  <si>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</si>
  <si>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</si>
  <si>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</si>
  <si>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</si>
  <si>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</si>
  <si>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</si>
  <si>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</si>
  <si>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</si>
  <si>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</si>
  <si>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</si>
  <si>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</si>
  <si>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</si>
  <si>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</si>
  <si>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</si>
  <si>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</si>
  <si>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</si>
  <si>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</si>
  <si>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</si>
  <si>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</si>
  <si>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</si>
  <si>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</si>
  <si>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</si>
  <si>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</si>
  <si>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</si>
  <si>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</si>
  <si>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</si>
  <si>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</si>
  <si>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</si>
  <si>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</si>
  <si>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</si>
  <si>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</si>
  <si>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</si>
  <si>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</si>
  <si>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</si>
  <si>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</si>
  <si>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</si>
  <si>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</si>
  <si>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</si>
  <si>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</si>
  <si>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</si>
  <si>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</si>
  <si>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</si>
  <si>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</si>
  <si>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</si>
  <si>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</si>
  <si>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</si>
  <si>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</si>
  <si>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</si>
  <si>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</si>
  <si>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</si>
  <si>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</si>
  <si>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</si>
  <si>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</si>
  <si>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</si>
  <si>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</si>
  <si>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</si>
  <si>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</si>
  <si>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</si>
  <si>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</si>
  <si>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</si>
  <si>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</si>
  <si>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</si>
  <si>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</si>
  <si>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</si>
  <si>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</si>
  <si>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</si>
  <si>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</si>
  <si>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</si>
  <si>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</si>
  <si>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</si>
  <si>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</si>
  <si>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</si>
  <si>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</si>
  <si>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</si>
  <si>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</si>
  <si>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</si>
  <si>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</si>
  <si>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</si>
  <si>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</si>
  <si>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</si>
  <si>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</si>
  <si>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</si>
  <si>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</si>
  <si>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</si>
  <si>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</si>
  <si>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</si>
  <si>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</si>
  <si>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</si>
  <si>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</si>
  <si>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</si>
  <si>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</si>
  <si>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</si>
  <si>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</si>
  <si>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</si>
  <si>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</si>
  <si>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</si>
  <si>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</si>
  <si>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</si>
  <si>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</si>
  <si>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</si>
  <si>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</si>
  <si>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</si>
  <si>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</si>
  <si>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</si>
  <si>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</si>
  <si>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</si>
  <si>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</si>
  <si>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</si>
  <si>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</si>
  <si>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</si>
  <si>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</si>
  <si>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</si>
  <si>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</si>
  <si>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</si>
  <si>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</si>
  <si>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</si>
  <si>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</si>
  <si>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</si>
  <si>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</si>
  <si>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</si>
  <si>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</si>
  <si>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</si>
  <si>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</si>
  <si>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</si>
  <si>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</si>
  <si>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</si>
  <si>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</si>
  <si>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</si>
  <si>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</si>
  <si>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</si>
  <si>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</si>
  <si>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</si>
  <si>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</si>
  <si>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</si>
  <si>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</si>
  <si>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</si>
  <si>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</si>
  <si>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</si>
  <si>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</si>
  <si>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</si>
  <si>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</si>
  <si>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</si>
  <si>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</si>
  <si>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</si>
  <si>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</si>
  <si>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</si>
  <si>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</si>
  <si>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</si>
  <si>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</si>
  <si>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</si>
  <si>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</si>
  <si>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</si>
  <si>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</si>
  <si>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</si>
  <si>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</si>
  <si>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</si>
  <si>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</si>
  <si>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</si>
  <si>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</si>
  <si>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</si>
  <si>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</si>
  <si>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</si>
  <si>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</si>
  <si>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</si>
  <si>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</si>
  <si>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</si>
  <si>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</si>
  <si>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</si>
  <si>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</si>
  <si>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</si>
  <si>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</si>
  <si>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</si>
  <si>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</si>
  <si>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</si>
  <si>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</si>
  <si>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</si>
  <si>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</si>
  <si>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</si>
  <si>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</si>
  <si>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</si>
  <si>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</si>
  <si>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</si>
  <si>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</si>
  <si>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</si>
  <si>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</si>
  <si>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</si>
  <si>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</si>
  <si>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</si>
  <si>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</si>
  <si>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</si>
  <si>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</si>
  <si>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</si>
  <si>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</si>
  <si>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</si>
  <si>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</si>
  <si>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</si>
  <si>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</si>
  <si>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</si>
  <si>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</si>
  <si>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</si>
  <si>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</si>
  <si>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</si>
  <si>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</si>
  <si>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</si>
  <si>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</si>
  <si>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</si>
  <si>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</si>
  <si>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</si>
  <si>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</si>
  <si>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</si>
  <si>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</si>
  <si>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</si>
  <si>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</si>
  <si>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</si>
  <si>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</si>
  <si>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</si>
  <si>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</si>
  <si>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</si>
  <si>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</si>
  <si>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</si>
  <si>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</si>
  <si>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</si>
  <si>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</si>
  <si>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</si>
  <si>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</si>
  <si>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</si>
  <si>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</si>
  <si>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</si>
  <si>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</si>
  <si>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</si>
  <si>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</si>
  <si>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</si>
  <si>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</si>
  <si>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</si>
  <si>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</si>
  <si>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</si>
  <si>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</si>
  <si>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</si>
  <si>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</si>
  <si>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</si>
  <si>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</si>
  <si>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</si>
  <si>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</si>
  <si>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</si>
  <si>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</si>
  <si>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</si>
  <si>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</si>
  <si>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</si>
  <si>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</si>
  <si>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</si>
  <si>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</si>
  <si>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</si>
  <si>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</si>
  <si>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indexed="8"/>
        <rFont val="宋体"/>
        <family val="3"/>
        <charset val="134"/>
      </rPr>
      <t>若单独租</t>
    </r>
    <r>
      <rPr>
        <sz val="10"/>
        <color indexed="8"/>
        <rFont val="Arial"/>
        <family val="2"/>
      </rPr>
      <t>1</t>
    </r>
    <r>
      <rPr>
        <sz val="10"/>
        <color indexed="8"/>
        <rFont val="宋体"/>
        <family val="3"/>
        <charset val="134"/>
      </rPr>
      <t>层，会贵些，租金</t>
    </r>
    <r>
      <rPr>
        <sz val="10"/>
        <color indexed="8"/>
        <rFont val="Arial"/>
        <family val="2"/>
      </rPr>
      <t>1.7</t>
    </r>
    <r>
      <rPr>
        <sz val="10"/>
        <color indexed="8"/>
        <rFont val="宋体"/>
        <family val="3"/>
        <charset val="134"/>
      </rPr>
      <t>块左右，楼上办公</t>
    </r>
    <r>
      <rPr>
        <sz val="10"/>
        <color indexed="8"/>
        <rFont val="Arial"/>
        <family val="2"/>
      </rPr>
      <t>1.4-1.5</t>
    </r>
    <r>
      <rPr>
        <sz val="10"/>
        <color indexed="8"/>
        <rFont val="宋体"/>
        <family val="3"/>
        <charset val="134"/>
      </rPr>
      <t>块左右</t>
    </r>
    <phoneticPr fontId="3" type="noConversion"/>
  </si>
  <si>
    <r>
      <rPr>
        <sz val="10"/>
        <color indexed="8"/>
        <rFont val="宋体"/>
        <family val="3"/>
        <charset val="134"/>
      </rPr>
      <t>附近联东</t>
    </r>
    <r>
      <rPr>
        <sz val="10"/>
        <color indexed="8"/>
        <rFont val="Arial"/>
        <family val="2"/>
      </rPr>
      <t>U</t>
    </r>
    <r>
      <rPr>
        <sz val="10"/>
        <color indexed="8"/>
        <rFont val="宋体"/>
        <family val="3"/>
        <charset val="134"/>
      </rPr>
      <t>谷</t>
    </r>
    <r>
      <rPr>
        <sz val="10"/>
        <color indexed="8"/>
        <rFont val="Arial"/>
        <family val="2"/>
      </rPr>
      <t>·</t>
    </r>
    <r>
      <rPr>
        <sz val="10"/>
        <color indexed="8"/>
        <rFont val="宋体"/>
        <family val="3"/>
        <charset val="134"/>
      </rPr>
      <t>远大科技园，办公研发，整栋出租含税</t>
    </r>
    <r>
      <rPr>
        <sz val="10"/>
        <color indexed="8"/>
        <rFont val="Arial"/>
        <family val="2"/>
      </rPr>
      <t>1.5-1.6</t>
    </r>
    <r>
      <rPr>
        <sz val="10"/>
        <color indexed="8"/>
        <rFont val="宋体"/>
        <family val="3"/>
        <charset val="134"/>
      </rPr>
      <t>块，不含物业费，物业费</t>
    </r>
    <r>
      <rPr>
        <sz val="10"/>
        <color indexed="8"/>
        <rFont val="Arial"/>
        <family val="2"/>
      </rPr>
      <t>0.1</t>
    </r>
    <r>
      <rPr>
        <sz val="10"/>
        <color indexed="8"/>
        <rFont val="宋体"/>
        <family val="3"/>
        <charset val="134"/>
      </rPr>
      <t>块</t>
    </r>
    <phoneticPr fontId="3" type="noConversion"/>
  </si>
  <si>
    <t>工业项目</t>
  </si>
  <si>
    <t>无</t>
  </si>
  <si>
    <t>否</t>
  </si>
  <si>
    <t>现房</t>
  </si>
  <si>
    <t>仁和镇</t>
    <phoneticPr fontId="3" type="noConversion"/>
  </si>
  <si>
    <t>Ⅶ-顺1</t>
  </si>
  <si>
    <t>地上</t>
  </si>
  <si>
    <t>地下</t>
  </si>
  <si>
    <t>工业</t>
    <phoneticPr fontId="7" type="noConversion"/>
  </si>
  <si>
    <t>是</t>
  </si>
  <si>
    <t>整个项目土地面积</t>
    <phoneticPr fontId="7" type="noConversion"/>
  </si>
  <si>
    <t>整个项目建筑面积</t>
    <phoneticPr fontId="7" type="noConversion"/>
  </si>
  <si>
    <t>容积率</t>
  </si>
  <si>
    <t>地上建面</t>
    <phoneticPr fontId="7" type="noConversion"/>
  </si>
  <si>
    <r>
      <rPr>
        <sz val="10"/>
        <color theme="9" tint="-0.249977111117893"/>
        <rFont val="宋体"/>
        <family val="3"/>
        <charset val="134"/>
      </rPr>
      <t>顺义区仁和园二街</t>
    </r>
    <r>
      <rPr>
        <sz val="10"/>
        <color theme="9" tint="-0.249977111117893"/>
        <rFont val="Arial"/>
        <family val="2"/>
      </rPr>
      <t>4</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工业用房</t>
    </r>
    <phoneticPr fontId="6" type="noConversion"/>
  </si>
  <si>
    <t>成新度</t>
  </si>
  <si>
    <t>客户名称</t>
    <phoneticPr fontId="247" type="noConversion"/>
  </si>
  <si>
    <t>房号</t>
    <phoneticPr fontId="247" type="noConversion"/>
  </si>
  <si>
    <t>面积</t>
    <phoneticPr fontId="247" type="noConversion"/>
  </si>
  <si>
    <t>单价（平米/天/元）</t>
    <phoneticPr fontId="247" type="noConversion"/>
  </si>
  <si>
    <t>北京金鼎胜达科贸有限公司</t>
    <phoneticPr fontId="247" type="noConversion"/>
  </si>
  <si>
    <t>6#-8-6#201</t>
  </si>
  <si>
    <t>6#-8-6#-101</t>
  </si>
  <si>
    <t>北京卓纵达科技发展有限公司</t>
  </si>
  <si>
    <t>6#-8-6#101</t>
  </si>
  <si>
    <t>北京至和德美机械有限公司</t>
  </si>
  <si>
    <t>6#-7-6#-101,6#-6-6#-101</t>
  </si>
  <si>
    <t>九州和创（北京）信息科技有限公司</t>
    <phoneticPr fontId="247" type="noConversion"/>
  </si>
  <si>
    <t>6#-7-6#101</t>
  </si>
  <si>
    <t>北京美迪康信医药科技有限公司</t>
  </si>
  <si>
    <t>6#-3-6#101</t>
  </si>
  <si>
    <t>北京悠然家居有限公司</t>
  </si>
  <si>
    <t>6#-8-6#501</t>
  </si>
  <si>
    <t>北京星医联科技有限公司</t>
  </si>
  <si>
    <t>6#-6-6#101</t>
  </si>
  <si>
    <t>康佑壹心（北京）健康咨询有限公司</t>
  </si>
  <si>
    <t>6#-3-6#301</t>
  </si>
  <si>
    <t>常州信恒新材料科技有限公司</t>
  </si>
  <si>
    <t>6#-3-6#-101</t>
  </si>
  <si>
    <t>北京和顺力诚科技有限公司</t>
  </si>
  <si>
    <t>6#-7-6#401</t>
  </si>
  <si>
    <t>维斯玛（北京）技术咨询有限公司</t>
  </si>
  <si>
    <t>6#-8-6#301</t>
  </si>
  <si>
    <t>收益法</t>
  </si>
  <si>
    <t>押一</t>
  </si>
  <si>
    <t>钢混</t>
  </si>
  <si>
    <t>非生产用房</t>
  </si>
  <si>
    <t>估价对象容积率</t>
  </si>
  <si>
    <t>不临65条商业街</t>
  </si>
  <si>
    <t>与级别开发程度不一致</t>
  </si>
  <si>
    <t>通路</t>
  </si>
  <si>
    <t>通电</t>
  </si>
  <si>
    <t>通讯</t>
  </si>
  <si>
    <t>通上水</t>
  </si>
  <si>
    <t>通下水</t>
  </si>
  <si>
    <t>平整</t>
  </si>
  <si>
    <t>较好</t>
  </si>
  <si>
    <t>一般</t>
  </si>
  <si>
    <t>较差</t>
  </si>
  <si>
    <t>未包含在土地购买价格中</t>
  </si>
  <si>
    <t>全部缴纳</t>
  </si>
  <si>
    <t>已包含在土地取得成本中</t>
  </si>
  <si>
    <t>情况3</t>
  </si>
  <si>
    <t>正常</t>
  </si>
  <si>
    <t>自行开发建设</t>
  </si>
  <si>
    <t>非个人房产</t>
  </si>
  <si>
    <t>总价</t>
  </si>
  <si>
    <t>成本比率</t>
  </si>
  <si>
    <t>成本法</t>
  </si>
  <si>
    <t>估价对象联东U谷·仁和科技园项目，办公研发,1层可做生产，层高约5米，楼上办公，层高4米左右，整栋出租含税1.3-1.4块，不含物业费，物业费0.1块</t>
    <phoneticPr fontId="3" type="noConversion"/>
  </si>
  <si>
    <t>地块名称</t>
  </si>
  <si>
    <t>城市</t>
  </si>
  <si>
    <t>区县</t>
  </si>
  <si>
    <t>板块</t>
  </si>
  <si>
    <t>地块编号</t>
  </si>
  <si>
    <t>规划建筑面积(㎡)</t>
  </si>
  <si>
    <t>用地性质</t>
  </si>
  <si>
    <t>详细规划</t>
  </si>
  <si>
    <t>出让年限(年)</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</si>
  <si>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</si>
  <si>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</si>
  <si>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</si>
  <si>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</si>
  <si>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</si>
  <si>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</si>
  <si>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</si>
  <si>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</si>
  <si>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</si>
  <si>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</si>
  <si>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</si>
  <si>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</si>
  <si>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基准地价</t>
  </si>
  <si>
    <t>项目名称</t>
  </si>
  <si>
    <t>京津冀智能网联新能源汽车科技生态港(顺义)一期1、2号地项目SY00-3702-0005地块M1工业用地</t>
  </si>
  <si>
    <t>顺义区</t>
  </si>
  <si>
    <t>李遂镇</t>
  </si>
  <si>
    <t>M1工业用地</t>
  </si>
  <si>
    <t>50年</t>
  </si>
  <si>
    <t>1.50</t>
  </si>
  <si>
    <t>挂牌</t>
  </si>
  <si>
    <t/>
  </si>
  <si>
    <t>2025-02-03</t>
  </si>
  <si>
    <t>已成交</t>
  </si>
  <si>
    <t>已开工</t>
  </si>
  <si>
    <t>北京顺义生态港置业有限公司</t>
  </si>
  <si>
    <t>950元/㎡(九级工业用途2021-01-01)</t>
  </si>
  <si>
    <t>顺义新城07街区SY00-0702-05-019地块M1工业用地</t>
  </si>
  <si>
    <t>仁和</t>
  </si>
  <si>
    <t>20年</t>
  </si>
  <si>
    <t>2024-04-22</t>
  </si>
  <si>
    <t>北京高顺投资有限公司</t>
  </si>
  <si>
    <t>1720元/㎡(七级工业用途2021-01-01)</t>
  </si>
  <si>
    <t>顺义区大孙各庄镇总体规划范围内工业用地B01、B02、B03、B04、B05、B06地块土地一级开发项目二期SY09-0102-6015、SY09-0102-6023地块110101物流用地</t>
  </si>
  <si>
    <t>大孙各庄镇</t>
  </si>
  <si>
    <t>京土储挂(顺)工业[2023]001号</t>
  </si>
  <si>
    <t>物流用地</t>
  </si>
  <si>
    <t>2023-06-21</t>
  </si>
  <si>
    <t>北京之泰仓储服务有限公司</t>
  </si>
  <si>
    <t>570元/㎡(十一级工业用途2021-01-01)</t>
  </si>
  <si>
    <t>顺义区SY00-2402街区C-30地块(网内6号地)工业用地国有建设用地使用权出让</t>
  </si>
  <si>
    <t>首都机场</t>
  </si>
  <si>
    <t>京土储挂(顺)工业[2022]005号</t>
  </si>
  <si>
    <t>100101(原M1)工业用地</t>
  </si>
  <si>
    <t>23年</t>
  </si>
  <si>
    <t>≥1.0,≤1.0</t>
  </si>
  <si>
    <t>2023-01-05</t>
  </si>
  <si>
    <t>已竣工</t>
  </si>
  <si>
    <t>北京航空发动机维修有限公司</t>
  </si>
  <si>
    <t>顺义新城3401街区(高丽营镇中关村顺义园三代半产业基地)3-2-4(北区)(3号地A)地块M1工业用地国有建设用地使用权出让</t>
  </si>
  <si>
    <t>高丽营北</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</si>
  <si>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</si>
  <si>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</si>
  <si>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</si>
  <si>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</si>
  <si>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</si>
  <si>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</si>
  <si>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</si>
  <si>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</si>
  <si>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北小营</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</si>
  <si>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</si>
  <si>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</si>
  <si>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</si>
  <si>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</si>
  <si>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</si>
  <si>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</si>
  <si>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</si>
  <si>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双丰</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</si>
  <si>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</si>
  <si>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</si>
  <si>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</si>
  <si>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</si>
  <si>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</si>
  <si>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</si>
  <si>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</si>
  <si>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</si>
  <si>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</si>
  <si>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1260元/㎡(八级工业用途2021-01-01)</t>
  </si>
  <si>
    <t>顺义区赵全营镇SY04-0100-6006-1-2地块</t>
  </si>
  <si>
    <t>赵全营镇</t>
  </si>
  <si>
    <t>京土整储挂(顺)工业研发[2021]002号</t>
  </si>
  <si>
    <t>≤1.80</t>
  </si>
  <si>
    <t>北京理工华创电动车技术有限公司</t>
  </si>
  <si>
    <t>北京市顺义临空国际(科创功能区)6-1-1地块M1一类工业用地国有建设用地</t>
  </si>
  <si>
    <t>京土整储挂(顺)工业[2020]002号</t>
  </si>
  <si>
    <t>一类工业用地</t>
  </si>
  <si>
    <t>≥0.8;≤2</t>
  </si>
  <si>
    <t>2021-04-21</t>
  </si>
  <si>
    <t>中电科光电科技有限公司 、中国电子科技集团公司第十一研究所</t>
  </si>
  <si>
    <t>顺义区赵全营板桥SY04-0100-6006-2地块M4工业研发用地</t>
  </si>
  <si>
    <t>京土整储挂(顺)研发【2019】004号</t>
  </si>
  <si>
    <t>工业研发M4</t>
  </si>
  <si>
    <t>≤1.8</t>
  </si>
  <si>
    <t>2020-02-12</t>
  </si>
  <si>
    <t>北京怡和中源科技有限公司</t>
  </si>
  <si>
    <t>顺义区赵全营镇SY04-0100-6006-3地块M4工业研发项目</t>
  </si>
  <si>
    <t>京土整储挂(顺)工业研发[2019]002号</t>
  </si>
  <si>
    <t>M4工业研发</t>
  </si>
  <si>
    <t>1.80</t>
  </si>
  <si>
    <t>2019-07-16</t>
  </si>
  <si>
    <t>北京吉源医药科技有限公司</t>
  </si>
  <si>
    <t>顺义区SY02-0200-6001、6002地块M4工业研发项目</t>
  </si>
  <si>
    <t>京土整储挂(顺)工业研发[2019]001号</t>
  </si>
  <si>
    <t>2.00</t>
  </si>
  <si>
    <t>2019-04-22</t>
  </si>
  <si>
    <t>北京控制工程研究所</t>
  </si>
  <si>
    <t>建设用地面积(㎡)</t>
    <phoneticPr fontId="134" type="noConversion"/>
  </si>
  <si>
    <t>https://j.map.baidu.com/25/Fruk</t>
    <phoneticPr fontId="134" type="noConversion"/>
  </si>
  <si>
    <t>京土储挂(顺)工业[2024]003号</t>
    <phoneticPr fontId="134" type="noConversion"/>
  </si>
  <si>
    <t>京土储挂(顺)工业[2024]001号</t>
    <phoneticPr fontId="134" type="noConversion"/>
  </si>
  <si>
    <t>京土储挂(顺)工业[2022]004号</t>
    <phoneticPr fontId="134" type="noConversion"/>
  </si>
  <si>
    <t>工业</t>
    <phoneticPr fontId="32" type="noConversion"/>
  </si>
  <si>
    <t>离估价对象最近</t>
    <phoneticPr fontId="32" type="noConversion"/>
  </si>
  <si>
    <t>规则</t>
  </si>
  <si>
    <t>规则</t>
    <phoneticPr fontId="32" type="noConversion"/>
  </si>
  <si>
    <t>较规则</t>
  </si>
  <si>
    <t>较规则</t>
    <phoneticPr fontId="32" type="noConversion"/>
  </si>
  <si>
    <t>较不规则</t>
    <phoneticPr fontId="32" type="noConversion"/>
  </si>
  <si>
    <t>不规则</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</si>
  <si>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</si>
  <si>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</si>
  <si>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</si>
  <si>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</si>
  <si>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</si>
  <si>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</si>
  <si>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临时三通</t>
  </si>
  <si>
    <t>临时三通</t>
    <phoneticPr fontId="32" type="noConversion"/>
  </si>
  <si>
    <t>较好</t>
    <phoneticPr fontId="32" type="noConversion"/>
  </si>
  <si>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</si>
  <si>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</si>
  <si>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</si>
  <si>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</si>
  <si>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土地年期修正系数</t>
    <phoneticPr fontId="134" type="noConversion"/>
  </si>
  <si>
    <t>折50年楼面单价</t>
    <phoneticPr fontId="134" type="noConversion"/>
  </si>
  <si>
    <t>土地报酬率</t>
    <phoneticPr fontId="134" type="noConversion"/>
  </si>
  <si>
    <t>年期修正系数</t>
    <phoneticPr fontId="134" type="noConversion"/>
  </si>
  <si>
    <t>50年</t>
    <phoneticPr fontId="134" type="noConversion"/>
  </si>
  <si>
    <t>20年</t>
    <phoneticPr fontId="134" type="noConversion"/>
  </si>
  <si>
    <t>加权平均</t>
  </si>
  <si>
    <t>京土整储挂(顺)工业[2022]001号</t>
    <phoneticPr fontId="134" type="noConversion"/>
  </si>
  <si>
    <t>建面</t>
    <phoneticPr fontId="3" type="noConversion"/>
  </si>
  <si>
    <t>租金</t>
    <phoneticPr fontId="3" type="noConversion"/>
  </si>
  <si>
    <t>用途</t>
    <phoneticPr fontId="3" type="noConversion"/>
  </si>
  <si>
    <t>厂房、办公</t>
    <phoneticPr fontId="3" type="noConversion"/>
  </si>
  <si>
    <t>厂房（生产）</t>
    <phoneticPr fontId="3" type="noConversion"/>
  </si>
  <si>
    <t>系数</t>
    <phoneticPr fontId="3" type="noConversion"/>
  </si>
  <si>
    <r>
      <rPr>
        <sz val="10"/>
        <color indexed="8"/>
        <rFont val="宋体"/>
        <family val="3"/>
        <charset val="134"/>
      </rPr>
      <t>含物业费</t>
    </r>
    <r>
      <rPr>
        <sz val="10"/>
        <color indexed="8"/>
        <rFont val="Arial"/>
        <family val="2"/>
      </rPr>
      <t>0.1</t>
    </r>
    <r>
      <rPr>
        <sz val="10"/>
        <color indexed="8"/>
        <rFont val="宋体"/>
        <family val="3"/>
        <charset val="134"/>
      </rPr>
      <t>块</t>
    </r>
    <phoneticPr fontId="3" type="noConversion"/>
  </si>
  <si>
    <t>地下1层</t>
    <phoneticPr fontId="3" type="noConversion"/>
  </si>
  <si>
    <t>地上5层</t>
    <phoneticPr fontId="3" type="noConversion"/>
  </si>
  <si>
    <t>地下为下沉式，可以从外边一个坡道、楼梯下去，也可以直接从楼内下去</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</si>
</sst>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333333"/>
      <name val="Arial"/>
      <family val="2"/>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95" fillId="0" borderId="0" xfId="0" applyFont="1">
      <alignment vertical="center"/>
    </xf>
    <xf numFmtId="0" fontId="128"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7" borderId="1" xfId="0" applyFill="1" applyBorder="1" applyAlignment="1">
      <alignment horizontal="left" vertical="center"/>
    </xf>
    <xf numFmtId="0" fontId="0" fillId="0" borderId="1" xfId="0" applyBorder="1" applyAlignment="1">
      <alignment horizontal="left" vertical="center"/>
    </xf>
    <xf numFmtId="0" fontId="272" fillId="0" borderId="1" xfId="0" applyFont="1" applyBorder="1" applyAlignment="1">
      <alignment horizontal="left" vertical="center"/>
    </xf>
    <xf numFmtId="0" fontId="272" fillId="7" borderId="1" xfId="0" applyFont="1" applyFill="1" applyBorder="1" applyAlignment="1">
      <alignment horizontal="left" vertical="center"/>
    </xf>
    <xf numFmtId="179" fontId="0" fillId="0" borderId="0" xfId="0" applyNumberFormat="1" applyAlignment="1">
      <alignment horizontal="left" vertical="center"/>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07" fillId="5" borderId="0" xfId="0" applyNumberFormat="1" applyFont="1" applyFill="1" applyAlignment="1">
      <alignment horizontal="left" vertical="center"/>
    </xf>
    <xf numFmtId="0" fontId="273" fillId="0" borderId="0" xfId="19" applyNumberFormat="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64" fillId="6" borderId="0" xfId="0" applyFont="1" applyFill="1" applyBorder="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NumberFormat="1" applyFont="1" applyAlignment="1" applyProtection="1">
      <alignment horizontal="left" vertical="center"/>
      <protection locked="0"/>
    </xf>
    <xf numFmtId="0" fontId="107" fillId="0" borderId="0" xfId="0" applyNumberFormat="1" applyFont="1" applyFill="1" applyAlignment="1">
      <alignment horizontal="left" vertical="center"/>
    </xf>
    <xf numFmtId="0" fontId="107" fillId="9" borderId="0" xfId="0" applyNumberFormat="1" applyFont="1" applyFill="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14</xdr:col>
      <xdr:colOff>303853</xdr:colOff>
      <xdr:row>55</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05200"/>
          <a:ext cx="7580953" cy="5142857"/>
        </a:xfrm>
        <a:prstGeom prst="rect">
          <a:avLst/>
        </a:prstGeom>
      </xdr:spPr>
    </xdr:pic>
    <xdr:clientData/>
  </xdr:twoCellAnchor>
  <xdr:twoCellAnchor editAs="oneCell">
    <xdr:from>
      <xdr:col>0</xdr:col>
      <xdr:colOff>0</xdr:colOff>
      <xdr:row>60</xdr:row>
      <xdr:rowOff>0</xdr:rowOff>
    </xdr:from>
    <xdr:to>
      <xdr:col>21</xdr:col>
      <xdr:colOff>179554</xdr:colOff>
      <xdr:row>89</xdr:row>
      <xdr:rowOff>94686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315450"/>
          <a:ext cx="11371429" cy="4514286"/>
        </a:xfrm>
        <a:prstGeom prst="rect">
          <a:avLst/>
        </a:prstGeom>
      </xdr:spPr>
    </xdr:pic>
    <xdr:clientData/>
  </xdr:twoCellAnchor>
  <xdr:twoCellAnchor editAs="oneCell">
    <xdr:from>
      <xdr:col>0</xdr:col>
      <xdr:colOff>0</xdr:colOff>
      <xdr:row>90</xdr:row>
      <xdr:rowOff>0</xdr:rowOff>
    </xdr:from>
    <xdr:to>
      <xdr:col>19</xdr:col>
      <xdr:colOff>227378</xdr:colOff>
      <xdr:row>105</xdr:row>
      <xdr:rowOff>85429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9780953" cy="2371429"/>
        </a:xfrm>
        <a:prstGeom prst="rect">
          <a:avLst/>
        </a:prstGeom>
      </xdr:spPr>
    </xdr:pic>
    <xdr:clientData/>
  </xdr:twoCellAnchor>
  <xdr:twoCellAnchor editAs="oneCell">
    <xdr:from>
      <xdr:col>0</xdr:col>
      <xdr:colOff>0</xdr:colOff>
      <xdr:row>106</xdr:row>
      <xdr:rowOff>0</xdr:rowOff>
    </xdr:from>
    <xdr:to>
      <xdr:col>21</xdr:col>
      <xdr:colOff>74792</xdr:colOff>
      <xdr:row>129</xdr:row>
      <xdr:rowOff>132895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325850"/>
          <a:ext cx="11266667" cy="3638095"/>
        </a:xfrm>
        <a:prstGeom prst="rect">
          <a:avLst/>
        </a:prstGeom>
      </xdr:spPr>
    </xdr:pic>
    <xdr:clientData/>
  </xdr:twoCellAnchor>
  <xdr:twoCellAnchor editAs="oneCell">
    <xdr:from>
      <xdr:col>0</xdr:col>
      <xdr:colOff>0</xdr:colOff>
      <xdr:row>130</xdr:row>
      <xdr:rowOff>0</xdr:rowOff>
    </xdr:from>
    <xdr:to>
      <xdr:col>19</xdr:col>
      <xdr:colOff>94045</xdr:colOff>
      <xdr:row>144</xdr:row>
      <xdr:rowOff>75924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983450"/>
          <a:ext cx="9647620" cy="2209524"/>
        </a:xfrm>
        <a:prstGeom prst="rect">
          <a:avLst/>
        </a:prstGeom>
      </xdr:spPr>
    </xdr:pic>
    <xdr:clientData/>
  </xdr:twoCellAnchor>
  <xdr:twoCellAnchor editAs="oneCell">
    <xdr:from>
      <xdr:col>0</xdr:col>
      <xdr:colOff>0</xdr:colOff>
      <xdr:row>145</xdr:row>
      <xdr:rowOff>0</xdr:rowOff>
    </xdr:from>
    <xdr:to>
      <xdr:col>20</xdr:col>
      <xdr:colOff>760614</xdr:colOff>
      <xdr:row>171</xdr:row>
      <xdr:rowOff>85219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269450"/>
          <a:ext cx="11095239" cy="4047619"/>
        </a:xfrm>
        <a:prstGeom prst="rect">
          <a:avLst/>
        </a:prstGeom>
      </xdr:spPr>
    </xdr:pic>
    <xdr:clientData/>
  </xdr:twoCellAnchor>
  <xdr:twoCellAnchor editAs="oneCell">
    <xdr:from>
      <xdr:col>0</xdr:col>
      <xdr:colOff>0</xdr:colOff>
      <xdr:row>176</xdr:row>
      <xdr:rowOff>0</xdr:rowOff>
    </xdr:from>
    <xdr:to>
      <xdr:col>21</xdr:col>
      <xdr:colOff>141459</xdr:colOff>
      <xdr:row>209</xdr:row>
      <xdr:rowOff>94610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993850"/>
          <a:ext cx="11333334" cy="5123810"/>
        </a:xfrm>
        <a:prstGeom prst="rect">
          <a:avLst/>
        </a:prstGeom>
      </xdr:spPr>
    </xdr:pic>
    <xdr:clientData/>
  </xdr:twoCellAnchor>
  <xdr:twoCellAnchor editAs="oneCell">
    <xdr:from>
      <xdr:col>0</xdr:col>
      <xdr:colOff>0</xdr:colOff>
      <xdr:row>210</xdr:row>
      <xdr:rowOff>0</xdr:rowOff>
    </xdr:from>
    <xdr:to>
      <xdr:col>20</xdr:col>
      <xdr:colOff>484423</xdr:colOff>
      <xdr:row>224</xdr:row>
      <xdr:rowOff>114019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175450"/>
          <a:ext cx="10819048" cy="2247619"/>
        </a:xfrm>
        <a:prstGeom prst="rect">
          <a:avLst/>
        </a:prstGeom>
      </xdr:spPr>
    </xdr:pic>
    <xdr:clientData/>
  </xdr:twoCellAnchor>
  <xdr:twoCellAnchor editAs="oneCell">
    <xdr:from>
      <xdr:col>0</xdr:col>
      <xdr:colOff>0</xdr:colOff>
      <xdr:row>225</xdr:row>
      <xdr:rowOff>0</xdr:rowOff>
    </xdr:from>
    <xdr:to>
      <xdr:col>21</xdr:col>
      <xdr:colOff>8126</xdr:colOff>
      <xdr:row>248</xdr:row>
      <xdr:rowOff>28134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461450"/>
          <a:ext cx="11200001" cy="3533334"/>
        </a:xfrm>
        <a:prstGeom prst="rect">
          <a:avLst/>
        </a:prstGeom>
      </xdr:spPr>
    </xdr:pic>
    <xdr:clientData/>
  </xdr:twoCellAnchor>
  <xdr:twoCellAnchor editAs="oneCell">
    <xdr:from>
      <xdr:col>0</xdr:col>
      <xdr:colOff>0</xdr:colOff>
      <xdr:row>248</xdr:row>
      <xdr:rowOff>104775</xdr:rowOff>
    </xdr:from>
    <xdr:to>
      <xdr:col>19</xdr:col>
      <xdr:colOff>474997</xdr:colOff>
      <xdr:row>280</xdr:row>
      <xdr:rowOff>151785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8071425"/>
          <a:ext cx="10028572" cy="4923810"/>
        </a:xfrm>
        <a:prstGeom prst="rect">
          <a:avLst/>
        </a:prstGeom>
      </xdr:spPr>
    </xdr:pic>
    <xdr:clientData/>
  </xdr:twoCellAnchor>
  <xdr:twoCellAnchor editAs="oneCell">
    <xdr:from>
      <xdr:col>0</xdr:col>
      <xdr:colOff>0</xdr:colOff>
      <xdr:row>282</xdr:row>
      <xdr:rowOff>0</xdr:rowOff>
    </xdr:from>
    <xdr:to>
      <xdr:col>20</xdr:col>
      <xdr:colOff>836804</xdr:colOff>
      <xdr:row>309</xdr:row>
      <xdr:rowOff>37581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148250"/>
          <a:ext cx="11171429" cy="4152381"/>
        </a:xfrm>
        <a:prstGeom prst="rect">
          <a:avLst/>
        </a:prstGeom>
      </xdr:spPr>
    </xdr:pic>
    <xdr:clientData/>
  </xdr:twoCellAnchor>
  <xdr:twoCellAnchor editAs="oneCell">
    <xdr:from>
      <xdr:col>0</xdr:col>
      <xdr:colOff>0</xdr:colOff>
      <xdr:row>313</xdr:row>
      <xdr:rowOff>0</xdr:rowOff>
    </xdr:from>
    <xdr:to>
      <xdr:col>21</xdr:col>
      <xdr:colOff>217650</xdr:colOff>
      <xdr:row>342</xdr:row>
      <xdr:rowOff>113734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872650"/>
          <a:ext cx="11409525" cy="4533334"/>
        </a:xfrm>
        <a:prstGeom prst="rect">
          <a:avLst/>
        </a:prstGeom>
      </xdr:spPr>
    </xdr:pic>
    <xdr:clientData/>
  </xdr:twoCellAnchor>
  <xdr:twoCellAnchor editAs="oneCell">
    <xdr:from>
      <xdr:col>0</xdr:col>
      <xdr:colOff>0</xdr:colOff>
      <xdr:row>343</xdr:row>
      <xdr:rowOff>0</xdr:rowOff>
    </xdr:from>
    <xdr:to>
      <xdr:col>19</xdr:col>
      <xdr:colOff>589283</xdr:colOff>
      <xdr:row>358</xdr:row>
      <xdr:rowOff>47333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2444650"/>
          <a:ext cx="10142858" cy="2333333"/>
        </a:xfrm>
        <a:prstGeom prst="rect">
          <a:avLst/>
        </a:prstGeom>
      </xdr:spPr>
    </xdr:pic>
    <xdr:clientData/>
  </xdr:twoCellAnchor>
  <xdr:twoCellAnchor editAs="oneCell">
    <xdr:from>
      <xdr:col>0</xdr:col>
      <xdr:colOff>0</xdr:colOff>
      <xdr:row>359</xdr:row>
      <xdr:rowOff>0</xdr:rowOff>
    </xdr:from>
    <xdr:to>
      <xdr:col>21</xdr:col>
      <xdr:colOff>74792</xdr:colOff>
      <xdr:row>381</xdr:row>
      <xdr:rowOff>151962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4883050"/>
          <a:ext cx="11266667" cy="3504762"/>
        </a:xfrm>
        <a:prstGeom prst="rect">
          <a:avLst/>
        </a:prstGeom>
      </xdr:spPr>
    </xdr:pic>
    <xdr:clientData/>
  </xdr:twoCellAnchor>
  <xdr:twoCellAnchor editAs="oneCell">
    <xdr:from>
      <xdr:col>0</xdr:col>
      <xdr:colOff>0</xdr:colOff>
      <xdr:row>382</xdr:row>
      <xdr:rowOff>9525</xdr:rowOff>
    </xdr:from>
    <xdr:to>
      <xdr:col>19</xdr:col>
      <xdr:colOff>560711</xdr:colOff>
      <xdr:row>412</xdr:row>
      <xdr:rowOff>8954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58397775"/>
          <a:ext cx="10114286" cy="4571429"/>
        </a:xfrm>
        <a:prstGeom prst="rect">
          <a:avLst/>
        </a:prstGeom>
      </xdr:spPr>
    </xdr:pic>
    <xdr:clientData/>
  </xdr:twoCellAnchor>
  <xdr:twoCellAnchor editAs="oneCell">
    <xdr:from>
      <xdr:col>0</xdr:col>
      <xdr:colOff>0</xdr:colOff>
      <xdr:row>412</xdr:row>
      <xdr:rowOff>0</xdr:rowOff>
    </xdr:from>
    <xdr:to>
      <xdr:col>21</xdr:col>
      <xdr:colOff>36697</xdr:colOff>
      <xdr:row>439</xdr:row>
      <xdr:rowOff>151867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2960250"/>
          <a:ext cx="11228572" cy="4266667"/>
        </a:xfrm>
        <a:prstGeom prst="rect">
          <a:avLst/>
        </a:prstGeom>
      </xdr:spPr>
    </xdr:pic>
    <xdr:clientData/>
  </xdr:twoCellAnchor>
  <xdr:twoCellAnchor>
    <xdr:from>
      <xdr:col>4</xdr:col>
      <xdr:colOff>228600</xdr:colOff>
      <xdr:row>39</xdr:row>
      <xdr:rowOff>66675</xdr:rowOff>
    </xdr:from>
    <xdr:to>
      <xdr:col>5</xdr:col>
      <xdr:colOff>619125</xdr:colOff>
      <xdr:row>41</xdr:row>
      <xdr:rowOff>142875</xdr:rowOff>
    </xdr:to>
    <xdr:sp macro="" textlink="">
      <xdr:nvSpPr>
        <xdr:cNvPr id="18" name="椭圆形标注 17"/>
        <xdr:cNvSpPr/>
      </xdr:nvSpPr>
      <xdr:spPr>
        <a:xfrm>
          <a:off x="2667000" y="4352925"/>
          <a:ext cx="1085850" cy="381000"/>
        </a:xfrm>
        <a:prstGeom prst="wedgeEllipseCallout">
          <a:avLst>
            <a:gd name="adj1" fmla="val 56293"/>
            <a:gd name="adj2" fmla="val 6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0</xdr:col>
      <xdr:colOff>1419225</xdr:colOff>
      <xdr:row>27</xdr:row>
      <xdr:rowOff>114300</xdr:rowOff>
    </xdr:from>
    <xdr:to>
      <xdr:col>2</xdr:col>
      <xdr:colOff>314325</xdr:colOff>
      <xdr:row>30</xdr:row>
      <xdr:rowOff>38100</xdr:rowOff>
    </xdr:to>
    <xdr:sp macro="" textlink="">
      <xdr:nvSpPr>
        <xdr:cNvPr id="19" name="椭圆形标注 18"/>
        <xdr:cNvSpPr/>
      </xdr:nvSpPr>
      <xdr:spPr>
        <a:xfrm>
          <a:off x="1419225" y="2571750"/>
          <a:ext cx="895350" cy="381000"/>
        </a:xfrm>
        <a:prstGeom prst="wedgeEllipseCallout">
          <a:avLst>
            <a:gd name="adj1" fmla="val -59496"/>
            <a:gd name="adj2"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xdr:from>
      <xdr:col>8</xdr:col>
      <xdr:colOff>476250</xdr:colOff>
      <xdr:row>39</xdr:row>
      <xdr:rowOff>85725</xdr:rowOff>
    </xdr:from>
    <xdr:to>
      <xdr:col>9</xdr:col>
      <xdr:colOff>523875</xdr:colOff>
      <xdr:row>42</xdr:row>
      <xdr:rowOff>9525</xdr:rowOff>
    </xdr:to>
    <xdr:sp macro="" textlink="">
      <xdr:nvSpPr>
        <xdr:cNvPr id="20" name="椭圆形标注 19"/>
        <xdr:cNvSpPr/>
      </xdr:nvSpPr>
      <xdr:spPr>
        <a:xfrm>
          <a:off x="5543550" y="4371975"/>
          <a:ext cx="923925" cy="381000"/>
        </a:xfrm>
        <a:prstGeom prst="wedgeEllipseCallout">
          <a:avLst>
            <a:gd name="adj1" fmla="val -57742"/>
            <a:gd name="adj2" fmla="val 67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6</xdr:col>
      <xdr:colOff>76200</xdr:colOff>
      <xdr:row>44</xdr:row>
      <xdr:rowOff>28575</xdr:rowOff>
    </xdr:from>
    <xdr:to>
      <xdr:col>7</xdr:col>
      <xdr:colOff>266700</xdr:colOff>
      <xdr:row>46</xdr:row>
      <xdr:rowOff>104775</xdr:rowOff>
    </xdr:to>
    <xdr:sp macro="" textlink="">
      <xdr:nvSpPr>
        <xdr:cNvPr id="21" name="椭圆形标注 20"/>
        <xdr:cNvSpPr/>
      </xdr:nvSpPr>
      <xdr:spPr>
        <a:xfrm>
          <a:off x="3981450" y="5076825"/>
          <a:ext cx="904875" cy="381000"/>
        </a:xfrm>
        <a:prstGeom prst="wedgeEllipseCallout">
          <a:avLst>
            <a:gd name="adj1" fmla="val -42830"/>
            <a:gd name="adj2" fmla="val -8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editAs="oneCell">
    <xdr:from>
      <xdr:col>0</xdr:col>
      <xdr:colOff>0</xdr:colOff>
      <xdr:row>442</xdr:row>
      <xdr:rowOff>0</xdr:rowOff>
    </xdr:from>
    <xdr:to>
      <xdr:col>21</xdr:col>
      <xdr:colOff>189078</xdr:colOff>
      <xdr:row>475</xdr:row>
      <xdr:rowOff>27943</xdr:rowOff>
    </xdr:to>
    <xdr:pic>
      <xdr:nvPicPr>
        <xdr:cNvPr id="23" name="图片 22"/>
        <xdr:cNvPicPr>
          <a:picLocks noChangeAspect="1"/>
        </xdr:cNvPicPr>
      </xdr:nvPicPr>
      <xdr:blipFill>
        <a:blip xmlns:r="http://schemas.openxmlformats.org/officeDocument/2006/relationships" r:embed="rId17"/>
        <a:stretch>
          <a:fillRect/>
        </a:stretch>
      </xdr:blipFill>
      <xdr:spPr>
        <a:xfrm>
          <a:off x="0" y="67532250"/>
          <a:ext cx="11380953" cy="5057143"/>
        </a:xfrm>
        <a:prstGeom prst="rect">
          <a:avLst/>
        </a:prstGeom>
      </xdr:spPr>
    </xdr:pic>
    <xdr:clientData/>
  </xdr:twoCellAnchor>
  <xdr:twoCellAnchor editAs="oneCell">
    <xdr:from>
      <xdr:col>0</xdr:col>
      <xdr:colOff>0</xdr:colOff>
      <xdr:row>476</xdr:row>
      <xdr:rowOff>0</xdr:rowOff>
    </xdr:from>
    <xdr:to>
      <xdr:col>19</xdr:col>
      <xdr:colOff>179759</xdr:colOff>
      <xdr:row>490</xdr:row>
      <xdr:rowOff>114019</xdr:rowOff>
    </xdr:to>
    <xdr:pic>
      <xdr:nvPicPr>
        <xdr:cNvPr id="24" name="图片 23"/>
        <xdr:cNvPicPr>
          <a:picLocks noChangeAspect="1"/>
        </xdr:cNvPicPr>
      </xdr:nvPicPr>
      <xdr:blipFill>
        <a:blip xmlns:r="http://schemas.openxmlformats.org/officeDocument/2006/relationships" r:embed="rId18"/>
        <a:stretch>
          <a:fillRect/>
        </a:stretch>
      </xdr:blipFill>
      <xdr:spPr>
        <a:xfrm>
          <a:off x="0" y="72713850"/>
          <a:ext cx="9733334" cy="2247619"/>
        </a:xfrm>
        <a:prstGeom prst="rect">
          <a:avLst/>
        </a:prstGeom>
      </xdr:spPr>
    </xdr:pic>
    <xdr:clientData/>
  </xdr:twoCellAnchor>
  <xdr:twoCellAnchor editAs="oneCell">
    <xdr:from>
      <xdr:col>0</xdr:col>
      <xdr:colOff>0</xdr:colOff>
      <xdr:row>491</xdr:row>
      <xdr:rowOff>0</xdr:rowOff>
    </xdr:from>
    <xdr:to>
      <xdr:col>21</xdr:col>
      <xdr:colOff>17650</xdr:colOff>
      <xdr:row>514</xdr:row>
      <xdr:rowOff>123372</xdr:rowOff>
    </xdr:to>
    <xdr:pic>
      <xdr:nvPicPr>
        <xdr:cNvPr id="25" name="图片 24"/>
        <xdr:cNvPicPr>
          <a:picLocks noChangeAspect="1"/>
        </xdr:cNvPicPr>
      </xdr:nvPicPr>
      <xdr:blipFill>
        <a:blip xmlns:r="http://schemas.openxmlformats.org/officeDocument/2006/relationships" r:embed="rId19"/>
        <a:stretch>
          <a:fillRect/>
        </a:stretch>
      </xdr:blipFill>
      <xdr:spPr>
        <a:xfrm>
          <a:off x="0" y="74999850"/>
          <a:ext cx="11209525" cy="3628572"/>
        </a:xfrm>
        <a:prstGeom prst="rect">
          <a:avLst/>
        </a:prstGeom>
      </xdr:spPr>
    </xdr:pic>
    <xdr:clientData/>
  </xdr:twoCellAnchor>
  <xdr:twoCellAnchor editAs="oneCell">
    <xdr:from>
      <xdr:col>0</xdr:col>
      <xdr:colOff>0</xdr:colOff>
      <xdr:row>515</xdr:row>
      <xdr:rowOff>0</xdr:rowOff>
    </xdr:from>
    <xdr:to>
      <xdr:col>20</xdr:col>
      <xdr:colOff>141566</xdr:colOff>
      <xdr:row>547</xdr:row>
      <xdr:rowOff>8915</xdr:rowOff>
    </xdr:to>
    <xdr:pic>
      <xdr:nvPicPr>
        <xdr:cNvPr id="26" name="图片 25"/>
        <xdr:cNvPicPr>
          <a:picLocks noChangeAspect="1"/>
        </xdr:cNvPicPr>
      </xdr:nvPicPr>
      <xdr:blipFill>
        <a:blip xmlns:r="http://schemas.openxmlformats.org/officeDocument/2006/relationships" r:embed="rId20"/>
        <a:stretch>
          <a:fillRect/>
        </a:stretch>
      </xdr:blipFill>
      <xdr:spPr>
        <a:xfrm>
          <a:off x="0" y="78657450"/>
          <a:ext cx="10476191" cy="4885715"/>
        </a:xfrm>
        <a:prstGeom prst="rect">
          <a:avLst/>
        </a:prstGeom>
      </xdr:spPr>
    </xdr:pic>
    <xdr:clientData/>
  </xdr:twoCellAnchor>
  <xdr:twoCellAnchor editAs="oneCell">
    <xdr:from>
      <xdr:col>0</xdr:col>
      <xdr:colOff>0</xdr:colOff>
      <xdr:row>548</xdr:row>
      <xdr:rowOff>0</xdr:rowOff>
    </xdr:from>
    <xdr:to>
      <xdr:col>20</xdr:col>
      <xdr:colOff>751090</xdr:colOff>
      <xdr:row>574</xdr:row>
      <xdr:rowOff>47124</xdr:rowOff>
    </xdr:to>
    <xdr:pic>
      <xdr:nvPicPr>
        <xdr:cNvPr id="27" name="图片 26"/>
        <xdr:cNvPicPr>
          <a:picLocks noChangeAspect="1"/>
        </xdr:cNvPicPr>
      </xdr:nvPicPr>
      <xdr:blipFill>
        <a:blip xmlns:r="http://schemas.openxmlformats.org/officeDocument/2006/relationships" r:embed="rId21"/>
        <a:stretch>
          <a:fillRect/>
        </a:stretch>
      </xdr:blipFill>
      <xdr:spPr>
        <a:xfrm>
          <a:off x="0" y="83686650"/>
          <a:ext cx="11085715"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122610</xdr:colOff>
      <xdr:row>35</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23810" cy="59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512915</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85715" cy="5038096"/>
        </a:xfrm>
        <a:prstGeom prst="rect">
          <a:avLst/>
        </a:prstGeom>
      </xdr:spPr>
    </xdr:pic>
    <xdr:clientData/>
  </xdr:twoCellAnchor>
  <xdr:twoCellAnchor editAs="oneCell">
    <xdr:from>
      <xdr:col>0</xdr:col>
      <xdr:colOff>0</xdr:colOff>
      <xdr:row>31</xdr:row>
      <xdr:rowOff>0</xdr:rowOff>
    </xdr:from>
    <xdr:to>
      <xdr:col>16</xdr:col>
      <xdr:colOff>608153</xdr:colOff>
      <xdr:row>61</xdr:row>
      <xdr:rowOff>46977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5190477"/>
        </a:xfrm>
        <a:prstGeom prst="rect">
          <a:avLst/>
        </a:prstGeom>
      </xdr:spPr>
    </xdr:pic>
    <xdr:clientData/>
  </xdr:twoCellAnchor>
  <xdr:twoCellAnchor editAs="oneCell">
    <xdr:from>
      <xdr:col>0</xdr:col>
      <xdr:colOff>0</xdr:colOff>
      <xdr:row>63</xdr:row>
      <xdr:rowOff>0</xdr:rowOff>
    </xdr:from>
    <xdr:to>
      <xdr:col>16</xdr:col>
      <xdr:colOff>427201</xdr:colOff>
      <xdr:row>91</xdr:row>
      <xdr:rowOff>161305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1400001" cy="4961905"/>
        </a:xfrm>
        <a:prstGeom prst="rect">
          <a:avLst/>
        </a:prstGeom>
      </xdr:spPr>
    </xdr:pic>
    <xdr:clientData/>
  </xdr:twoCellAnchor>
  <xdr:twoCellAnchor editAs="oneCell">
    <xdr:from>
      <xdr:col>0</xdr:col>
      <xdr:colOff>0</xdr:colOff>
      <xdr:row>93</xdr:row>
      <xdr:rowOff>0</xdr:rowOff>
    </xdr:from>
    <xdr:to>
      <xdr:col>16</xdr:col>
      <xdr:colOff>389106</xdr:colOff>
      <xdr:row>122</xdr:row>
      <xdr:rowOff>37474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11361906" cy="5009524"/>
        </a:xfrm>
        <a:prstGeom prst="rect">
          <a:avLst/>
        </a:prstGeom>
      </xdr:spPr>
    </xdr:pic>
    <xdr:clientData/>
  </xdr:twoCellAnchor>
  <xdr:twoCellAnchor editAs="oneCell">
    <xdr:from>
      <xdr:col>0</xdr:col>
      <xdr:colOff>0</xdr:colOff>
      <xdr:row>123</xdr:row>
      <xdr:rowOff>0</xdr:rowOff>
    </xdr:from>
    <xdr:to>
      <xdr:col>16</xdr:col>
      <xdr:colOff>655772</xdr:colOff>
      <xdr:row>153</xdr:row>
      <xdr:rowOff>18405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088350"/>
          <a:ext cx="11628572" cy="5161905"/>
        </a:xfrm>
        <a:prstGeom prst="rect">
          <a:avLst/>
        </a:prstGeom>
      </xdr:spPr>
    </xdr:pic>
    <xdr:clientData/>
  </xdr:twoCellAnchor>
  <xdr:twoCellAnchor editAs="oneCell">
    <xdr:from>
      <xdr:col>0</xdr:col>
      <xdr:colOff>0</xdr:colOff>
      <xdr:row>155</xdr:row>
      <xdr:rowOff>0</xdr:rowOff>
    </xdr:from>
    <xdr:to>
      <xdr:col>5</xdr:col>
      <xdr:colOff>475762</xdr:colOff>
      <xdr:row>184</xdr:row>
      <xdr:rowOff>56522</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6574750"/>
          <a:ext cx="3904762" cy="5028572"/>
        </a:xfrm>
        <a:prstGeom prst="rect">
          <a:avLst/>
        </a:prstGeom>
      </xdr:spPr>
    </xdr:pic>
    <xdr:clientData/>
  </xdr:twoCellAnchor>
  <xdr:twoCellAnchor editAs="oneCell">
    <xdr:from>
      <xdr:col>0</xdr:col>
      <xdr:colOff>38100</xdr:colOff>
      <xdr:row>183</xdr:row>
      <xdr:rowOff>76200</xdr:rowOff>
    </xdr:from>
    <xdr:to>
      <xdr:col>5</xdr:col>
      <xdr:colOff>456719</xdr:colOff>
      <xdr:row>199</xdr:row>
      <xdr:rowOff>152048</xdr:rowOff>
    </xdr:to>
    <xdr:pic>
      <xdr:nvPicPr>
        <xdr:cNvPr id="13" name="图片 12"/>
        <xdr:cNvPicPr>
          <a:picLocks noChangeAspect="1"/>
        </xdr:cNvPicPr>
      </xdr:nvPicPr>
      <xdr:blipFill>
        <a:blip xmlns:r="http://schemas.openxmlformats.org/officeDocument/2006/relationships" r:embed="rId7"/>
        <a:stretch>
          <a:fillRect/>
        </a:stretch>
      </xdr:blipFill>
      <xdr:spPr>
        <a:xfrm>
          <a:off x="38100" y="31451550"/>
          <a:ext cx="3847619" cy="2819048"/>
        </a:xfrm>
        <a:prstGeom prst="rect">
          <a:avLst/>
        </a:prstGeom>
      </xdr:spPr>
    </xdr:pic>
    <xdr:clientData/>
  </xdr:twoCellAnchor>
  <xdr:twoCellAnchor editAs="oneCell">
    <xdr:from>
      <xdr:col>6</xdr:col>
      <xdr:colOff>0</xdr:colOff>
      <xdr:row>155</xdr:row>
      <xdr:rowOff>0</xdr:rowOff>
    </xdr:from>
    <xdr:to>
      <xdr:col>11</xdr:col>
      <xdr:colOff>409096</xdr:colOff>
      <xdr:row>182</xdr:row>
      <xdr:rowOff>37517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4114800" y="26574750"/>
          <a:ext cx="3838096" cy="4666667"/>
        </a:xfrm>
        <a:prstGeom prst="rect">
          <a:avLst/>
        </a:prstGeom>
      </xdr:spPr>
    </xdr:pic>
    <xdr:clientData/>
  </xdr:twoCellAnchor>
  <xdr:twoCellAnchor editAs="oneCell">
    <xdr:from>
      <xdr:col>6</xdr:col>
      <xdr:colOff>0</xdr:colOff>
      <xdr:row>182</xdr:row>
      <xdr:rowOff>0</xdr:rowOff>
    </xdr:from>
    <xdr:to>
      <xdr:col>11</xdr:col>
      <xdr:colOff>342429</xdr:colOff>
      <xdr:row>198</xdr:row>
      <xdr:rowOff>47276</xdr:rowOff>
    </xdr:to>
    <xdr:pic>
      <xdr:nvPicPr>
        <xdr:cNvPr id="15" name="图片 14"/>
        <xdr:cNvPicPr>
          <a:picLocks noChangeAspect="1"/>
        </xdr:cNvPicPr>
      </xdr:nvPicPr>
      <xdr:blipFill>
        <a:blip xmlns:r="http://schemas.openxmlformats.org/officeDocument/2006/relationships" r:embed="rId9"/>
        <a:stretch>
          <a:fillRect/>
        </a:stretch>
      </xdr:blipFill>
      <xdr:spPr>
        <a:xfrm>
          <a:off x="4114800" y="31203900"/>
          <a:ext cx="3771429" cy="2790476"/>
        </a:xfrm>
        <a:prstGeom prst="rect">
          <a:avLst/>
        </a:prstGeom>
      </xdr:spPr>
    </xdr:pic>
    <xdr:clientData/>
  </xdr:twoCellAnchor>
  <xdr:twoCellAnchor editAs="oneCell">
    <xdr:from>
      <xdr:col>12</xdr:col>
      <xdr:colOff>0</xdr:colOff>
      <xdr:row>155</xdr:row>
      <xdr:rowOff>0</xdr:rowOff>
    </xdr:from>
    <xdr:to>
      <xdr:col>17</xdr:col>
      <xdr:colOff>351953</xdr:colOff>
      <xdr:row>186</xdr:row>
      <xdr:rowOff>113622</xdr:rowOff>
    </xdr:to>
    <xdr:pic>
      <xdr:nvPicPr>
        <xdr:cNvPr id="16" name="图片 15"/>
        <xdr:cNvPicPr>
          <a:picLocks noChangeAspect="1"/>
        </xdr:cNvPicPr>
      </xdr:nvPicPr>
      <xdr:blipFill>
        <a:blip xmlns:r="http://schemas.openxmlformats.org/officeDocument/2006/relationships" r:embed="rId10"/>
        <a:stretch>
          <a:fillRect/>
        </a:stretch>
      </xdr:blipFill>
      <xdr:spPr>
        <a:xfrm>
          <a:off x="8229600" y="26574750"/>
          <a:ext cx="3780953" cy="5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25/Fruk"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北京市顺义区仁和园二街4号院6号楼-1至5层101工业用房房地产抵押价值预评估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受贵公司委托，我公司对北京市顺义区仁和园二街4号院6号楼-1至5层101工业用房房地产抵押价值进行了预评估。</v>
      </c>
    </row>
    <row r="7" spans="1:2" s="1202" customFormat="1">
      <c r="A7" s="1200" t="s">
        <v>566</v>
      </c>
      <c r="B7" s="1201" t="str">
        <f>'预评函-1'!A7</f>
        <v>估价对象为北京市顺义区仁和园二街4号院6号楼-1至5层101工业用房房地产，为所有。根据《国有土地使用证》[]，估价对象（分摊）出让国有建设用地使用权面积为3565.51平方米，建筑面积为8862.14平方米。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仁和园二街4号院6号楼-1至5层101工业用房房地产,属开发建设的工业项目，该项目尚在开发建设中。根据《国有土地使用证》[]，估价对象（分摊）出让国有建设用地使用权面积为3565.51平方米，规划建筑面积为8862.14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2025年4月16日（评估专业人员实地查勘之日）</v>
      </c>
    </row>
    <row r="13" spans="1:2" s="1202" customFormat="1">
      <c r="A13" s="1200" t="s">
        <v>529</v>
      </c>
      <c r="B13" s="1201" t="str">
        <f>'预评函-1'!A18</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5629</v>
      </c>
    </row>
    <row r="21" spans="1:2" s="1202" customFormat="1">
      <c r="A21" s="1200" t="s">
        <v>537</v>
      </c>
      <c r="B21" s="1201">
        <f ca="1">'预评函-2'!D7</f>
        <v>6352</v>
      </c>
    </row>
    <row r="22" spans="1:2" s="1202" customFormat="1">
      <c r="A22" s="1200" t="s">
        <v>538</v>
      </c>
      <c r="B22" s="1201" t="str">
        <f ca="1">'预评函-2'!D6</f>
        <v>伍仟陆佰贰拾玖万元整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5629</v>
      </c>
    </row>
    <row r="31" spans="1:2" s="1202" customFormat="1">
      <c r="A31" s="1200" t="s">
        <v>576</v>
      </c>
      <c r="B31" s="1201">
        <f ca="1">'预评函-2'!D15</f>
        <v>6352</v>
      </c>
    </row>
    <row r="32" spans="1:2" s="1202" customFormat="1">
      <c r="A32" s="1200" t="s">
        <v>543</v>
      </c>
      <c r="B32" s="1201" t="str">
        <f ca="1">'预评函-2'!D14</f>
        <v>伍仟陆佰贰拾玖万元整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北京市顺义区仁和园二街4号院6号楼-1至5层101工业用房房地产</v>
      </c>
    </row>
    <row r="42" spans="1:2" s="1202" customFormat="1">
      <c r="A42" s="1200" t="s">
        <v>590</v>
      </c>
      <c r="B42" s="1201" t="str">
        <f>'预评函-3'!B2</f>
        <v>建筑面积</v>
      </c>
    </row>
    <row r="43" spans="1:2" s="1202" customFormat="1">
      <c r="A43" s="1200" t="s">
        <v>591</v>
      </c>
      <c r="B43" s="1201">
        <f>'预评函-3'!B4</f>
        <v>8862.14</v>
      </c>
    </row>
    <row r="44" spans="1:2" s="1202" customFormat="1">
      <c r="A44" s="1200" t="s">
        <v>575</v>
      </c>
      <c r="B44" s="1201" t="str">
        <f>'预评函-3'!C2</f>
        <v>(分摊)土地面积</v>
      </c>
    </row>
    <row r="45" spans="1:2" s="1202" customFormat="1">
      <c r="A45" s="1200" t="s">
        <v>547</v>
      </c>
      <c r="B45" s="1201">
        <f>'预评函-3'!C4</f>
        <v>3565.51</v>
      </c>
    </row>
    <row r="46" spans="1:2" s="1202" customFormat="1">
      <c r="A46" s="1200" t="s">
        <v>573</v>
      </c>
      <c r="B46" s="1201" t="str">
        <f>'预评函-3'!D2</f>
        <v>出让国有建设用地使用权价值</v>
      </c>
    </row>
    <row r="47" spans="1:2" s="1202" customFormat="1">
      <c r="A47" s="1200" t="s">
        <v>548</v>
      </c>
      <c r="B47" s="1201">
        <f ca="1">'预评函-3'!D4</f>
        <v>1554</v>
      </c>
    </row>
    <row r="48" spans="1:2" s="1202" customFormat="1">
      <c r="A48" s="1200" t="s">
        <v>549</v>
      </c>
      <c r="B48" s="1201">
        <f ca="1">'预评函-3'!E4</f>
        <v>1754</v>
      </c>
    </row>
    <row r="49" spans="1:2" s="1202" customFormat="1">
      <c r="A49" s="1200" t="s">
        <v>550</v>
      </c>
      <c r="B49" s="1201" t="str">
        <f ca="1">'预评函-3'!D5</f>
        <v>壹仟伍佰伍拾肆万元整</v>
      </c>
    </row>
    <row r="50" spans="1:2" s="1202" customFormat="1">
      <c r="A50" s="1200" t="s">
        <v>574</v>
      </c>
      <c r="B50" s="1201" t="str">
        <f>'预评函-3'!F2</f>
        <v>在建建筑物价值</v>
      </c>
    </row>
    <row r="51" spans="1:2" s="1202" customFormat="1">
      <c r="A51" s="1200" t="s">
        <v>551</v>
      </c>
      <c r="B51" s="1201">
        <f ca="1">'预评函-3'!F4</f>
        <v>4075</v>
      </c>
    </row>
    <row r="52" spans="1:2" s="1202" customFormat="1">
      <c r="A52" s="1200" t="s">
        <v>552</v>
      </c>
      <c r="B52" s="1201">
        <f ca="1">'预评函-3'!G4</f>
        <v>4598</v>
      </c>
    </row>
    <row r="53" spans="1:2" s="1202" customFormat="1">
      <c r="A53" s="1200" t="s">
        <v>580</v>
      </c>
      <c r="B53" s="1201" t="str">
        <f ca="1">'预评函-3'!F5</f>
        <v>肆仟零柒拾伍万元整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C18" sqref="C1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45763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8.5599999999999996E-2</v>
      </c>
      <c r="E5" s="3025">
        <f>'数据-取费表'!H6</f>
        <v>4.4999999999999998E-2</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58528</v>
      </c>
      <c r="C6" s="3022">
        <f>ROUNDDOWN(MIN((B6-B3)/365,A6),2)</f>
        <v>34.97</v>
      </c>
      <c r="D6" s="3024">
        <f>IF(ISERROR(ROUND(POWER(1+E6,A6-C6)*(POWER(1+E6,C6)-1)/(POWER(1+E6,A6)-1),3)),0,ROUND(POWER(1+E6,A6-C6)*(POWER(1+E6,C6)-1)/(POWER(1+E6,A6)-1),4))</f>
        <v>0.88319999999999999</v>
      </c>
      <c r="E6" s="3025">
        <f>E5</f>
        <v>4.4999999999999998E-2</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0.7883</v>
      </c>
      <c r="E7" s="3025">
        <f>E5</f>
        <v>4.4999999999999998E-2</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50</v>
      </c>
      <c r="C11" s="3022" t="s">
        <v>2510</v>
      </c>
      <c r="D11" s="3028">
        <f>'数据-取费表'!H6</f>
        <v>4.4999999999999998E-2</v>
      </c>
      <c r="E11" s="3022" t="s">
        <v>2511</v>
      </c>
      <c r="F11" s="3029">
        <f>ROUND(1-(1/(POWER(1+D11,B11))),4)</f>
        <v>0.88929999999999998</v>
      </c>
      <c r="G11" s="3484" t="s">
        <v>3625</v>
      </c>
    </row>
    <row r="12" spans="1:18">
      <c r="A12" s="3019" t="s">
        <v>2512</v>
      </c>
      <c r="B12" s="3027">
        <v>20</v>
      </c>
      <c r="C12" s="3022" t="s">
        <v>2513</v>
      </c>
      <c r="D12" s="3028">
        <f>D11</f>
        <v>4.4999999999999998E-2</v>
      </c>
      <c r="E12" s="3022" t="s">
        <v>2514</v>
      </c>
      <c r="F12" s="3029">
        <f>ROUND(1-(1/(POWER(1+D12,B12))),4)</f>
        <v>0.58540000000000003</v>
      </c>
      <c r="G12" s="3484" t="s">
        <v>3626</v>
      </c>
    </row>
    <row r="13" spans="1:18">
      <c r="A13" s="3019" t="s">
        <v>2515</v>
      </c>
      <c r="B13" s="3022"/>
      <c r="C13" s="3022"/>
      <c r="D13" s="3017"/>
      <c r="E13" s="3017"/>
      <c r="F13" s="3018"/>
    </row>
    <row r="14" spans="1:18">
      <c r="A14" s="3019" t="s">
        <v>2516</v>
      </c>
      <c r="B14" s="3027"/>
      <c r="C14" s="3021"/>
      <c r="D14" s="3017"/>
      <c r="E14" s="3017"/>
      <c r="F14" s="3018"/>
    </row>
    <row r="15" spans="1:18">
      <c r="A15" s="3019" t="s">
        <v>2517</v>
      </c>
      <c r="B15" s="3022">
        <f>ROUND(B14*F12/F11,2)</f>
        <v>0</v>
      </c>
      <c r="C15" s="3022">
        <f>ROUND(F12/F11,4)</f>
        <v>0.6583</v>
      </c>
      <c r="D15" s="3017"/>
      <c r="E15" s="3017"/>
      <c r="F15" s="3018"/>
      <c r="G15" s="3057"/>
    </row>
    <row r="16" spans="1:18">
      <c r="A16" s="3019" t="s">
        <v>2518</v>
      </c>
      <c r="B16" s="3022"/>
      <c r="C16" s="3022"/>
      <c r="D16" s="3017"/>
      <c r="E16" s="3017"/>
      <c r="F16" s="3018"/>
      <c r="G16" s="3057"/>
    </row>
    <row r="17" spans="1:14">
      <c r="A17" s="3019" t="s">
        <v>2517</v>
      </c>
      <c r="B17" s="3028">
        <v>1441</v>
      </c>
      <c r="C17" s="3021"/>
      <c r="D17" s="3017"/>
      <c r="E17" s="3017"/>
      <c r="F17" s="3018"/>
      <c r="G17" s="3484" t="s">
        <v>3627</v>
      </c>
    </row>
    <row r="18" spans="1:14" ht="14.25" thickBot="1">
      <c r="A18" s="3030" t="s">
        <v>2516</v>
      </c>
      <c r="B18" s="3031">
        <f>ROUND(B17*F11/F12,2)</f>
        <v>2189.0700000000002</v>
      </c>
      <c r="C18" s="3031">
        <f>ROUND(F11/F12,4)</f>
        <v>1.5190999999999999</v>
      </c>
      <c r="D18" s="3032"/>
      <c r="E18" s="3032"/>
      <c r="F18" s="3033"/>
      <c r="G18" s="3484" t="s">
        <v>3628</v>
      </c>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7" t="str">
        <f>IF(B10="北京市","北京市",C10)&amp;F10&amp;IF(结果表!G1="在建","出让国有建设用地使用权及在建建筑物",IF(结果表!G1="土地","出让国有建设用地使用权",))&amp;B9&amp;"预评估"</f>
        <v>北京市顺义区仁和园二街4号院6号楼-1至5层101工业用房房地产抵押价值预评估</v>
      </c>
      <c r="C1" s="3538"/>
      <c r="D1" s="3538"/>
      <c r="E1" s="3538"/>
      <c r="F1" s="3538"/>
      <c r="G1" s="3538"/>
      <c r="H1" s="3538"/>
      <c r="I1" s="353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北京市顺义区仁和园二街4号院6号楼-1至5层101工业用房房地产抵押价值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北京市顺义区仁和园二街4号院6号楼-1至5层101工业用房房地产</v>
      </c>
      <c r="T2" s="1744"/>
      <c r="U2" s="1744"/>
      <c r="V2" s="1744"/>
      <c r="W2" s="1744"/>
      <c r="X2" s="1744"/>
      <c r="Y2" s="1744"/>
      <c r="Z2" s="1744"/>
      <c r="AA2" s="1744"/>
      <c r="AB2" s="1744"/>
    </row>
    <row r="3" spans="1:30">
      <c r="A3" s="302" t="s">
        <v>2170</v>
      </c>
      <c r="B3" s="2372">
        <v>45763</v>
      </c>
      <c r="C3" s="2373" t="s">
        <v>2171</v>
      </c>
      <c r="D3" s="2372">
        <f>B3</f>
        <v>45763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40"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41"/>
      <c r="E9" s="2393"/>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t="s">
        <v>3432</v>
      </c>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c r="G13" s="856"/>
      <c r="H13" s="856">
        <v>58528</v>
      </c>
      <c r="I13" s="856"/>
      <c r="J13" s="3061"/>
      <c r="K13" s="2612"/>
      <c r="L13" s="2612"/>
      <c r="M13" s="2438"/>
      <c r="N13" s="2449"/>
      <c r="O13" s="2438"/>
      <c r="P13" s="2438"/>
      <c r="Q13" s="2438"/>
      <c r="AD13" s="1744"/>
    </row>
    <row r="14" spans="1:30">
      <c r="A14" s="1081"/>
      <c r="B14" s="2406" t="s">
        <v>2191</v>
      </c>
      <c r="C14" s="2407"/>
      <c r="D14" s="2407"/>
      <c r="E14" s="2407"/>
      <c r="F14" s="2407"/>
      <c r="G14" s="2407"/>
      <c r="H14" s="2407">
        <v>50</v>
      </c>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34.97</v>
      </c>
      <c r="I15" s="2409" t="str">
        <f>IF(A13="出让",IF(I13="","",ROUNDDOWN(MIN((I13-$D$3)/365,I14),2)),I14)</f>
        <v/>
      </c>
      <c r="J15" s="3063"/>
      <c r="K15" s="2450"/>
      <c r="L15" s="2450"/>
      <c r="M15" s="2508"/>
      <c r="N15" s="2450"/>
      <c r="O15" s="2508"/>
      <c r="P15" s="2438"/>
      <c r="Q15" s="2438"/>
      <c r="AD15" s="1744"/>
    </row>
    <row r="16" spans="1:30">
      <c r="A16" s="2399" t="s">
        <v>2193</v>
      </c>
      <c r="B16" s="3547"/>
      <c r="C16" s="3548"/>
      <c r="D16" s="3549"/>
      <c r="E16" s="2412" t="s">
        <v>2194</v>
      </c>
      <c r="F16" s="3550"/>
      <c r="G16" s="3551"/>
      <c r="H16" s="3551"/>
      <c r="I16" s="3552"/>
      <c r="J16" s="2438"/>
      <c r="K16" s="2616"/>
      <c r="L16" s="2450"/>
      <c r="M16" s="2450"/>
      <c r="N16" s="2508"/>
      <c r="O16" s="2450"/>
      <c r="P16" s="2508"/>
      <c r="Q16" s="2438"/>
      <c r="R16" s="2438"/>
    </row>
    <row r="17" spans="1:28">
      <c r="A17" s="313" t="s">
        <v>2195</v>
      </c>
      <c r="B17" s="302" t="s">
        <v>2196</v>
      </c>
      <c r="C17" s="8">
        <f>'数据-汇总表'!E3</f>
        <v>8862.14</v>
      </c>
      <c r="D17" s="2321" t="s">
        <v>2197</v>
      </c>
      <c r="E17" s="3553" t="s">
        <v>2198</v>
      </c>
      <c r="F17" s="3554"/>
      <c r="G17" s="3554"/>
      <c r="H17" s="3554"/>
      <c r="I17" s="355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3565.51</v>
      </c>
      <c r="D18" s="1092" t="s">
        <v>2201</v>
      </c>
      <c r="E18" s="3556" t="s">
        <v>2202</v>
      </c>
      <c r="F18" s="3557"/>
      <c r="G18" s="3557"/>
      <c r="H18" s="3557"/>
      <c r="I18" s="3558"/>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3" t="s">
        <v>2206</v>
      </c>
      <c r="C20" s="3544"/>
      <c r="D20" s="3545" t="s">
        <v>2207</v>
      </c>
      <c r="E20" s="3546"/>
      <c r="F20" s="2646" t="s">
        <v>1056</v>
      </c>
      <c r="G20" s="2663"/>
      <c r="H20" s="2663"/>
      <c r="I20" s="2663"/>
      <c r="J20" s="2438"/>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0" t="s">
        <v>2214</v>
      </c>
      <c r="B27" s="320" t="s">
        <v>2215</v>
      </c>
      <c r="C27" s="2415" t="s">
        <v>3418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0"/>
      <c r="B28" s="302" t="s">
        <v>2216</v>
      </c>
      <c r="C28" s="2417" t="s">
        <v>3419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0"/>
      <c r="B29" s="302" t="s">
        <v>2217</v>
      </c>
      <c r="C29" s="2419" t="s">
        <v>3420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1"/>
      <c r="B30" s="302" t="s">
        <v>2218</v>
      </c>
      <c r="C30" s="3532"/>
      <c r="D30" s="3533"/>
      <c r="E30" s="2663"/>
      <c r="F30" s="2663"/>
      <c r="G30" s="2663"/>
      <c r="H30" s="2663"/>
      <c r="I30" s="2663"/>
      <c r="J30" s="2438"/>
      <c r="K30" s="2615"/>
      <c r="L30" s="2612"/>
      <c r="M30" s="2612"/>
      <c r="N30" s="2438"/>
      <c r="O30" s="2449"/>
      <c r="P30" s="2438"/>
      <c r="Q30" s="2438"/>
      <c r="R30" s="2438"/>
      <c r="S30" s="2438"/>
      <c r="T30" s="2438"/>
      <c r="U30" s="2438"/>
      <c r="V30" s="2438"/>
    </row>
    <row r="31" spans="1:28">
      <c r="A31" s="3534" t="s">
        <v>2219</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9" t="s">
        <v>2228</v>
      </c>
      <c r="T34" s="2427" t="str">
        <f>NUMBERSTRING(7-K34,1)&amp;"通"</f>
        <v>七通</v>
      </c>
      <c r="U34" s="2438"/>
      <c r="V34" s="2438"/>
    </row>
    <row r="35" spans="1:30">
      <c r="A35" s="2428"/>
      <c r="B35" s="3536" t="s">
        <v>2229</v>
      </c>
      <c r="C35" s="3536"/>
      <c r="D35" s="3536"/>
      <c r="E35" s="353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3565.51</v>
      </c>
      <c r="B3" s="11">
        <f>IF(C3="否",G5-AT5,G5)</f>
        <v>8862.14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8862.14</v>
      </c>
      <c r="H5" s="13">
        <f t="shared" ref="H5:AT5" si="0">SUM(H13:H656)</f>
        <v>8862.14</v>
      </c>
      <c r="I5" s="13">
        <f t="shared" si="0"/>
        <v>7385.119999999999</v>
      </c>
      <c r="J5" s="13">
        <f t="shared" si="0"/>
        <v>0</v>
      </c>
      <c r="K5" s="13">
        <f t="shared" si="0"/>
        <v>1477.02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8862.14</v>
      </c>
      <c r="BA5" s="15">
        <f t="shared" si="1"/>
        <v>8862.14</v>
      </c>
      <c r="BB5" s="15">
        <f t="shared" si="1"/>
        <v>7385.119999999999</v>
      </c>
      <c r="BC5" s="15">
        <f t="shared" si="1"/>
        <v>1477.02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3565.51</v>
      </c>
      <c r="F6" s="13" t="s">
        <v>0</v>
      </c>
      <c r="G6" s="13" t="s">
        <v>1</v>
      </c>
      <c r="H6" s="17">
        <f>SUMIF(I$12:AB$12,"总值",I6:AB6)</f>
        <v>3565.51</v>
      </c>
      <c r="I6" s="13">
        <f t="shared" ref="I6:AB6" si="2">ROUND($A$3*I5/$B$3,2)</f>
        <v>2971.26</v>
      </c>
      <c r="J6" s="13">
        <f t="shared" si="2"/>
        <v>0</v>
      </c>
      <c r="K6" s="13">
        <f t="shared" si="2"/>
        <v>594.25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3565.51</v>
      </c>
      <c r="AZ6" s="13" t="s">
        <v>2</v>
      </c>
      <c r="BA6" s="13">
        <f>ROUND($AY$6*BA5/$AZ$5,2)</f>
        <v>3565.51</v>
      </c>
      <c r="BB6" s="13">
        <f>ROUND($AY$6*BB5/$AZ$5,2)</f>
        <v>2971.26</v>
      </c>
      <c r="BC6" s="13">
        <f t="shared" ref="BC6:BH6" si="4">ROUND($AY$6*BC5/$AZ$5,2)</f>
        <v>594.25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3424</v>
      </c>
      <c r="J9" s="809"/>
      <c r="K9" s="1602" t="s">
        <v>3425</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3427</v>
      </c>
      <c r="E13" s="13">
        <f>IF($C$3="是",ROUND($A$3*G13/$B$3,2),ROUND($A$3*(G13-AT13)/$B$3,2))</f>
        <v>3565.51</v>
      </c>
      <c r="F13" s="29"/>
      <c r="G13" s="30">
        <f>H13+AC13+AT13</f>
        <v>8862.14</v>
      </c>
      <c r="H13" s="17">
        <f>SUMIF(I$12:AB$12,"总值",I13:AB13)</f>
        <v>8862.14</v>
      </c>
      <c r="I13" s="1625">
        <f>8862.14-K13</f>
        <v>7385.119999999999</v>
      </c>
      <c r="J13" s="1625"/>
      <c r="K13" s="1625">
        <f>ROUND(8862.14/6,2)</f>
        <v>1477.02</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3565.51</v>
      </c>
      <c r="AZ13" s="13">
        <f>BA13+BL13</f>
        <v>8862.14</v>
      </c>
      <c r="BA13" s="13">
        <f>SUM(BB13:BK13)</f>
        <v>8862.14</v>
      </c>
      <c r="BB13" s="13">
        <f>IF($D13="是",I13-J13,0)</f>
        <v>7385.119999999999</v>
      </c>
      <c r="BC13" s="13">
        <f>IF($D13="是",K13-L13,0)</f>
        <v>1477.02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N7" sqref="N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8" t="s">
        <v>1108</v>
      </c>
      <c r="F2" s="2658"/>
      <c r="G2" s="2649"/>
      <c r="H2" s="2650"/>
      <c r="I2" s="2324" t="s">
        <v>1132</v>
      </c>
      <c r="J2" s="2658"/>
      <c r="K2" s="2658"/>
      <c r="L2" s="2658"/>
      <c r="M2" s="2658"/>
      <c r="N2" s="2660"/>
      <c r="O2" s="2658"/>
      <c r="P2" s="2658"/>
    </row>
    <row r="3" spans="1:16" ht="15.75" thickBot="1">
      <c r="A3" s="3569" t="s">
        <v>1105</v>
      </c>
      <c r="B3" s="3569"/>
      <c r="C3" s="3569"/>
      <c r="D3" s="43">
        <f>'数据-基础表'!AY6</f>
        <v>3565.51</v>
      </c>
      <c r="E3" s="43">
        <f>'数据-基础表'!AZ5</f>
        <v>8862.14</v>
      </c>
      <c r="F3" s="2658"/>
      <c r="G3" s="1145"/>
      <c r="H3" s="1026" t="s">
        <v>1106</v>
      </c>
      <c r="I3" s="855">
        <f>ROUND('数据-基础表'!B3/'数据-基础表'!A3,2)</f>
        <v>2.4900000000000002</v>
      </c>
      <c r="J3" s="2658"/>
      <c r="K3" s="2658"/>
      <c r="L3" s="3470" t="s">
        <v>3428</v>
      </c>
      <c r="M3" s="2658"/>
      <c r="N3" s="2660">
        <f>19721.69+3565.51</f>
        <v>23287.199999999997</v>
      </c>
      <c r="O3" s="2658"/>
      <c r="P3" s="2658"/>
    </row>
    <row r="4" spans="1:16" ht="15">
      <c r="A4" s="3570"/>
      <c r="B4" s="3571"/>
      <c r="C4" s="3572"/>
      <c r="D4" s="1640" t="s">
        <v>1107</v>
      </c>
      <c r="E4" s="1641" t="s">
        <v>1108</v>
      </c>
      <c r="F4" s="2658"/>
      <c r="G4" s="2651" t="s">
        <v>1133</v>
      </c>
      <c r="H4" s="1026" t="s">
        <v>1113</v>
      </c>
      <c r="I4" s="855">
        <f>ROUND(SUMIF('数据-基础表'!I9:AS9,"地上",'数据-基础表'!I5:AS5)/'数据-基础表'!A3,2)</f>
        <v>2.0699999999999998</v>
      </c>
      <c r="J4" s="2658"/>
      <c r="K4" s="2658"/>
      <c r="L4" s="3470" t="s">
        <v>3429</v>
      </c>
      <c r="M4" s="2658"/>
      <c r="N4" s="2660">
        <f>49018.61+8862.14</f>
        <v>57880.75</v>
      </c>
      <c r="O4" s="2658">
        <f>N4/N3</f>
        <v>2.4855177951836205</v>
      </c>
      <c r="P4" s="2658"/>
    </row>
    <row r="5" spans="1:16">
      <c r="A5" s="44" t="s">
        <v>1109</v>
      </c>
      <c r="B5" s="3573" t="s">
        <v>1110</v>
      </c>
      <c r="C5" s="3573"/>
      <c r="D5" s="45">
        <f>ROUND($D$3*E5/$E$3,2)</f>
        <v>0</v>
      </c>
      <c r="E5" s="46">
        <f>SUMIF('数据-基础表'!$11:$11,"住宅",'数据-基础表'!$5:$5)</f>
        <v>0</v>
      </c>
      <c r="F5" s="2658"/>
      <c r="G5" s="1145"/>
      <c r="H5" s="1026" t="s">
        <v>1106</v>
      </c>
      <c r="I5" s="855">
        <f>ROUND(E31/D31,2)</f>
        <v>2.4900000000000002</v>
      </c>
      <c r="J5" s="2658"/>
      <c r="K5" s="2658"/>
      <c r="L5" s="3470" t="s">
        <v>3431</v>
      </c>
      <c r="M5" s="2658"/>
      <c r="N5" s="2658">
        <f>N4-2290.69-2807.52</f>
        <v>52782.54</v>
      </c>
      <c r="O5" s="2658">
        <f>N5/N3</f>
        <v>2.2665902298258276</v>
      </c>
      <c r="P5" s="2658"/>
    </row>
    <row r="6" spans="1:16" ht="15" thickBot="1">
      <c r="A6" s="1643"/>
      <c r="B6" s="3573" t="s">
        <v>1111</v>
      </c>
      <c r="C6" s="3573"/>
      <c r="D6" s="45">
        <f>ROUND($D$3*E6/$E$3,2)</f>
        <v>3565.51</v>
      </c>
      <c r="E6" s="46">
        <f>E3-E5</f>
        <v>8862.14</v>
      </c>
      <c r="F6" s="2658"/>
      <c r="G6" s="2652" t="s">
        <v>1112</v>
      </c>
      <c r="H6" s="1146" t="s">
        <v>1113</v>
      </c>
      <c r="I6" s="2653">
        <f>ROUND(F31/D31,2)</f>
        <v>2.0699999999999998</v>
      </c>
      <c r="J6" s="2658"/>
      <c r="K6" s="2658"/>
      <c r="L6" s="2658"/>
      <c r="M6" s="2658"/>
      <c r="N6" s="2658"/>
      <c r="O6" s="2658"/>
      <c r="P6" s="2658"/>
    </row>
    <row r="7" spans="1:16" ht="15.75" thickBot="1">
      <c r="A7" s="3565"/>
      <c r="B7" s="3566"/>
      <c r="C7" s="356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2971.26</v>
      </c>
      <c r="E8" s="48">
        <f>SUMIF('数据-基础表'!BB10:BK10,"地上",'数据-基础表'!BB5:BK5)</f>
        <v>7385.119999999999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2971.26</v>
      </c>
      <c r="E16" s="50">
        <f>SUM(E8:E15)</f>
        <v>7385.119999999999</v>
      </c>
      <c r="F16" s="2658"/>
      <c r="G16" s="2659"/>
      <c r="H16" s="1647" t="s">
        <v>1135</v>
      </c>
      <c r="I16" s="1648"/>
      <c r="J16" s="1139"/>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9"/>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3426</v>
      </c>
      <c r="D19" s="45">
        <f>ROUND($D$3*E19/$E$3,2)</f>
        <v>3565.51</v>
      </c>
      <c r="E19" s="53">
        <f t="shared" ref="E19:E26" si="1">SUM(F19:G19)</f>
        <v>8862.14</v>
      </c>
      <c r="F19" s="2794">
        <f>'数据-基础表'!I13</f>
        <v>7385.119999999999</v>
      </c>
      <c r="G19" s="2795">
        <f>'数据-基础表'!K13</f>
        <v>1477.02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3565.51</v>
      </c>
      <c r="S19" s="1027">
        <f t="shared" si="5"/>
        <v>8862.14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3565.51</v>
      </c>
      <c r="E27" s="1141">
        <f>IF(SUM(E19:E26)='数据-基础表'!BA5,SUM(E19:E26),IF(F27="地上面积有误","面积有误","地下面积有误"))</f>
        <v>8862.14</v>
      </c>
      <c r="F27" s="1140">
        <f>IF(SUM(F19:F26)=E8,SUM(F19:F26),"地上面积有误")</f>
        <v>7385.119999999999</v>
      </c>
      <c r="G27" s="1142">
        <f>SUM(G19:G26)</f>
        <v>1477.02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3565.51</v>
      </c>
      <c r="S27" s="1026">
        <f>IF(SUM(S19:S26)=$E$3,SUM(S19:S26),SUM(S19:S26)&amp;"误差"&amp;ROUND(SUM(S19:S26)-E3,2))</f>
        <v>8862.14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3565.51</v>
      </c>
      <c r="E31" s="676">
        <f>E27+E30</f>
        <v>8862.14</v>
      </c>
      <c r="F31" s="677">
        <f>F27+F30</f>
        <v>7385.119999999999</v>
      </c>
      <c r="G31" s="678">
        <f>G27+G30</f>
        <v>1477.02</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J28" sqref="AJ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58528</v>
      </c>
      <c r="F6" s="64">
        <f>SUMIF(项目基本情况!C$12:I$12,C6,项目基本情况!C$15:I$15)</f>
        <v>34.97</v>
      </c>
      <c r="G6" s="65">
        <f>IF(ISERROR(ROUND(POWER(1+H6,D6-F6)*(POWER(1+H6,F6)-1)/(POWER(1+H6,D6)-1),3)),0,ROUND(POWER(1+H6,D6-F6)*(POWER(1+H6,F6)-1)/(POWER(1+H6,D6)-1),3))</f>
        <v>0.88300000000000001</v>
      </c>
      <c r="H6" s="732">
        <v>4.4999999999999998E-2</v>
      </c>
      <c r="I6" s="732">
        <v>0.05</v>
      </c>
      <c r="J6" s="66">
        <v>7.0000000000000007E-2</v>
      </c>
      <c r="K6" s="1030">
        <f>SUMIF('数据-汇总表'!C$19:C$33,A6,'数据-汇总表'!E$19:E$33)</f>
        <v>8862.14</v>
      </c>
      <c r="L6" s="733">
        <v>3800</v>
      </c>
      <c r="M6" s="67">
        <f t="shared" ref="M6:M14" si="0">ROUND(K6*L6/10000,0)</f>
        <v>3368</v>
      </c>
      <c r="N6" s="731">
        <f>ROUND(1-(1-0%)*(2025-N19)/60,2)</f>
        <v>0.88</v>
      </c>
      <c r="O6" s="67" t="str">
        <f>IF($N$5="成新度","——",ROUND(M6*N6,0))</f>
        <v>——</v>
      </c>
      <c r="P6" s="68" t="str">
        <f>IF($N$5="成新度","——",M6-O6)</f>
        <v>——</v>
      </c>
      <c r="Q6" s="734">
        <v>0.1</v>
      </c>
      <c r="R6" s="69">
        <f ca="1">SUMIF('数据-汇总表'!C$19:C$33,A6,'数据-汇总表'!R$19:R$27)</f>
        <v>3565.51</v>
      </c>
      <c r="S6" s="51">
        <f>IF('数据-汇总表'!$I$17="按面积比例",SUMIF('数据-汇总表'!C$19:C$33,A6,'数据-汇总表'!K$19:K$33),SUMIF('数据-汇总表'!C$19:C$33,A6,'数据-汇总表'!N$19:N$33))</f>
        <v>0</v>
      </c>
      <c r="T6" s="1172">
        <f>ROUND($L$14*S6/10000,0)</f>
        <v>0</v>
      </c>
      <c r="U6" s="3427">
        <f>V28</f>
        <v>1.21</v>
      </c>
      <c r="V6" s="70">
        <v>1.4999999999999999E-2</v>
      </c>
      <c r="W6" s="70">
        <v>0.1</v>
      </c>
      <c r="X6" s="1040"/>
      <c r="Y6" s="71">
        <f>N6</f>
        <v>0.88</v>
      </c>
      <c r="Z6" s="72"/>
      <c r="AA6" s="66"/>
      <c r="AB6" s="66"/>
      <c r="AC6" s="1040"/>
      <c r="AD6" s="73"/>
      <c r="AE6" s="1041">
        <f ca="1">IF(AN6="",0,SUMIF(INDIRECT("'"&amp;AN6&amp;"'"&amp;"!E:E"),$AE$5,INDIRECT("'"&amp;AN6&amp;"'"&amp;"!F:F")))</f>
        <v>34.97</v>
      </c>
      <c r="AF6" s="1347"/>
      <c r="AG6" s="138">
        <f>IF(AF6="",0,AE6-AF6)</f>
        <v>0</v>
      </c>
      <c r="AH6" s="74"/>
      <c r="AI6" s="76">
        <v>365</v>
      </c>
      <c r="AJ6" s="77"/>
      <c r="AK6" s="78">
        <v>3.0000000000000001E-3</v>
      </c>
      <c r="AL6" s="79">
        <v>1E-3</v>
      </c>
      <c r="AM6" s="80">
        <v>0.01</v>
      </c>
      <c r="AN6" s="1714" t="s">
        <v>3461</v>
      </c>
      <c r="AO6" s="52">
        <f ca="1">SUMIF(INDIRECT("'"&amp;AN6&amp;"'"&amp;"!A:A"),"总价",INDIRECT("'"&amp;AN6&amp;"'"&amp;"!B:B"))</f>
        <v>5527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0.88300000000000001</v>
      </c>
      <c r="H16" s="90">
        <f>ROUND(SUMPRODUCT(H6:H13,K6:K13)/SUMPRODUCT((H6:H13&gt;0)*(K6:K13)),3)</f>
        <v>4.4999999999999998E-2</v>
      </c>
      <c r="I16" s="91"/>
      <c r="J16" s="91"/>
      <c r="K16" s="92">
        <f>SUM(K6:K15)</f>
        <v>8862.14</v>
      </c>
      <c r="L16" s="93">
        <f>ROUND(M16*10000/SUM(K6:K14),0)</f>
        <v>3800</v>
      </c>
      <c r="M16" s="93">
        <f>SUM(M6:M14)</f>
        <v>3368</v>
      </c>
      <c r="N16" s="94">
        <f>ROUND(SUMPRODUCT(M6:M14,N6:N14)/M16,3)</f>
        <v>0.88</v>
      </c>
      <c r="O16" s="93">
        <f>SUM(O6:O14)</f>
        <v>0</v>
      </c>
      <c r="P16" s="93">
        <f>SUM(P6:P14)</f>
        <v>0</v>
      </c>
      <c r="Q16" s="95">
        <f>ROUND(SUMPRODUCT(Q6:Q13,K6:K13)/SUMPRODUCT((Q6:Q13&gt;0)*(K6:K13)),2)</f>
        <v>0.1</v>
      </c>
      <c r="R16" s="1034">
        <f ca="1">SUM(R6:R13)</f>
        <v>3565.51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v>2018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c r="O20" s="2670"/>
      <c r="P20" s="2670"/>
      <c r="Q20" s="2670"/>
      <c r="R20" s="2670"/>
      <c r="S20" s="3466" t="s">
        <v>3487</v>
      </c>
      <c r="T20" s="3466"/>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t="s">
        <v>3416</v>
      </c>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t="s">
        <v>3417</v>
      </c>
      <c r="T22" s="3467"/>
      <c r="U22" s="3467"/>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T23" s="2671"/>
      <c r="U23" s="2671"/>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T24" s="2671"/>
      <c r="U24" s="2671"/>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1"/>
      <c r="T25" s="3467" t="s">
        <v>3639</v>
      </c>
      <c r="U25" s="3467" t="s">
        <v>3637</v>
      </c>
      <c r="V25" s="3467" t="s">
        <v>3638</v>
      </c>
      <c r="W25" s="3467" t="s">
        <v>3642</v>
      </c>
      <c r="X25" s="3467"/>
      <c r="Y25" s="2671"/>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3467" t="s">
        <v>3645</v>
      </c>
      <c r="T26" s="3467" t="s">
        <v>3640</v>
      </c>
      <c r="U26" s="2671">
        <f>'数据-汇总表'!F19</f>
        <v>7385.119999999999</v>
      </c>
      <c r="V26" s="2671">
        <v>1.3</v>
      </c>
      <c r="W26" s="2671">
        <v>1</v>
      </c>
      <c r="X26" s="2671">
        <f>V26*U26</f>
        <v>9600.655999999999</v>
      </c>
      <c r="Y26" s="2671"/>
      <c r="Z26" s="2670" t="s">
        <v>3643</v>
      </c>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3467" t="s">
        <v>3644</v>
      </c>
      <c r="T27" s="3467" t="s">
        <v>3641</v>
      </c>
      <c r="U27" s="2671">
        <f>'数据-汇总表'!G19</f>
        <v>1477.02</v>
      </c>
      <c r="V27" s="2671">
        <f>V26*W27</f>
        <v>0.78</v>
      </c>
      <c r="W27" s="2671">
        <v>0.6</v>
      </c>
      <c r="X27" s="2671">
        <f>V27*U27</f>
        <v>1152.0756000000001</v>
      </c>
      <c r="Y27" s="2671"/>
      <c r="Z27" s="3466" t="s">
        <v>3646</v>
      </c>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1"/>
      <c r="T28" s="2671"/>
      <c r="U28" s="2671">
        <f>U26+U27</f>
        <v>8862.14</v>
      </c>
      <c r="V28" s="2671">
        <f>ROUND(X28/U28,2)</f>
        <v>1.21</v>
      </c>
      <c r="W28" s="2671"/>
      <c r="X28" s="2671">
        <f>X26+X27</f>
        <v>10752.731599999999</v>
      </c>
      <c r="Y28" s="2671"/>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177</v>
      </c>
      <c r="C29" s="2801" t="s">
        <v>2294</v>
      </c>
      <c r="D29" s="2678"/>
      <c r="E29" s="2660"/>
      <c r="F29" s="2660"/>
      <c r="G29" s="2672"/>
      <c r="H29" s="2672"/>
      <c r="I29" s="2672"/>
      <c r="J29" s="2672"/>
      <c r="K29" s="2671"/>
      <c r="L29" s="2671"/>
      <c r="M29" s="2670"/>
      <c r="N29" s="2670"/>
      <c r="O29" s="2670"/>
      <c r="P29" s="2670"/>
      <c r="Q29" s="2670"/>
      <c r="R29" s="2670"/>
      <c r="S29" s="3466"/>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3469" t="s">
        <v>3422</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4" t="s">
        <v>2286</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workbookViewId="0">
      <selection activeCell="E19" sqref="E19"/>
    </sheetView>
  </sheetViews>
  <sheetFormatPr defaultRowHeight="13.5"/>
  <cols>
    <col min="1" max="1" width="9" style="3253"/>
    <col min="2" max="2" width="33.75" style="3253" customWidth="1"/>
    <col min="3" max="3" width="21" style="3253" customWidth="1"/>
    <col min="4" max="4" width="11.875" style="3253" customWidth="1"/>
    <col min="5" max="5" width="21.125" style="3253" customWidth="1"/>
    <col min="6" max="16384" width="9" style="3253"/>
  </cols>
  <sheetData>
    <row r="3" spans="2:6">
      <c r="B3" s="3471" t="s">
        <v>3434</v>
      </c>
      <c r="C3" s="3472" t="s">
        <v>3435</v>
      </c>
      <c r="D3" s="3472" t="s">
        <v>3436</v>
      </c>
      <c r="E3" s="3472" t="s">
        <v>3437</v>
      </c>
    </row>
    <row r="4" spans="2:6">
      <c r="B4" s="3471" t="s">
        <v>3438</v>
      </c>
      <c r="C4" s="3473" t="s">
        <v>3439</v>
      </c>
      <c r="D4" s="3473">
        <v>194.87</v>
      </c>
      <c r="E4" s="3472">
        <v>1.39</v>
      </c>
      <c r="F4" s="3253">
        <f>D4*E4</f>
        <v>270.86930000000001</v>
      </c>
    </row>
    <row r="5" spans="2:6">
      <c r="B5" s="3471" t="s">
        <v>3438</v>
      </c>
      <c r="C5" s="3473" t="s">
        <v>3440</v>
      </c>
      <c r="D5" s="3473">
        <v>165.13</v>
      </c>
      <c r="E5" s="3472">
        <v>1.1299999999999999</v>
      </c>
      <c r="F5" s="3253">
        <f t="shared" ref="F5:F16" si="0">D5*E5</f>
        <v>186.59689999999998</v>
      </c>
    </row>
    <row r="6" spans="2:6">
      <c r="B6" s="3474" t="s">
        <v>3441</v>
      </c>
      <c r="C6" s="3473" t="s">
        <v>3442</v>
      </c>
      <c r="D6" s="3473">
        <v>88.92</v>
      </c>
      <c r="E6" s="3472">
        <v>1.64</v>
      </c>
      <c r="F6" s="3253">
        <f t="shared" si="0"/>
        <v>145.8288</v>
      </c>
    </row>
    <row r="7" spans="2:6">
      <c r="B7" s="3474" t="s">
        <v>3443</v>
      </c>
      <c r="C7" s="3473" t="s">
        <v>3444</v>
      </c>
      <c r="D7" s="3473">
        <v>328.28</v>
      </c>
      <c r="E7" s="3472">
        <v>1.1299999999999999</v>
      </c>
      <c r="F7" s="3253">
        <f t="shared" si="0"/>
        <v>370.95639999999992</v>
      </c>
    </row>
    <row r="8" spans="2:6">
      <c r="B8" s="3471" t="s">
        <v>3445</v>
      </c>
      <c r="C8" s="3473" t="s">
        <v>3446</v>
      </c>
      <c r="D8" s="3473">
        <v>90.55</v>
      </c>
      <c r="E8" s="3472">
        <v>1.5</v>
      </c>
      <c r="F8" s="3253">
        <f t="shared" si="0"/>
        <v>135.82499999999999</v>
      </c>
    </row>
    <row r="9" spans="2:6">
      <c r="B9" s="3474" t="s">
        <v>3447</v>
      </c>
      <c r="C9" s="3473" t="s">
        <v>3448</v>
      </c>
      <c r="D9" s="3473">
        <v>90.55</v>
      </c>
      <c r="E9" s="3472">
        <v>1.39</v>
      </c>
      <c r="F9" s="3253">
        <f t="shared" si="0"/>
        <v>125.86449999999999</v>
      </c>
    </row>
    <row r="10" spans="2:6">
      <c r="B10" s="3474" t="s">
        <v>3449</v>
      </c>
      <c r="C10" s="3473" t="s">
        <v>3450</v>
      </c>
      <c r="D10" s="3473">
        <v>194.87</v>
      </c>
      <c r="E10" s="3472">
        <v>1.1000000000000001</v>
      </c>
      <c r="F10" s="3253">
        <f t="shared" si="0"/>
        <v>214.35700000000003</v>
      </c>
    </row>
    <row r="11" spans="2:6">
      <c r="B11" s="3474" t="s">
        <v>3451</v>
      </c>
      <c r="C11" s="3473" t="s">
        <v>3452</v>
      </c>
      <c r="D11" s="3473">
        <v>88.46</v>
      </c>
      <c r="E11" s="3472">
        <v>1.28</v>
      </c>
      <c r="F11" s="3253">
        <f t="shared" si="0"/>
        <v>113.22879999999999</v>
      </c>
    </row>
    <row r="12" spans="2:6">
      <c r="B12" s="3474" t="s">
        <v>3453</v>
      </c>
      <c r="C12" s="3473" t="s">
        <v>3454</v>
      </c>
      <c r="D12" s="3473">
        <v>195.57</v>
      </c>
      <c r="E12" s="3472">
        <v>1.06</v>
      </c>
      <c r="F12" s="3253">
        <f t="shared" si="0"/>
        <v>207.30420000000001</v>
      </c>
    </row>
    <row r="13" spans="2:6">
      <c r="B13" s="3474" t="s">
        <v>3455</v>
      </c>
      <c r="C13" s="3473" t="s">
        <v>3456</v>
      </c>
      <c r="D13" s="3473">
        <v>165.62</v>
      </c>
      <c r="E13" s="3472">
        <v>1.01</v>
      </c>
      <c r="F13" s="3253">
        <f t="shared" si="0"/>
        <v>167.27620000000002</v>
      </c>
    </row>
    <row r="14" spans="2:6">
      <c r="B14" s="3474" t="s">
        <v>3457</v>
      </c>
      <c r="C14" s="3473" t="s">
        <v>3458</v>
      </c>
      <c r="D14" s="3473">
        <v>195.57</v>
      </c>
      <c r="E14" s="3472">
        <v>1.19</v>
      </c>
      <c r="F14" s="3253">
        <f t="shared" si="0"/>
        <v>232.72829999999999</v>
      </c>
    </row>
    <row r="15" spans="2:6">
      <c r="B15" s="3474" t="s">
        <v>3447</v>
      </c>
      <c r="C15" s="3473" t="s">
        <v>3448</v>
      </c>
      <c r="D15" s="3473">
        <v>90.55</v>
      </c>
      <c r="E15" s="3472">
        <v>1.59</v>
      </c>
      <c r="F15" s="3253">
        <f t="shared" si="0"/>
        <v>143.97450000000001</v>
      </c>
    </row>
    <row r="16" spans="2:6">
      <c r="B16" s="3474" t="s">
        <v>3459</v>
      </c>
      <c r="C16" s="3473" t="s">
        <v>3460</v>
      </c>
      <c r="D16" s="3473">
        <v>194.87</v>
      </c>
      <c r="E16" s="3472">
        <v>1.06</v>
      </c>
      <c r="F16" s="3253">
        <f t="shared" si="0"/>
        <v>206.56220000000002</v>
      </c>
    </row>
    <row r="17" spans="4:6">
      <c r="D17" s="3253">
        <f>SUM(D4:D16)</f>
        <v>2083.81</v>
      </c>
      <c r="E17" s="3475">
        <f>F17/D17</f>
        <v>1.2099817641723571</v>
      </c>
      <c r="F17" s="3253">
        <f>SUM(F4:F16)</f>
        <v>2521.3720999999996</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1" sqref="D2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8862.14</v>
      </c>
      <c r="C1" s="2685"/>
      <c r="D1" s="2685"/>
      <c r="E1" s="2685"/>
      <c r="F1" s="2685"/>
      <c r="G1" s="2686"/>
      <c r="H1" s="2687"/>
      <c r="I1" s="2687"/>
      <c r="J1" s="2687"/>
      <c r="K1" s="2687"/>
    </row>
    <row r="2" spans="1:11" ht="16.5">
      <c r="A2" s="2511" t="s">
        <v>653</v>
      </c>
      <c r="B2" s="2511">
        <f>SUM(C14:C23)</f>
        <v>3565.51</v>
      </c>
      <c r="C2" s="2685"/>
      <c r="D2" s="2685"/>
      <c r="E2" s="2685"/>
      <c r="F2" s="2685"/>
      <c r="G2" s="2686"/>
      <c r="H2" s="2687"/>
      <c r="I2" s="2687"/>
      <c r="J2" s="2687"/>
      <c r="K2" s="2687"/>
    </row>
    <row r="3" spans="1:11" ht="16.5">
      <c r="A3" s="2511" t="s">
        <v>662</v>
      </c>
      <c r="B3" s="2513">
        <f>项目基本情况!D3</f>
        <v>45763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5629</v>
      </c>
      <c r="C5" s="2511">
        <f ca="1">IF(B5=D14,结果表!H102,ROUND(B5*10000/$B$1,0))</f>
        <v>6352</v>
      </c>
      <c r="D5" s="2511">
        <f ca="1">ROUND(B5*10000/$B$2,0)</f>
        <v>15787</v>
      </c>
      <c r="E5" s="2685"/>
      <c r="F5" s="2686"/>
      <c r="G5" s="2686"/>
      <c r="H5" s="2687"/>
      <c r="I5" s="2687"/>
      <c r="J5" s="2687"/>
      <c r="K5" s="2687"/>
    </row>
    <row r="6" spans="1:11" ht="16.5">
      <c r="A6" s="2511" t="s">
        <v>656</v>
      </c>
      <c r="B6" s="2511">
        <f ca="1">SUM(G14:G23)</f>
        <v>5629</v>
      </c>
      <c r="C6" s="2511">
        <f ca="1">IF(B6=G14,结果表!H108,ROUND(B6*10000/$B$1,0))</f>
        <v>6352</v>
      </c>
      <c r="D6" s="2511">
        <f ca="1">ROUND(B6*10000/$B$2,0)</f>
        <v>15787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8862.14</v>
      </c>
      <c r="C14" s="2517">
        <f>'数据-汇总表'!D3</f>
        <v>3565.51</v>
      </c>
      <c r="D14" s="2517">
        <f ca="1">结果表!H101</f>
        <v>5629</v>
      </c>
      <c r="E14" s="2517">
        <f ca="1">ROUND(D14*10000/B14,0)</f>
        <v>6352</v>
      </c>
      <c r="F14" s="2517">
        <f ca="1">ROUND(D14*10000/C14,0)</f>
        <v>15787</v>
      </c>
      <c r="G14" s="2517">
        <f ca="1">结果表!H107</f>
        <v>5629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K21" sqref="K2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0" t="str">
        <f>项目基本情况!S2</f>
        <v>北京市顺义区仁和园二街4号院6号楼-1至5层101工业用房房地产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3" t="s">
        <v>1265</v>
      </c>
      <c r="B4" s="1754" t="s">
        <v>1266</v>
      </c>
      <c r="C4" s="1755" t="s">
        <v>3486</v>
      </c>
      <c r="D4" s="1755" t="s">
        <v>3461</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577">
        <v>25</v>
      </c>
      <c r="C5" s="3593"/>
      <c r="D5" s="3613"/>
      <c r="E5" s="131" t="s">
        <v>1269</v>
      </c>
      <c r="F5" s="1756"/>
      <c r="G5" s="1756"/>
      <c r="H5" s="1756"/>
      <c r="I5" s="1372"/>
    </row>
    <row r="6" spans="1:12" ht="12.75">
      <c r="A6" s="3590"/>
      <c r="B6" s="3577"/>
      <c r="C6" s="3594"/>
      <c r="D6" s="3613"/>
      <c r="E6" s="131" t="s">
        <v>1270</v>
      </c>
      <c r="F6" s="1756"/>
      <c r="G6" s="1756"/>
      <c r="H6" s="1756"/>
      <c r="I6" s="1372"/>
    </row>
    <row r="7" spans="1:12" ht="12.75">
      <c r="A7" s="3590"/>
      <c r="B7" s="3577"/>
      <c r="C7" s="3595"/>
      <c r="D7" s="3613"/>
      <c r="E7" s="131" t="s">
        <v>1271</v>
      </c>
      <c r="F7" s="1756"/>
      <c r="G7" s="1756"/>
      <c r="H7" s="1756"/>
      <c r="I7" s="1372"/>
    </row>
    <row r="8" spans="1:12" ht="12.75">
      <c r="A8" s="3590" t="s">
        <v>1272</v>
      </c>
      <c r="B8" s="3577">
        <v>15</v>
      </c>
      <c r="C8" s="3593"/>
      <c r="D8" s="3613"/>
      <c r="E8" s="131" t="s">
        <v>1273</v>
      </c>
      <c r="F8" s="1756"/>
      <c r="G8" s="1756"/>
      <c r="H8" s="1756"/>
      <c r="I8" s="1372"/>
    </row>
    <row r="9" spans="1:12" ht="12.75">
      <c r="A9" s="3590"/>
      <c r="B9" s="3577"/>
      <c r="C9" s="3595"/>
      <c r="D9" s="3613"/>
      <c r="E9" s="131" t="s">
        <v>1274</v>
      </c>
      <c r="F9" s="1756"/>
      <c r="G9" s="1756"/>
      <c r="H9" s="1756"/>
      <c r="I9" s="1372"/>
    </row>
    <row r="10" spans="1:12" ht="12.75">
      <c r="A10" s="3590" t="s">
        <v>1275</v>
      </c>
      <c r="B10" s="3577">
        <v>15</v>
      </c>
      <c r="C10" s="3593"/>
      <c r="D10" s="3613"/>
      <c r="E10" s="131" t="s">
        <v>1276</v>
      </c>
      <c r="F10" s="1756"/>
      <c r="G10" s="1756"/>
      <c r="H10" s="1756"/>
      <c r="I10" s="1372"/>
    </row>
    <row r="11" spans="1:12" ht="12.75">
      <c r="A11" s="3590"/>
      <c r="B11" s="3577"/>
      <c r="C11" s="3595"/>
      <c r="D11" s="3613"/>
      <c r="E11" s="131" t="s">
        <v>1277</v>
      </c>
      <c r="F11" s="1756"/>
      <c r="G11" s="1756"/>
      <c r="H11" s="1756"/>
      <c r="I11" s="1372"/>
    </row>
    <row r="12" spans="1:12" ht="12.75">
      <c r="A12" s="3590" t="s">
        <v>1278</v>
      </c>
      <c r="B12" s="3577">
        <v>15</v>
      </c>
      <c r="C12" s="3593"/>
      <c r="D12" s="3613"/>
      <c r="E12" s="131" t="s">
        <v>1279</v>
      </c>
      <c r="F12" s="1756"/>
      <c r="G12" s="1756"/>
      <c r="H12" s="1756"/>
      <c r="I12" s="1372"/>
    </row>
    <row r="13" spans="1:12" ht="12.75">
      <c r="A13" s="3590"/>
      <c r="B13" s="3577"/>
      <c r="C13" s="3595"/>
      <c r="D13" s="3613"/>
      <c r="E13" s="131" t="s">
        <v>1280</v>
      </c>
      <c r="F13" s="1756"/>
      <c r="G13" s="1756"/>
      <c r="H13" s="1756"/>
      <c r="I13" s="1372"/>
    </row>
    <row r="14" spans="1:12" ht="12.75">
      <c r="A14" s="3590" t="s">
        <v>1281</v>
      </c>
      <c r="B14" s="3577">
        <v>30</v>
      </c>
      <c r="C14" s="3593">
        <v>5</v>
      </c>
      <c r="D14" s="3613">
        <v>5</v>
      </c>
      <c r="E14" s="131" t="s">
        <v>1282</v>
      </c>
      <c r="F14" s="1756"/>
      <c r="G14" s="1756"/>
      <c r="H14" s="1756"/>
      <c r="I14" s="1372"/>
    </row>
    <row r="15" spans="1:12" ht="12.75">
      <c r="A15" s="3590"/>
      <c r="B15" s="3577"/>
      <c r="C15" s="3594"/>
      <c r="D15" s="3613"/>
      <c r="E15" s="131" t="s">
        <v>1283</v>
      </c>
      <c r="F15" s="1756"/>
      <c r="G15" s="1756"/>
      <c r="H15" s="1756"/>
      <c r="I15" s="1372"/>
    </row>
    <row r="16" spans="1:12" ht="12.75">
      <c r="A16" s="3590"/>
      <c r="B16" s="3577"/>
      <c r="C16" s="3595"/>
      <c r="D16" s="3613"/>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00" t="s">
        <v>2131</v>
      </c>
      <c r="F18" s="3601"/>
      <c r="G18" s="3601"/>
      <c r="H18" s="3601"/>
      <c r="I18" s="3601"/>
      <c r="K18" s="302" t="s">
        <v>1289</v>
      </c>
      <c r="L18" s="302">
        <f>IF(C1="",'数据-汇总表'!E3,SUMIF(项目类型,C1,'数据-汇总表'!E17:E26)+SUMIF(项目类型,C1,'数据-汇总表'!I17:I26))</f>
        <v>8862.14</v>
      </c>
      <c r="M18" s="302">
        <f>IF(C1="",'数据-汇总表'!E3,SUMIF(项目类型,C1,'数据-汇总表'!E17:E26))</f>
        <v>8862.14</v>
      </c>
    </row>
    <row r="19" spans="1:36" ht="15">
      <c r="A19" s="1760" t="s">
        <v>1290</v>
      </c>
      <c r="B19" s="1761" t="s">
        <v>1291</v>
      </c>
      <c r="C19" s="134">
        <f ca="1">SUMIF(INDIRECT("'"&amp;C4&amp;"'"&amp;"!A:A"),结果表!B19,INDIRECT("'"&amp;C4&amp;"'"&amp;"!B:B"))</f>
        <v>5730</v>
      </c>
      <c r="D19" s="135">
        <f ca="1">SUMIF(INDIRECT("'"&amp;D4&amp;"'"&amp;"!A:A"),结果表!B19,INDIRECT("'"&amp;D4&amp;"'"&amp;"!B:B"))</f>
        <v>5527</v>
      </c>
      <c r="E19" s="1760" t="s">
        <v>1292</v>
      </c>
      <c r="F19" s="1761" t="s">
        <v>1291</v>
      </c>
      <c r="G19" s="136">
        <f ca="1">ROUND(C19*$C$18+D19*$D$18,0)</f>
        <v>5629</v>
      </c>
      <c r="H19" s="1762" t="s">
        <v>1293</v>
      </c>
      <c r="I19" s="129"/>
      <c r="J19" s="725">
        <v>5600</v>
      </c>
      <c r="K19" s="302" t="s">
        <v>1294</v>
      </c>
      <c r="L19" s="302">
        <f>IF(C1="",'数据-汇总表'!D3,SUMIF(项目类型,C1,'数据-汇总表'!D17:D26)+SUMIF(项目类型,C1,'数据-汇总表'!H17:H27))</f>
        <v>3565.51</v>
      </c>
      <c r="M19" s="302">
        <f>IF(C1="",'数据-汇总表'!D3,SUMIF(项目类型,C1,'数据-汇总表'!D17:D26))</f>
        <v>3565.51</v>
      </c>
    </row>
    <row r="20" spans="1:36" ht="15">
      <c r="A20" s="1763"/>
      <c r="B20" s="1026" t="s">
        <v>1295</v>
      </c>
      <c r="C20" s="137">
        <f ca="1">SUMIF(INDIRECT("'"&amp;C4&amp;"'"&amp;"!A:A"),结果表!B20,INDIRECT("'"&amp;C4&amp;"'"&amp;"!B:B"))</f>
        <v>6466</v>
      </c>
      <c r="D20" s="138">
        <f ca="1">SUMIF(INDIRECT("'"&amp;D4&amp;"'"&amp;"!A:A"),结果表!B20,INDIRECT("'"&amp;D4&amp;"'"&amp;"!B:B"))</f>
        <v>6237</v>
      </c>
      <c r="E20" s="1763"/>
      <c r="F20" s="1026" t="s">
        <v>1295</v>
      </c>
      <c r="G20" s="139">
        <f ca="1">ROUND(C20*$C$18+D20*$D$18,0)</f>
        <v>6352</v>
      </c>
      <c r="H20" s="808" t="s">
        <v>1296</v>
      </c>
      <c r="I20" s="129"/>
    </row>
    <row r="21" spans="1:36" ht="15" customHeight="1" thickBot="1">
      <c r="A21" s="828"/>
      <c r="B21" s="1764" t="s">
        <v>1297</v>
      </c>
      <c r="C21" s="719">
        <f ca="1">ROUND(C19*10000/L19,0)</f>
        <v>16071</v>
      </c>
      <c r="D21" s="720">
        <f ca="1">ROUND(D19*10000/L19,0)</f>
        <v>15501</v>
      </c>
      <c r="E21" s="828"/>
      <c r="F21" s="1764" t="s">
        <v>1297</v>
      </c>
      <c r="G21" s="140">
        <f ca="1">ROUND(G19*10000/L19,0)</f>
        <v>15787</v>
      </c>
      <c r="H21" s="1765" t="s">
        <v>1296</v>
      </c>
      <c r="I21" s="129"/>
    </row>
    <row r="22" spans="1:36" ht="15" thickBot="1">
      <c r="A22" s="1687" t="s">
        <v>1298</v>
      </c>
      <c r="B22" s="1766"/>
      <c r="C22" s="1767"/>
      <c r="D22" s="721">
        <f ca="1">IF(C19&lt;D19,D19/C19-1,C19/D19-1)</f>
        <v>3.6728785959833532E-2</v>
      </c>
      <c r="E22" s="129"/>
      <c r="F22" s="129"/>
      <c r="G22" s="129"/>
      <c r="H22" s="129"/>
      <c r="I22" s="129"/>
    </row>
    <row r="23" spans="1:36" ht="13.5" thickBot="1">
      <c r="A23" s="1746"/>
      <c r="B23" s="1746"/>
      <c r="C23" s="1746"/>
      <c r="D23" s="1746"/>
      <c r="E23" s="129"/>
      <c r="F23" s="129"/>
      <c r="G23" s="129"/>
      <c r="H23" s="129"/>
      <c r="I23" s="129"/>
    </row>
    <row r="24" spans="1:36" ht="14.25">
      <c r="A24" s="3584" t="s">
        <v>1299</v>
      </c>
      <c r="B24" s="1761" t="s">
        <v>1291</v>
      </c>
      <c r="C24" s="136">
        <f>IF(B30=0,0,D30)</f>
        <v>0</v>
      </c>
      <c r="D24" s="1768"/>
      <c r="E24" s="129"/>
      <c r="F24" s="129"/>
      <c r="G24" s="129"/>
      <c r="H24" s="129"/>
      <c r="I24" s="129"/>
    </row>
    <row r="25" spans="1:36" ht="14.25">
      <c r="A25" s="358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5629</v>
      </c>
      <c r="D32" s="1774" t="s">
        <v>3484</v>
      </c>
      <c r="E32" s="129"/>
      <c r="F32" s="129"/>
      <c r="G32" s="129"/>
      <c r="H32" s="129"/>
      <c r="I32" s="129"/>
    </row>
    <row r="33" spans="1:15" ht="15">
      <c r="A33" s="786" t="s">
        <v>1306</v>
      </c>
      <c r="B33" s="1775"/>
      <c r="C33" s="1776" t="s">
        <v>3485</v>
      </c>
      <c r="D33" s="1777" t="s">
        <v>3486</v>
      </c>
      <c r="E33" s="1778" t="s">
        <v>1307</v>
      </c>
      <c r="F33" s="1779" t="str">
        <f>IF(D32="楼面单价","取值（单价）","取值（总价）")</f>
        <v>取值（总价）</v>
      </c>
      <c r="G33" s="129"/>
      <c r="H33" s="129"/>
      <c r="I33" s="129"/>
    </row>
    <row r="34" spans="1:15" ht="15">
      <c r="A34" s="1780"/>
      <c r="B34" s="1781" t="s">
        <v>1308</v>
      </c>
      <c r="C34" s="148">
        <f ca="1">IF(C33="自定义",F34,C32-C35)</f>
        <v>1554</v>
      </c>
      <c r="D34" s="861">
        <f ca="1">IF(C33="自定义",ROUND(C34/C32,3),IF(C33="收益比率",SUMIF(INDIRECT("'"&amp;D33&amp;"'"&amp;"!b:b"),"土地收益比率",INDIRECT("'"&amp;D33&amp;"'"&amp;"!c:c")),SUMIF(INDIRECT("'"&amp;D33&amp;"'"&amp;"!b:b"),"土地成本比率",INDIRECT("'"&amp;D33&amp;"'"&amp;"!c:c"))))</f>
        <v>0.27600000000000002</v>
      </c>
      <c r="E34" s="1782" t="s">
        <v>1309</v>
      </c>
      <c r="F34" s="1329"/>
      <c r="G34" s="129"/>
      <c r="H34" s="129"/>
      <c r="I34" s="129"/>
    </row>
    <row r="35" spans="1:15" ht="15.75" thickBot="1">
      <c r="A35" s="1783"/>
      <c r="B35" s="1784" t="s">
        <v>1310</v>
      </c>
      <c r="C35" s="1170">
        <f ca="1">IF(C33="自定义",F35,ROUND(C32*D35,0))</f>
        <v>4075</v>
      </c>
      <c r="D35" s="1171">
        <f ca="1">IF(C33="自定义",ROUND(C35/C32,3),IF(C33="收益比率",SUMIF(INDIRECT("'"&amp;D33&amp;"'"&amp;"!b:b"),"建筑物收益比率",INDIRECT("'"&amp;D33&amp;"'"&amp;"!c:c")),SUMIF(INDIRECT("'"&amp;D33&amp;"'"&amp;"!b:b"),"建筑物成本比率",INDIRECT("'"&amp;D33&amp;"'"&amp;"!c:c"))))</f>
        <v>0.72399999999999998</v>
      </c>
      <c r="E35" s="1785" t="s">
        <v>1311</v>
      </c>
      <c r="F35" s="154"/>
      <c r="G35" s="129"/>
      <c r="H35" s="129"/>
      <c r="I35" s="129"/>
    </row>
    <row r="36" spans="1:15" ht="15.75" thickBot="1">
      <c r="A36" s="3604" t="s">
        <v>1312</v>
      </c>
      <c r="B36" s="1786" t="s">
        <v>1313</v>
      </c>
      <c r="C36" s="145"/>
      <c r="D36" s="1787"/>
      <c r="E36" s="1788"/>
      <c r="F36" s="1789"/>
      <c r="G36" s="129"/>
      <c r="H36" s="129"/>
      <c r="I36" s="129"/>
    </row>
    <row r="37" spans="1:15" ht="15.75" thickBot="1">
      <c r="A37" s="3605"/>
      <c r="B37" s="1673" t="s">
        <v>1314</v>
      </c>
      <c r="C37" s="147"/>
      <c r="D37" s="1139"/>
      <c r="E37" s="1139"/>
      <c r="F37" s="1789"/>
      <c r="G37" s="129"/>
      <c r="H37" s="129"/>
      <c r="I37" s="129"/>
    </row>
    <row r="38" spans="1:15" ht="15.75" thickBot="1">
      <c r="A38" s="3606"/>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1" t="s">
        <v>1326</v>
      </c>
      <c r="B45" s="3582"/>
      <c r="C45" s="3583"/>
      <c r="D45" s="155">
        <f ca="1">ROUND(H101*F45,0)</f>
        <v>5629</v>
      </c>
      <c r="E45" s="156" t="s">
        <v>1327</v>
      </c>
      <c r="F45" s="157">
        <v>1</v>
      </c>
      <c r="G45" s="158" t="s">
        <v>1328</v>
      </c>
      <c r="H45" s="129"/>
      <c r="I45" s="129"/>
      <c r="J45" s="3659" t="s">
        <v>1329</v>
      </c>
      <c r="K45" s="3659"/>
      <c r="L45" s="3659"/>
      <c r="M45" s="3659"/>
      <c r="N45" s="3659"/>
      <c r="O45" s="3659"/>
    </row>
    <row r="46" spans="1:15" ht="14.25" customHeight="1">
      <c r="A46" s="3578" t="s">
        <v>1330</v>
      </c>
      <c r="B46" s="3579"/>
      <c r="C46" s="3579"/>
      <c r="D46" s="3579"/>
      <c r="E46" s="3579"/>
      <c r="F46" s="3579"/>
      <c r="G46" s="3580"/>
      <c r="H46" s="1805"/>
      <c r="I46" s="159"/>
      <c r="J46" s="2522">
        <v>1</v>
      </c>
      <c r="K46" s="3640" t="s">
        <v>1331</v>
      </c>
      <c r="L46" s="3640"/>
      <c r="M46" s="3660"/>
      <c r="N46" s="3660"/>
      <c r="O46" s="3660"/>
    </row>
    <row r="47" spans="1:15" ht="12" customHeight="1">
      <c r="A47" s="160" t="s">
        <v>1332</v>
      </c>
      <c r="B47" s="161"/>
      <c r="C47" s="162"/>
      <c r="D47" s="1087" t="s">
        <v>1333</v>
      </c>
      <c r="E47" s="302" t="s">
        <v>1334</v>
      </c>
      <c r="F47" s="163" t="s">
        <v>1335</v>
      </c>
      <c r="G47" s="2545" t="s">
        <v>1336</v>
      </c>
      <c r="H47" s="2546"/>
      <c r="I47" s="159"/>
      <c r="J47" s="2522">
        <v>2</v>
      </c>
      <c r="K47" s="3640" t="s">
        <v>1337</v>
      </c>
      <c r="L47" s="3640"/>
      <c r="M47" s="3661">
        <f>'数据-取费表'!B2</f>
        <v>45763</v>
      </c>
      <c r="N47" s="3661"/>
      <c r="O47" s="3661"/>
    </row>
    <row r="48" spans="1:15" ht="25.5">
      <c r="A48" s="3609" t="s">
        <v>1338</v>
      </c>
      <c r="B48" s="3592"/>
      <c r="C48" s="3592"/>
      <c r="D48" s="2323">
        <f ca="1">IF(H48="情况1",0,IF(H48="情况2",D52,IF(H48="情况3",D53,IF(H48="情况4",D54))))</f>
        <v>295</v>
      </c>
      <c r="E48" s="2333" t="str">
        <f>IF(H48="情况4","(销售额-原购置价)×税（费）率","销售额×税（费）率")</f>
        <v>销售额×税（费）率</v>
      </c>
      <c r="F48" s="2547">
        <f>IF(H48="情况1","免征",'数据-取费表'!B41)</f>
        <v>5.5000000000000007E-2</v>
      </c>
      <c r="G48" s="2548" t="s">
        <v>1339</v>
      </c>
      <c r="H48" s="2549" t="s">
        <v>3480</v>
      </c>
      <c r="I48" s="1805"/>
      <c r="J48" s="2522">
        <v>3</v>
      </c>
      <c r="K48" s="3640" t="s">
        <v>1340</v>
      </c>
      <c r="L48" s="3640"/>
      <c r="M48" s="3662">
        <f ca="1">H101</f>
        <v>5629</v>
      </c>
      <c r="N48" s="3662"/>
      <c r="O48" s="3662"/>
    </row>
    <row r="49" spans="1:35" ht="25.5" customHeight="1">
      <c r="A49" s="2332" t="s">
        <v>1341</v>
      </c>
      <c r="B49" s="3576" t="s">
        <v>1342</v>
      </c>
      <c r="C49" s="3576"/>
      <c r="D49" s="1589">
        <v>0</v>
      </c>
      <c r="E49" s="324" t="s">
        <v>1343</v>
      </c>
      <c r="F49" s="2423" t="s">
        <v>28</v>
      </c>
      <c r="G49" s="3646"/>
      <c r="H49" s="2309" t="s">
        <v>2134</v>
      </c>
      <c r="I49" s="2310"/>
      <c r="J49" s="2522">
        <v>4</v>
      </c>
      <c r="K49" s="3640" t="str">
        <f>IF(项目基本情况!E8="房地产抵押价值","房地产抵押价值","抵押担保权已注销时的房地产抵押价值")</f>
        <v>房地产抵押价值</v>
      </c>
      <c r="L49" s="3640"/>
      <c r="M49" s="3662">
        <f ca="1">IF(项目基本情况!E8="房地产抵押价值",H107,H109)</f>
        <v>5629</v>
      </c>
      <c r="N49" s="3662"/>
      <c r="O49" s="3662"/>
    </row>
    <row r="50" spans="1:35" ht="25.5" customHeight="1">
      <c r="A50" s="2550"/>
      <c r="B50" s="3576" t="s">
        <v>1344</v>
      </c>
      <c r="C50" s="3576"/>
      <c r="D50" s="2551"/>
      <c r="E50" s="332"/>
      <c r="F50" s="2423"/>
      <c r="G50" s="3647"/>
      <c r="H50" s="2311" t="s">
        <v>2135</v>
      </c>
      <c r="I50" s="2310"/>
      <c r="J50" s="3659" t="s">
        <v>1345</v>
      </c>
      <c r="K50" s="3659"/>
      <c r="L50" s="3659"/>
      <c r="M50" s="3659"/>
      <c r="N50" s="3659"/>
      <c r="O50" s="3659"/>
    </row>
    <row r="51" spans="1:35" ht="20.45" customHeight="1">
      <c r="A51" s="2552"/>
      <c r="B51" s="3576" t="s">
        <v>1346</v>
      </c>
      <c r="C51" s="3576"/>
      <c r="D51" s="1087"/>
      <c r="E51" s="327"/>
      <c r="F51" s="2423"/>
      <c r="G51" s="3648"/>
      <c r="H51" s="2311" t="s">
        <v>2136</v>
      </c>
      <c r="I51" s="2310"/>
      <c r="J51" s="2523" t="s">
        <v>1347</v>
      </c>
      <c r="K51" s="3640" t="s">
        <v>1348</v>
      </c>
      <c r="L51" s="3640"/>
      <c r="M51" s="2523" t="s">
        <v>1349</v>
      </c>
      <c r="N51" s="2523" t="s">
        <v>1350</v>
      </c>
      <c r="O51" s="2523" t="s">
        <v>1351</v>
      </c>
    </row>
    <row r="52" spans="1:35" ht="24" customHeight="1">
      <c r="A52" s="2334" t="s">
        <v>1352</v>
      </c>
      <c r="B52" s="3576" t="s">
        <v>1353</v>
      </c>
      <c r="C52" s="3576"/>
      <c r="D52" s="1087">
        <f ca="1">ROUND(D45*'数据-取费表'!B41/(1+'数据-取费表'!C42),0)</f>
        <v>295</v>
      </c>
      <c r="E52" s="2333" t="s">
        <v>1354</v>
      </c>
      <c r="F52" s="2553">
        <f>'数据-取费表'!B41</f>
        <v>5.5000000000000007E-2</v>
      </c>
      <c r="G52" s="2554"/>
      <c r="H52" s="2543"/>
      <c r="I52" s="1806"/>
      <c r="J52" s="2522">
        <v>1</v>
      </c>
      <c r="K52" s="3641" t="s">
        <v>1355</v>
      </c>
      <c r="L52" s="3641"/>
      <c r="M52" s="2524">
        <f ca="1">D48</f>
        <v>295</v>
      </c>
      <c r="N52" s="2522" t="str">
        <f>E48</f>
        <v>销售额×税（费）率</v>
      </c>
      <c r="O52" s="2525">
        <f>F48</f>
        <v>5.5000000000000007E-2</v>
      </c>
    </row>
    <row r="53" spans="1:35" ht="12" customHeight="1">
      <c r="A53" s="2334" t="s">
        <v>1356</v>
      </c>
      <c r="B53" s="3602" t="s">
        <v>2291</v>
      </c>
      <c r="C53" s="3603"/>
      <c r="D53" s="1087">
        <f ca="1">ROUND(D45*'数据-取费表'!B41/(1+'数据-取费表'!C42),0)</f>
        <v>295</v>
      </c>
      <c r="E53" s="2333" t="s">
        <v>1354</v>
      </c>
      <c r="F53" s="2553">
        <f>'数据-取费表'!B41</f>
        <v>5.5000000000000007E-2</v>
      </c>
      <c r="G53" s="2554"/>
      <c r="H53" s="2543"/>
      <c r="I53" s="1806"/>
      <c r="J53" s="2522">
        <v>2</v>
      </c>
      <c r="K53" s="3641" t="s">
        <v>1357</v>
      </c>
      <c r="L53" s="3641"/>
      <c r="M53" s="2524">
        <f t="shared" ref="M53:O54" ca="1" si="0">D55</f>
        <v>3</v>
      </c>
      <c r="N53" s="2522" t="str">
        <f t="shared" si="0"/>
        <v>销售额×税（费）率</v>
      </c>
      <c r="O53" s="2525">
        <f t="shared" si="0"/>
        <v>5.0000000000000001E-4</v>
      </c>
    </row>
    <row r="54" spans="1:35" ht="12" customHeight="1">
      <c r="A54" s="2334" t="s">
        <v>1358</v>
      </c>
      <c r="B54" s="3602" t="s">
        <v>2292</v>
      </c>
      <c r="C54" s="3603"/>
      <c r="D54" s="1087">
        <f ca="1">C68</f>
        <v>295</v>
      </c>
      <c r="E54" s="327" t="s">
        <v>1359</v>
      </c>
      <c r="F54" s="2553">
        <f>'数据-取费表'!B41</f>
        <v>5.5000000000000007E-2</v>
      </c>
      <c r="G54" s="2554"/>
      <c r="H54" s="2555"/>
      <c r="I54" s="1806"/>
      <c r="J54" s="2522">
        <v>3</v>
      </c>
      <c r="K54" s="3641" t="s">
        <v>1360</v>
      </c>
      <c r="L54" s="3641"/>
      <c r="M54" s="2524">
        <f t="shared" ca="1" si="0"/>
        <v>3191</v>
      </c>
      <c r="N54" s="2522" t="str">
        <f t="shared" si="0"/>
        <v>增值额×税（费）率</v>
      </c>
      <c r="O54" s="2526" t="str">
        <f t="shared" si="0"/>
        <v>——</v>
      </c>
    </row>
    <row r="55" spans="1:35" ht="24" customHeight="1">
      <c r="A55" s="3591" t="s">
        <v>1361</v>
      </c>
      <c r="B55" s="3592"/>
      <c r="C55" s="3592"/>
      <c r="D55" s="2323">
        <f ca="1">IF(H55="个人住宅",0,ROUND(D45*I55,0))</f>
        <v>3</v>
      </c>
      <c r="E55" s="2333" t="s">
        <v>1362</v>
      </c>
      <c r="F55" s="2553">
        <f>IF(H55="正常",I55,"免征")</f>
        <v>5.0000000000000001E-4</v>
      </c>
      <c r="G55" s="2554"/>
      <c r="H55" s="2549" t="s">
        <v>3481</v>
      </c>
      <c r="I55" s="165">
        <f>'数据-取费表'!B49</f>
        <v>5.0000000000000001E-4</v>
      </c>
      <c r="J55" s="2522" t="str">
        <f>IF(H59="非个人房产","",4)</f>
        <v/>
      </c>
      <c r="K55" s="3641" t="str">
        <f>IF(H59="非个人房产","——","个人所得税")</f>
        <v>——</v>
      </c>
      <c r="L55" s="3641"/>
      <c r="M55" s="2527" t="str">
        <f>D59</f>
        <v>——</v>
      </c>
      <c r="N55" s="2039" t="str">
        <f>E59</f>
        <v>——</v>
      </c>
      <c r="O55" s="2528" t="str">
        <f>F59</f>
        <v>——</v>
      </c>
    </row>
    <row r="56" spans="1:35" ht="24.75">
      <c r="A56" s="3591" t="s">
        <v>1363</v>
      </c>
      <c r="B56" s="3592"/>
      <c r="C56" s="3592"/>
      <c r="D56" s="2323">
        <f ca="1">IF(H56="个人住宅",D57,D58)</f>
        <v>3191</v>
      </c>
      <c r="E56" s="2333" t="s">
        <v>1364</v>
      </c>
      <c r="F56" s="2553" t="str">
        <f>IF(H56="正常",F58,"免征")</f>
        <v>——</v>
      </c>
      <c r="G56" s="2556" t="s">
        <v>1365</v>
      </c>
      <c r="H56" s="2557" t="s">
        <v>3481</v>
      </c>
      <c r="I56" s="1807"/>
      <c r="J56" s="2522" t="str">
        <f>IF(项目基本情况!K6="上海银行",IF(J55="",4,J55+1),"")</f>
        <v/>
      </c>
      <c r="K56" s="3664" t="str">
        <f>IF(项目基本情况!K6="上海银行","其他处置费用","")</f>
        <v/>
      </c>
      <c r="L56" s="3665"/>
      <c r="M56" s="2524" t="str">
        <f>IF(项目基本情况!K6="上海银行",M69,"")</f>
        <v/>
      </c>
      <c r="N56" s="3664" t="str">
        <f>IF(项目基本情况!K6="上海银行","包含处置中涉及的律师、诉讼、拍卖、评估等费用","")</f>
        <v/>
      </c>
      <c r="O56" s="3667"/>
    </row>
    <row r="57" spans="1:35" ht="12.75">
      <c r="A57" s="2334" t="s">
        <v>1341</v>
      </c>
      <c r="B57" s="3602" t="s">
        <v>1366</v>
      </c>
      <c r="C57" s="3603"/>
      <c r="D57" s="1589">
        <v>0</v>
      </c>
      <c r="E57" s="324" t="s">
        <v>1343</v>
      </c>
      <c r="F57" s="302"/>
      <c r="G57" s="2554"/>
      <c r="H57" s="2558"/>
      <c r="I57" s="1807"/>
      <c r="J57" s="3641">
        <f>IF(AND(J55="",J56=""),4,IF(项目基本情况!K6="上海银行",结果表!J56+1,结果表!J55+1))</f>
        <v>4</v>
      </c>
      <c r="K57" s="3641" t="s">
        <v>1367</v>
      </c>
      <c r="L57" s="2529" t="s">
        <v>1368</v>
      </c>
      <c r="M57" s="2530"/>
      <c r="N57" s="2531">
        <f ca="1">SUMIF(M52:M56,"&lt;9e307")</f>
        <v>3489</v>
      </c>
      <c r="O57" s="2532"/>
      <c r="P57" s="2689">
        <f ca="1">N57/M49</f>
        <v>0.61982590158109785</v>
      </c>
    </row>
    <row r="58" spans="1:35" ht="24.75">
      <c r="A58" s="2334" t="s">
        <v>1352</v>
      </c>
      <c r="B58" s="3602" t="s">
        <v>1369</v>
      </c>
      <c r="C58" s="3576"/>
      <c r="D58" s="2323">
        <f ca="1">IF(H58="转让取得",C81,C97)</f>
        <v>3191</v>
      </c>
      <c r="E58" s="2333" t="s">
        <v>1364</v>
      </c>
      <c r="F58" s="302" t="s">
        <v>28</v>
      </c>
      <c r="G58" s="2554"/>
      <c r="H58" s="2557" t="s">
        <v>3482</v>
      </c>
      <c r="I58" s="1807"/>
      <c r="J58" s="3641"/>
      <c r="K58" s="3641"/>
      <c r="L58" s="2529" t="s">
        <v>1370</v>
      </c>
      <c r="M58" s="2533"/>
      <c r="N58" s="2534" t="str">
        <f ca="1">NUMBERSTRING(INT(N57*10000),2)&amp;"元整"</f>
        <v>叁仟肆佰捌拾玖万元整</v>
      </c>
      <c r="O58" s="2535"/>
    </row>
    <row r="59" spans="1:35" ht="24.75" thickBot="1">
      <c r="A59" s="3644" t="s">
        <v>1371</v>
      </c>
      <c r="B59" s="3645"/>
      <c r="C59" s="364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3483</v>
      </c>
      <c r="I59" s="2312" t="s">
        <v>2137</v>
      </c>
      <c r="J59" s="3642">
        <f>J57+1</f>
        <v>5</v>
      </c>
      <c r="K59" s="3641" t="s">
        <v>1372</v>
      </c>
      <c r="L59" s="2522" t="s">
        <v>1368</v>
      </c>
      <c r="M59" s="2536"/>
      <c r="N59" s="2537">
        <f ca="1">M49-N57</f>
        <v>2140</v>
      </c>
      <c r="O59" s="2538"/>
    </row>
    <row r="60" spans="1:35" ht="12" customHeight="1">
      <c r="A60" s="1808"/>
      <c r="B60" s="1746"/>
      <c r="C60" s="1746"/>
      <c r="D60" s="1746"/>
      <c r="E60" s="1577"/>
      <c r="F60" s="1807"/>
      <c r="G60" s="1807"/>
      <c r="H60" s="1809"/>
      <c r="I60" s="129"/>
      <c r="J60" s="3643"/>
      <c r="K60" s="3641"/>
      <c r="L60" s="2529" t="s">
        <v>1370</v>
      </c>
      <c r="M60" s="2533"/>
      <c r="N60" s="2534" t="str">
        <f ca="1">NUMBERSTRING(INT(N59*10000),2)&amp;"元整"</f>
        <v>贰仟壹佰肆拾万元整</v>
      </c>
      <c r="O60" s="2535"/>
    </row>
    <row r="61" spans="1:35" ht="13.5" thickBot="1">
      <c r="A61" s="3589" t="s">
        <v>1373</v>
      </c>
      <c r="B61" s="3589"/>
      <c r="C61" s="3589"/>
      <c r="D61" s="3589"/>
      <c r="E61" s="3589"/>
      <c r="F61" s="1807"/>
      <c r="G61" s="1807"/>
      <c r="H61" s="1809"/>
      <c r="I61" s="129"/>
      <c r="J61" s="2522">
        <f>J59+1</f>
        <v>6</v>
      </c>
      <c r="K61" s="3641" t="s">
        <v>1374</v>
      </c>
      <c r="L61" s="3641"/>
      <c r="M61" s="2539"/>
      <c r="N61" s="2540">
        <f ca="1">ROUND(N59*10000/'数据-汇总表'!E3,0)</f>
        <v>2415</v>
      </c>
      <c r="O61" s="2541"/>
    </row>
    <row r="62" spans="1:35" ht="12.75">
      <c r="A62" s="3607" t="s">
        <v>1375</v>
      </c>
      <c r="B62" s="3608"/>
      <c r="C62" s="2020"/>
      <c r="D62" s="2020" t="s">
        <v>1376</v>
      </c>
      <c r="E62" s="166" t="s">
        <v>1377</v>
      </c>
      <c r="F62" s="1807"/>
      <c r="G62" s="1807"/>
      <c r="H62" s="1809"/>
      <c r="I62" s="129"/>
    </row>
    <row r="63" spans="1:35" ht="12.75">
      <c r="A63" s="173" t="s">
        <v>330</v>
      </c>
      <c r="B63" s="167" t="s">
        <v>1378</v>
      </c>
      <c r="C63" s="2563">
        <f ca="1">ROUND((C64+C65)/(1+'数据-取费表'!C42),0)</f>
        <v>5361</v>
      </c>
      <c r="D63" s="167"/>
      <c r="E63" s="168"/>
      <c r="F63" s="1807"/>
      <c r="G63" s="1807"/>
      <c r="H63" s="1809"/>
      <c r="I63" s="129"/>
      <c r="J63" s="3666" t="s">
        <v>1379</v>
      </c>
      <c r="K63" s="1331" t="s">
        <v>1380</v>
      </c>
      <c r="L63" s="1331">
        <f ca="1">IF(M49&gt;10000,M49*0.5%,IF(AND(M49&gt;1000,M49&lt;=10000),M49*1%,IF(AND(M49&gt;100,M49&lt;=1000),M49*3%,IF(AND(M49&gt;10,M49&lt;=100),M49*5%,M49*8%))))</f>
        <v>56.29</v>
      </c>
      <c r="M63" s="302">
        <f ca="1">ROUND(L63,1)</f>
        <v>56.3</v>
      </c>
      <c r="N63" s="2542"/>
      <c r="Z63" s="1751"/>
      <c r="AI63" s="1752"/>
    </row>
    <row r="64" spans="1:35" ht="14.25" customHeight="1">
      <c r="A64" s="169" t="s">
        <v>325</v>
      </c>
      <c r="B64" s="170" t="s">
        <v>1381</v>
      </c>
      <c r="C64" s="2564">
        <f ca="1">D45</f>
        <v>5629</v>
      </c>
      <c r="D64" s="170" t="s">
        <v>26</v>
      </c>
      <c r="E64" s="172"/>
      <c r="F64" s="1807"/>
      <c r="G64" s="1807"/>
      <c r="H64" s="1809"/>
      <c r="I64" s="129"/>
      <c r="J64" s="3666"/>
      <c r="K64" s="1331" t="s">
        <v>1382</v>
      </c>
      <c r="L64" s="1331">
        <f ca="1">IF(M49&gt;2000,M49*0.5%,IF(AND(M49&gt;1000,M49&lt;=2000),M49*0.6%,IF(AND(M49&gt;500,M49&lt;=1000),M49*0.7%,IF(AND(M49&gt;200,M49&lt;=500),M49*0.8%,IF(AND(M49&gt;100,M49&lt;=200),M49*0.9%,IF(AND(M49&gt;50,M49&lt;=100),M49*1%,IF(AND(M49&gt;20,M49&lt;=50),M49*1.5%,IF(AND(M49&gt;10,M49&lt;=20),M49*2%,IF(AND(M49&gt;1,M49&lt;=10),M49*2.5%)))))))))</f>
        <v>28.145</v>
      </c>
      <c r="M64" s="302">
        <f t="shared" ref="M64:M65" ca="1" si="1">ROUND(L64,1)</f>
        <v>28.1</v>
      </c>
      <c r="N64" s="2543" t="s">
        <v>1383</v>
      </c>
      <c r="Z64" s="1751"/>
      <c r="AI64" s="1752"/>
    </row>
    <row r="65" spans="1:35" ht="14.25" customHeight="1">
      <c r="A65" s="169" t="s">
        <v>326</v>
      </c>
      <c r="B65" s="170" t="s">
        <v>1384</v>
      </c>
      <c r="C65" s="2565"/>
      <c r="D65" s="170"/>
      <c r="E65" s="172"/>
      <c r="F65" s="1807"/>
      <c r="G65" s="1807"/>
      <c r="H65" s="1809"/>
      <c r="I65" s="129"/>
      <c r="J65" s="3666"/>
      <c r="K65" s="1331" t="s">
        <v>1385</v>
      </c>
      <c r="L65" s="1331">
        <f ca="1">IF(M49&gt;1000,M49*0.1%,IF(AND(M49&gt;500,M49&lt;=1000),M49*0.5%,IF(AND(M49&gt;50,M49&lt;=500),M49*1%,IF(AND(M49&gt;1,M49&lt;=50),M49*1.5%))))</f>
        <v>5.6290000000000004</v>
      </c>
      <c r="M65" s="302">
        <f t="shared" ca="1" si="1"/>
        <v>5.6</v>
      </c>
      <c r="N65" s="2543" t="s">
        <v>1383</v>
      </c>
      <c r="Z65" s="1751"/>
      <c r="AI65" s="1752"/>
    </row>
    <row r="66" spans="1:35" ht="14.25" customHeight="1">
      <c r="A66" s="173" t="s">
        <v>327</v>
      </c>
      <c r="B66" s="174" t="s">
        <v>1386</v>
      </c>
      <c r="C66" s="2566"/>
      <c r="D66" s="174" t="s">
        <v>26</v>
      </c>
      <c r="E66" s="1337" t="s">
        <v>671</v>
      </c>
      <c r="F66" s="1807"/>
      <c r="G66" s="1807"/>
      <c r="H66" s="1809"/>
      <c r="I66" s="129"/>
      <c r="J66" s="3666"/>
      <c r="K66" s="1331" t="s">
        <v>1387</v>
      </c>
      <c r="L66" s="1331">
        <f ca="1">M49*0.5%</f>
        <v>28.145</v>
      </c>
      <c r="M66" s="302">
        <f ca="1">IF(L66&gt;0.5,0.5,ROUND(L66,0))</f>
        <v>0.5</v>
      </c>
      <c r="N66" s="2543" t="s">
        <v>1388</v>
      </c>
      <c r="Z66" s="1751"/>
      <c r="AI66" s="1752"/>
    </row>
    <row r="67" spans="1:35" ht="14.25" customHeight="1">
      <c r="A67" s="173" t="s">
        <v>328</v>
      </c>
      <c r="B67" s="174" t="s">
        <v>1389</v>
      </c>
      <c r="C67" s="2567">
        <f ca="1">C63-C66</f>
        <v>5361</v>
      </c>
      <c r="D67" s="170" t="s">
        <v>26</v>
      </c>
      <c r="E67" s="172"/>
      <c r="F67" s="1807"/>
      <c r="G67" s="1807"/>
      <c r="H67" s="1809"/>
      <c r="I67" s="129"/>
      <c r="J67" s="3666"/>
      <c r="K67" s="1331" t="s">
        <v>1390</v>
      </c>
      <c r="L67" s="1331">
        <f ca="1">IF(M49&gt;=10000,(8.25+(M49-10000)*0.01%),IF(AND(M49&gt;=8000,M49&lt;10000),(7.85+(M49-8000)*0.02%),IF(AND(M49&gt;=5000,M49&lt;8000),(6.65+(M49-5000)*0.04%),IF(AND(M49&gt;=2000,M49&lt;5000),(4.25+(PM49-2000)*0.08%),IF(AND(M49&gt;=1000,M49&lt;2000),(2.75+(M49-1000)*0.15%),IF(AND(M49&gt;=100,M49&lt;1000),(0.5+(M49-100)*0.25%),IF(AND(M49&gt;0,M49&lt;100),M49*0.5%)))))))</f>
        <v>6.9016000000000002</v>
      </c>
      <c r="M67" s="302">
        <f ca="1">ROUND(L67*0.9,1)</f>
        <v>6.2</v>
      </c>
      <c r="N67" s="2542"/>
      <c r="Z67" s="1751"/>
      <c r="AI67" s="1752"/>
    </row>
    <row r="68" spans="1:35" ht="14.25" customHeight="1" thickBot="1">
      <c r="A68" s="176" t="s">
        <v>329</v>
      </c>
      <c r="B68" s="177" t="s">
        <v>1391</v>
      </c>
      <c r="C68" s="2568">
        <f ca="1">IF(C67&lt;=0,0,ROUND(C67*D68,0))</f>
        <v>295</v>
      </c>
      <c r="D68" s="2569">
        <f>'数据-取费表'!B41</f>
        <v>5.5000000000000007E-2</v>
      </c>
      <c r="E68" s="178"/>
      <c r="F68" s="1807"/>
      <c r="G68" s="1807"/>
      <c r="H68" s="1809"/>
      <c r="I68" s="129"/>
      <c r="J68" s="3666"/>
      <c r="K68" s="1331" t="s">
        <v>1392</v>
      </c>
      <c r="L68" s="1331">
        <f ca="1">IF(M49&gt;10000,M49*0.5%,IF(AND(M49&gt;5000,M49&lt;=10000),M49*1%,IF(AND(M49&gt;1000,M49&lt;=5000),M49*2%,IF(AND(M49&gt;200,M49&lt;=1000),M49*3%,M49*5%))))</f>
        <v>56.29</v>
      </c>
      <c r="M68" s="302">
        <f ca="1">ROUND(L68,1)</f>
        <v>56.3</v>
      </c>
      <c r="N68" s="2542"/>
      <c r="Z68" s="1751"/>
      <c r="AI68" s="1752"/>
    </row>
    <row r="69" spans="1:35" s="1771" customFormat="1" ht="16.5" customHeight="1">
      <c r="A69" s="1810"/>
      <c r="B69" s="1811"/>
      <c r="C69" s="1812"/>
      <c r="D69" s="1813"/>
      <c r="E69" s="1814"/>
      <c r="F69" s="1577"/>
      <c r="G69" s="1577"/>
      <c r="H69" s="1576"/>
      <c r="I69" s="1746"/>
      <c r="J69" s="3666"/>
      <c r="K69" s="1331" t="s">
        <v>1393</v>
      </c>
      <c r="L69" s="1331"/>
      <c r="M69" s="302">
        <f ca="1">ROUND(SUM(M63:M68),0)</f>
        <v>153</v>
      </c>
      <c r="N69" s="2544">
        <f ca="1">M69/M49</f>
        <v>2.7180671522472909E-2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8" t="s">
        <v>1394</v>
      </c>
      <c r="B70" s="3629"/>
      <c r="C70" s="3629"/>
      <c r="D70" s="3629"/>
      <c r="E70" s="3629"/>
      <c r="F70" s="3629"/>
      <c r="G70" s="3629"/>
      <c r="H70" s="362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7" t="s">
        <v>1375</v>
      </c>
      <c r="B71" s="360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5361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2" t="s">
        <v>1402</v>
      </c>
      <c r="F76" s="3576"/>
      <c r="G76" s="3576"/>
      <c r="H76" s="362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27</v>
      </c>
      <c r="D78" s="2576">
        <f>'数据-取费表'!B43</f>
        <v>5.000000000000001E-3</v>
      </c>
      <c r="E78" s="3586" t="s">
        <v>1406</v>
      </c>
      <c r="F78" s="3587"/>
      <c r="G78" s="3587"/>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5334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197.55555555555554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3191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8" t="s">
        <v>1410</v>
      </c>
      <c r="B83" s="3629"/>
      <c r="C83" s="3629"/>
      <c r="D83" s="3629"/>
      <c r="E83" s="3629"/>
      <c r="F83" s="3629"/>
      <c r="G83" s="3629"/>
      <c r="H83" s="362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7" t="s">
        <v>1375</v>
      </c>
      <c r="B84" s="360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5361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8" t="s">
        <v>2129</v>
      </c>
      <c r="H90" s="366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6" t="s">
        <v>1422</v>
      </c>
      <c r="F92" s="3587"/>
      <c r="G92" s="3587"/>
      <c r="H92" s="359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27</v>
      </c>
      <c r="D93" s="2576">
        <f>'数据-取费表'!B43</f>
        <v>5.000000000000001E-3</v>
      </c>
      <c r="E93" s="3586" t="s">
        <v>1406</v>
      </c>
      <c r="F93" s="3587"/>
      <c r="G93" s="3587"/>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7" t="s">
        <v>1426</v>
      </c>
      <c r="F94" s="3598"/>
      <c r="G94" s="3598"/>
      <c r="H94" s="359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5334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197.55555555555554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3191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0" t="s">
        <v>1428</v>
      </c>
      <c r="B100" s="3571"/>
      <c r="C100" s="3571"/>
      <c r="D100" s="3588"/>
      <c r="E100" s="3571" t="s">
        <v>1429</v>
      </c>
      <c r="F100" s="3571"/>
      <c r="G100" s="3571"/>
      <c r="H100" s="3588"/>
      <c r="I100" s="129"/>
    </row>
    <row r="101" spans="1:35" ht="18.75" customHeight="1">
      <c r="A101" s="3649" t="s">
        <v>1430</v>
      </c>
      <c r="B101" s="3650"/>
      <c r="C101" s="2584" t="str">
        <f>C4</f>
        <v>成本法</v>
      </c>
      <c r="D101" s="2585" t="str">
        <f>D4</f>
        <v>收益法</v>
      </c>
      <c r="E101" s="3663" t="s">
        <v>1431</v>
      </c>
      <c r="F101" s="3620"/>
      <c r="G101" s="1826" t="s">
        <v>1432</v>
      </c>
      <c r="H101" s="2594">
        <f ca="1">H118</f>
        <v>5629</v>
      </c>
      <c r="I101" s="129"/>
    </row>
    <row r="102" spans="1:35" ht="18.75" customHeight="1">
      <c r="A102" s="3622" t="s">
        <v>1433</v>
      </c>
      <c r="B102" s="2583" t="s">
        <v>1432</v>
      </c>
      <c r="C102" s="2584">
        <f ca="1">IF(D32="楼面单价",ROUND(C19,0),C19)</f>
        <v>5730</v>
      </c>
      <c r="D102" s="2585">
        <f ca="1">IF(D32="楼面单价",ROUND(D19,0),D19)</f>
        <v>5527</v>
      </c>
      <c r="E102" s="3663"/>
      <c r="F102" s="3620"/>
      <c r="G102" s="1826" t="s">
        <v>1434</v>
      </c>
      <c r="H102" s="2554">
        <f ca="1">I118</f>
        <v>6352</v>
      </c>
      <c r="I102" s="129"/>
    </row>
    <row r="103" spans="1:35" ht="42.75" customHeight="1">
      <c r="A103" s="3622"/>
      <c r="B103" s="2583" t="s">
        <v>1434</v>
      </c>
      <c r="C103" s="2586">
        <f ca="1">C20</f>
        <v>6466</v>
      </c>
      <c r="D103" s="2587">
        <f ca="1">D20</f>
        <v>6237</v>
      </c>
      <c r="E103" s="3657" t="s">
        <v>1435</v>
      </c>
      <c r="F103" s="3658"/>
      <c r="G103" s="1827" t="s">
        <v>1436</v>
      </c>
      <c r="H103" s="2594">
        <f>IF(D36="正常操作",H104+H105+H106,H105+H106)</f>
        <v>0</v>
      </c>
      <c r="I103" s="129"/>
    </row>
    <row r="104" spans="1:35" ht="18.75" customHeight="1">
      <c r="A104" s="3622" t="s">
        <v>1437</v>
      </c>
      <c r="B104" s="2588" t="s">
        <v>1432</v>
      </c>
      <c r="C104" s="2589">
        <f ca="1">H118</f>
        <v>5629</v>
      </c>
      <c r="D104" s="2590"/>
      <c r="E104" s="1673" t="s">
        <v>1438</v>
      </c>
      <c r="F104" s="1665"/>
      <c r="G104" s="1827" t="s">
        <v>1436</v>
      </c>
      <c r="H104" s="2595">
        <f>IF(D36="同一抵押权人同一抵押物续贷",C36&amp;"（续贷，未扣减，详见特别提示）",C36)</f>
        <v>0</v>
      </c>
      <c r="I104" s="129"/>
    </row>
    <row r="105" spans="1:35" ht="18.75" customHeight="1" thickBot="1">
      <c r="A105" s="3623"/>
      <c r="B105" s="2591" t="s">
        <v>1434</v>
      </c>
      <c r="C105" s="2592">
        <f ca="1">I118</f>
        <v>6352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9" t="str">
        <f>IF(项目基本情况!E8="已注销","——","3.房地产抵押价值")</f>
        <v>3.房地产抵押价值</v>
      </c>
      <c r="F107" s="3620"/>
      <c r="G107" s="1826" t="s">
        <v>1432</v>
      </c>
      <c r="H107" s="2594">
        <f ca="1">IF(E107="——","——",H101-H103)</f>
        <v>5629</v>
      </c>
      <c r="I107" s="129"/>
    </row>
    <row r="108" spans="1:35" ht="18.75" customHeight="1">
      <c r="A108" s="129"/>
      <c r="B108" s="129"/>
      <c r="C108" s="129"/>
      <c r="D108" s="129"/>
      <c r="E108" s="3619"/>
      <c r="F108" s="3620"/>
      <c r="G108" s="1826" t="s">
        <v>1434</v>
      </c>
      <c r="H108" s="2554">
        <f ca="1">IF(H107=H101,H102,ROUND(H107*10000/'数据-汇总表'!E3,0))</f>
        <v>6352</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6" t="s">
        <v>1432</v>
      </c>
      <c r="H109" s="2597" t="str">
        <f>IF(E109="——","——",H101-H105-H106)</f>
        <v>——</v>
      </c>
      <c r="I109" s="129"/>
    </row>
    <row r="110" spans="1:35" ht="18.75" customHeight="1">
      <c r="A110" s="129"/>
      <c r="B110" s="129"/>
      <c r="C110" s="129"/>
      <c r="D110" s="129"/>
      <c r="E110" s="3619"/>
      <c r="F110" s="3620"/>
      <c r="G110" s="1826" t="s">
        <v>1434</v>
      </c>
      <c r="H110" s="2554"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v>
      </c>
      <c r="F111" s="3621"/>
      <c r="G111" s="1826" t="s">
        <v>1432</v>
      </c>
      <c r="H111" s="2594" t="str">
        <f>IF(E111="——","——",N59)</f>
        <v>——</v>
      </c>
      <c r="I111" s="129"/>
    </row>
    <row r="112" spans="1:35" ht="18.75" customHeight="1" thickBot="1">
      <c r="A112" s="129"/>
      <c r="B112" s="129"/>
      <c r="C112" s="129"/>
      <c r="D112" s="129"/>
      <c r="E112" s="3652"/>
      <c r="F112" s="3653"/>
      <c r="G112" s="1829" t="s">
        <v>1434</v>
      </c>
      <c r="H112" s="2598" t="str">
        <f>IF(E111="——","——",N61)</f>
        <v>——</v>
      </c>
      <c r="I112" s="129"/>
    </row>
    <row r="113" spans="1:27" ht="18.75" customHeight="1">
      <c r="A113" s="129"/>
      <c r="B113" s="129"/>
      <c r="C113" s="129"/>
      <c r="D113" s="129"/>
      <c r="E113" s="3624" t="s">
        <v>1440</v>
      </c>
      <c r="F113" s="3624"/>
      <c r="G113" s="3624"/>
      <c r="H113" s="3624"/>
      <c r="I113" s="129"/>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0" t="s">
        <v>1443</v>
      </c>
      <c r="B116" s="3625" t="s">
        <v>1444</v>
      </c>
      <c r="C116" s="3625" t="s">
        <v>1445</v>
      </c>
      <c r="D116" s="3638" t="s">
        <v>1446</v>
      </c>
      <c r="E116" s="3639"/>
      <c r="F116" s="3633" t="s">
        <v>1447</v>
      </c>
      <c r="G116" s="3633"/>
      <c r="H116" s="3590" t="s">
        <v>1448</v>
      </c>
      <c r="I116" s="3590"/>
    </row>
    <row r="117" spans="1:27" ht="18.75" customHeight="1">
      <c r="A117" s="3590"/>
      <c r="B117" s="3626"/>
      <c r="C117" s="3626"/>
      <c r="D117" s="2328" t="s">
        <v>1449</v>
      </c>
      <c r="E117" s="2328" t="s">
        <v>1450</v>
      </c>
      <c r="F117" s="2328" t="s">
        <v>1449</v>
      </c>
      <c r="G117" s="2328" t="s">
        <v>1451</v>
      </c>
      <c r="H117" s="2328" t="s">
        <v>1449</v>
      </c>
      <c r="I117" s="2328" t="s">
        <v>1451</v>
      </c>
    </row>
    <row r="118" spans="1:27" ht="24.75" customHeight="1">
      <c r="A118" s="2599" t="str">
        <f>项目基本情况!S2</f>
        <v>北京市顺义区仁和园二街4号院6号楼-1至5层101工业用房房地产</v>
      </c>
      <c r="B118" s="2328">
        <f>M18</f>
        <v>8862.14</v>
      </c>
      <c r="C118" s="2328">
        <f>M19</f>
        <v>3565.51</v>
      </c>
      <c r="D118" s="2328">
        <f ca="1">ROUND(IF(D32="总价",C34,E118*B118/10000),0)</f>
        <v>1554</v>
      </c>
      <c r="E118" s="2328">
        <f ca="1">ROUND(IF(C33="自定义",IF(D32="楼面单价",C34,D118*10000/B118),I118-G118),0)</f>
        <v>1754</v>
      </c>
      <c r="F118" s="2328">
        <f ca="1">ROUND(IF(D32="总价",C35,G118*B118/10000),0)</f>
        <v>4075</v>
      </c>
      <c r="G118" s="2328">
        <f ca="1">ROUND(IF(D32="楼面单价",C35,F118*10000/B118),0)</f>
        <v>4598</v>
      </c>
      <c r="H118" s="2328">
        <f ca="1">ROUND(IF(D32="总价",C32,I118*B118/10000),0)</f>
        <v>5629</v>
      </c>
      <c r="I118" s="2328">
        <f ca="1">ROUND(IF(D32="楼面单价",C32,H118*10000/B118),0)</f>
        <v>6352</v>
      </c>
    </row>
    <row r="119" spans="1:27" ht="18.75" customHeight="1">
      <c r="A119" s="3590" t="s">
        <v>1452</v>
      </c>
      <c r="B119" s="3590"/>
      <c r="C119" s="3590"/>
      <c r="D119" s="3630" t="str">
        <f ca="1">NUMBERSTRING(INT(D118*10000),2)&amp;"元整"</f>
        <v>壹仟伍佰伍拾肆万元整</v>
      </c>
      <c r="E119" s="3632"/>
      <c r="F119" s="3630" t="str">
        <f ca="1">NUMBERSTRING(INT(F118*10000),2)&amp;"元整"</f>
        <v>肆仟零柒拾伍万元整</v>
      </c>
      <c r="G119" s="3632"/>
      <c r="H119" s="3630" t="str">
        <f ca="1">NUMBERSTRING(INT(H118*10000),2)&amp;"元整"</f>
        <v>伍仟陆佰贰拾玖万元整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0" t="s">
        <v>1452</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房地产抵押价值</v>
      </c>
      <c r="B122" s="3621"/>
      <c r="C122" s="3621"/>
      <c r="D122" s="3654">
        <f ca="1">H107</f>
        <v>5629</v>
      </c>
      <c r="E122" s="3655"/>
      <c r="F122" s="3655"/>
      <c r="G122" s="3655"/>
      <c r="H122" s="3655"/>
      <c r="I122" s="3656"/>
      <c r="AA122" s="725"/>
    </row>
    <row r="123" spans="1:27" ht="18.75" customHeight="1">
      <c r="A123" s="3590" t="s">
        <v>1452</v>
      </c>
      <c r="B123" s="3590"/>
      <c r="C123" s="3590"/>
      <c r="D123" s="3630" t="str">
        <f ca="1">NUMBERSTRING(INT(D122*10000),2)&amp;"元整"</f>
        <v>伍仟陆佰贰拾玖万元整</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1452</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
      </c>
      <c r="B126" s="3621"/>
      <c r="C126" s="3621"/>
      <c r="D126" s="3654" t="str">
        <f>H111</f>
        <v>——</v>
      </c>
      <c r="E126" s="3655"/>
      <c r="F126" s="3655"/>
      <c r="G126" s="3655"/>
      <c r="H126" s="3655"/>
      <c r="I126" s="3656"/>
      <c r="AA126" s="725"/>
    </row>
    <row r="127" spans="1:27" ht="18.75" customHeight="1">
      <c r="A127" s="3590" t="s">
        <v>1452</v>
      </c>
      <c r="B127" s="3590"/>
      <c r="C127" s="3590"/>
      <c r="D127" s="3630" t="e">
        <f>NUMBERSTRING(INT(D126*10000),2)&amp;"元整"</f>
        <v>#VALUE!</v>
      </c>
      <c r="E127" s="3631"/>
      <c r="F127" s="3631"/>
      <c r="G127" s="3631"/>
      <c r="H127" s="3631"/>
      <c r="I127" s="3632"/>
      <c r="AA127" s="725"/>
    </row>
    <row r="128" spans="1:27" ht="21.75" customHeight="1">
      <c r="A128" s="3637" t="s">
        <v>1453</v>
      </c>
      <c r="B128" s="3637"/>
      <c r="C128" s="3637"/>
      <c r="D128" s="3637"/>
      <c r="E128" s="3637"/>
      <c r="F128" s="3637"/>
      <c r="G128" s="3637"/>
      <c r="H128" s="3637"/>
      <c r="I128" s="363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北京市顺义区仁和园二街4号院6号楼-1至5层101工业用房房地产抵押价值预评估</v>
      </c>
      <c r="C37" s="3487"/>
      <c r="D37" s="3487"/>
      <c r="E37" s="3487"/>
      <c r="F37" s="3487"/>
      <c r="G37" s="3487"/>
      <c r="H37" s="3487"/>
      <c r="I37" s="348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5730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6466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1232</v>
      </c>
      <c r="D5" s="211" t="s">
        <v>1469</v>
      </c>
      <c r="E5" s="212" t="s">
        <v>1470</v>
      </c>
      <c r="F5" s="212" t="s">
        <v>1471</v>
      </c>
      <c r="G5" s="213"/>
    </row>
    <row r="6" spans="1:9" s="214" customFormat="1" ht="13.5" customHeight="1">
      <c r="A6" s="778" t="s">
        <v>1472</v>
      </c>
      <c r="B6" s="215" t="s">
        <v>1473</v>
      </c>
      <c r="C6" s="216">
        <f>基准地价修正!E33</f>
        <v>1024</v>
      </c>
      <c r="D6" s="217"/>
      <c r="E6" s="218"/>
      <c r="F6" s="218"/>
      <c r="G6" s="219"/>
    </row>
    <row r="7" spans="1:9" s="214" customFormat="1" ht="13.5" customHeight="1">
      <c r="A7" s="778" t="s">
        <v>1474</v>
      </c>
      <c r="B7" s="215" t="s">
        <v>1475</v>
      </c>
      <c r="C7" s="220">
        <f>ROUND(C6*F7,0)</f>
        <v>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177</v>
      </c>
      <c r="D8" s="222"/>
      <c r="E8" s="220"/>
      <c r="F8" s="221"/>
      <c r="G8" s="1855" t="s">
        <v>3477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t="s">
        <v>3478</v>
      </c>
      <c r="H9" s="1137"/>
      <c r="I9" s="1857" t="s">
        <v>1479</v>
      </c>
    </row>
    <row r="10" spans="1:9" s="214" customFormat="1" ht="13.5" customHeight="1">
      <c r="A10" s="779" t="s">
        <v>356</v>
      </c>
      <c r="B10" s="224" t="s">
        <v>1480</v>
      </c>
      <c r="C10" s="225">
        <f ca="1">ROUND(D10*E10/10000,0)</f>
        <v>177</v>
      </c>
      <c r="D10" s="845">
        <f ca="1">IF(B1="",'数据-汇总表'!E6,IF(INDIRECT("'数据-取费表'!c"&amp;$G$1)="住宅",INDIRECT("'数据-取费表'!s"&amp;$G$1),INDIRECT("'数据-取费表'!k"&amp;$G$1)+INDIRECT("'数据-取费表'!s"&amp;$G$1)))</f>
        <v>8862.14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8862.14</v>
      </c>
      <c r="E19" s="211">
        <f>'数据-取费表'!B31</f>
        <v>200</v>
      </c>
      <c r="F19" s="231"/>
      <c r="G19" s="1855" t="s">
        <v>3479</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79</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126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3780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3368</v>
      </c>
      <c r="D34" s="217"/>
      <c r="E34" s="220"/>
      <c r="F34" s="257">
        <f ca="1">IF('数据-取费表'!B24=0,1,IF(B1="",'数据-取费表'!N16,INDIRECT("'数据-取费表'!n"&amp;$G$1)))</f>
        <v>1</v>
      </c>
      <c r="G34" s="219" t="s">
        <v>1526</v>
      </c>
    </row>
    <row r="35" spans="1:7" ht="13.5" customHeight="1">
      <c r="A35" s="780" t="s">
        <v>351</v>
      </c>
      <c r="B35" s="215" t="s">
        <v>1527</v>
      </c>
      <c r="C35" s="220">
        <f ca="1">ROUND(C34*F35,0)</f>
        <v>168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177</v>
      </c>
      <c r="D37" s="217">
        <f ca="1">D19</f>
        <v>8862.14</v>
      </c>
      <c r="E37" s="249">
        <f>'数据-取费表'!B35</f>
        <v>200</v>
      </c>
      <c r="F37" s="259"/>
      <c r="G37" s="261" t="s">
        <v>1532</v>
      </c>
    </row>
    <row r="38" spans="1:7" ht="13.5" customHeight="1">
      <c r="A38" s="780" t="s">
        <v>354</v>
      </c>
      <c r="B38" s="215" t="s">
        <v>1533</v>
      </c>
      <c r="C38" s="220">
        <f ca="1">ROUND(C34*F38,0)</f>
        <v>67</v>
      </c>
      <c r="D38" s="220"/>
      <c r="E38" s="220"/>
      <c r="F38" s="259">
        <f>'数据-取费表'!B36</f>
        <v>0.02</v>
      </c>
      <c r="G38" s="219" t="s">
        <v>1528</v>
      </c>
    </row>
    <row r="39" spans="1:7" s="214" customFormat="1" ht="13.5" customHeight="1">
      <c r="A39" s="255" t="s">
        <v>1534</v>
      </c>
      <c r="B39" s="210" t="s">
        <v>1535</v>
      </c>
      <c r="C39" s="232">
        <f ca="1">ROUND(C33*F20,0)</f>
        <v>76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117</v>
      </c>
      <c r="D42" s="238"/>
      <c r="E42" s="238"/>
      <c r="F42" s="239"/>
      <c r="G42" s="3670" t="s">
        <v>1544</v>
      </c>
    </row>
    <row r="43" spans="1:7" ht="13.5" customHeight="1">
      <c r="A43" s="780" t="s">
        <v>347</v>
      </c>
      <c r="B43" s="215" t="s">
        <v>1545</v>
      </c>
      <c r="C43" s="238">
        <f ca="1">ROUND(IF('数据-取费表'!B22&lt;=1,C39*F22*'数据-取费表'!B21/2,C39*(POWER((1+F22),'数据-取费表'!B21/2)-1)),0)</f>
        <v>2</v>
      </c>
      <c r="D43" s="238"/>
      <c r="E43" s="238"/>
      <c r="F43" s="239"/>
      <c r="G43" s="3671"/>
    </row>
    <row r="44" spans="1:7" ht="13.5" customHeight="1">
      <c r="A44" s="780" t="s">
        <v>348</v>
      </c>
      <c r="B44" s="215" t="s">
        <v>1546</v>
      </c>
      <c r="C44" s="238">
        <f ca="1">ROUND(IF('数据-取费表'!B22&lt;=1,C40*F22*'数据-取费表'!B21/2,C40*(POWER((1+F22),'数据-取费表'!B21/2)-1)),4)</f>
        <v>5.9999999999999995E-4</v>
      </c>
      <c r="D44" s="238"/>
      <c r="E44" s="238"/>
      <c r="F44" s="239"/>
      <c r="G44" s="3672"/>
    </row>
    <row r="45" spans="1:7" s="214" customFormat="1" ht="13.5" customHeight="1">
      <c r="A45" s="255" t="s">
        <v>1547</v>
      </c>
      <c r="B45" s="244" t="s">
        <v>1513</v>
      </c>
      <c r="C45" s="245">
        <f ca="1">C46</f>
        <v>386</v>
      </c>
      <c r="D45" s="235">
        <f ca="1">C47</f>
        <v>2E-3</v>
      </c>
      <c r="E45" s="236" t="s">
        <v>1539</v>
      </c>
      <c r="F45" s="246">
        <f ca="1">F27</f>
        <v>0.1</v>
      </c>
      <c r="G45" s="247" t="s">
        <v>1548</v>
      </c>
    </row>
    <row r="46" spans="1:7" s="214" customFormat="1" ht="13.5" customHeight="1">
      <c r="A46" s="780" t="s">
        <v>346</v>
      </c>
      <c r="B46" s="248" t="s">
        <v>1549</v>
      </c>
      <c r="C46" s="249">
        <f ca="1">ROUND((C33+C39)*F27,0)</f>
        <v>386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4715</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4149</v>
      </c>
      <c r="D51" s="232"/>
      <c r="E51" s="232"/>
      <c r="F51" s="264"/>
      <c r="G51" s="234" t="s">
        <v>1560</v>
      </c>
    </row>
    <row r="52" spans="1:7" s="208" customFormat="1" ht="16.5" thickBot="1">
      <c r="A52" s="265" t="s">
        <v>1561</v>
      </c>
      <c r="B52" s="266"/>
      <c r="C52" s="267">
        <f ca="1">C31+C51</f>
        <v>5730</v>
      </c>
      <c r="D52" s="266"/>
      <c r="E52" s="266"/>
      <c r="F52" s="266"/>
      <c r="G52" s="268"/>
    </row>
    <row r="55" spans="1:7" ht="15">
      <c r="B55" s="270" t="s">
        <v>1562</v>
      </c>
      <c r="C55" s="271"/>
    </row>
    <row r="56" spans="1:7">
      <c r="B56" s="273" t="s">
        <v>802</v>
      </c>
      <c r="C56" s="275">
        <f ca="1">1-C57</f>
        <v>0.27600000000000002</v>
      </c>
    </row>
    <row r="57" spans="1:7">
      <c r="B57" s="273" t="s">
        <v>803</v>
      </c>
      <c r="C57" s="274">
        <f ca="1">ROUND(C51/C52,3)</f>
        <v>0.72399999999999998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4603.5361999999996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5195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1772428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1772428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1772428</v>
      </c>
      <c r="D10" s="845">
        <f ca="1">IF(B1="",'数据-汇总表'!E6,IF(INDIRECT("'数据-取费表'!c"&amp;$G$1)="住宅",INDIRECT("'数据-取费表'!s"&amp;$G$1),INDIRECT("'数据-取费表'!k"&amp;$G$1)+INDIRECT("'数据-取费表'!s"&amp;$G$1)))</f>
        <v>8862.14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1772428</v>
      </c>
      <c r="D19" s="849">
        <f ca="1">D9+D10</f>
        <v>8862.14</v>
      </c>
      <c r="E19" s="211">
        <f>'数据-取费表'!B31</f>
        <v>200</v>
      </c>
      <c r="F19" s="231"/>
      <c r="G19" s="1855"/>
    </row>
    <row r="20" spans="1:7" s="214" customFormat="1" ht="13.5" customHeight="1">
      <c r="A20" s="255" t="s">
        <v>1574</v>
      </c>
      <c r="B20" s="210" t="s">
        <v>1575</v>
      </c>
      <c r="C20" s="232">
        <f ca="1">ROUND((C5+C19)*F20,0)</f>
        <v>70897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225386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111594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111594</v>
      </c>
      <c r="D24" s="238"/>
      <c r="E24" s="238"/>
      <c r="F24" s="239"/>
      <c r="G24" s="240" t="s">
        <v>1586</v>
      </c>
    </row>
    <row r="25" spans="1:7" s="214" customFormat="1" ht="24">
      <c r="A25" s="780" t="s">
        <v>1476</v>
      </c>
      <c r="B25" s="215" t="s">
        <v>1587</v>
      </c>
      <c r="C25" s="1128">
        <f ca="1">ROUND(IF('数据-取费表'!B22&lt;=1,C20*F22*'数据-取费表'!B22/2,C20*(POWER((1+F22),'数据-取费表'!B22/2)-1)),0)</f>
        <v>2198</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361575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361575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4543475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37805890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33676132</v>
      </c>
      <c r="D34" s="217"/>
      <c r="E34" s="220"/>
      <c r="F34" s="257"/>
      <c r="G34" s="219"/>
    </row>
    <row r="35" spans="1:7" ht="13.5" customHeight="1">
      <c r="A35" s="780" t="s">
        <v>351</v>
      </c>
      <c r="B35" s="215" t="s">
        <v>1527</v>
      </c>
      <c r="C35" s="220">
        <f ca="1">ROUND(C34*F35,0)</f>
        <v>1683807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1772428</v>
      </c>
      <c r="D37" s="217">
        <f ca="1">D19</f>
        <v>8862.14</v>
      </c>
      <c r="E37" s="249">
        <f>'数据-取费表'!B35</f>
        <v>200</v>
      </c>
      <c r="F37" s="259"/>
      <c r="G37" s="261"/>
    </row>
    <row r="38" spans="1:7" ht="13.5" customHeight="1">
      <c r="A38" s="780" t="s">
        <v>354</v>
      </c>
      <c r="B38" s="215" t="s">
        <v>1533</v>
      </c>
      <c r="C38" s="220">
        <f ca="1">ROUND(C34*F38,0)</f>
        <v>673523</v>
      </c>
      <c r="D38" s="220"/>
      <c r="E38" s="220"/>
      <c r="F38" s="259">
        <f>'数据-取费表'!B36</f>
        <v>0.02</v>
      </c>
      <c r="G38" s="219" t="s">
        <v>1528</v>
      </c>
    </row>
    <row r="39" spans="1:7" s="214" customFormat="1" ht="13.5" customHeight="1">
      <c r="A39" s="255" t="s">
        <v>1534</v>
      </c>
      <c r="B39" s="210" t="s">
        <v>1535</v>
      </c>
      <c r="C39" s="232">
        <f ca="1">ROUND(C33*F20,0)</f>
        <v>756118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1195423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1171983</v>
      </c>
      <c r="D42" s="238"/>
      <c r="E42" s="238"/>
      <c r="F42" s="239"/>
      <c r="G42" s="3670" t="s">
        <v>1591</v>
      </c>
    </row>
    <row r="43" spans="1:7" ht="13.5" customHeight="1">
      <c r="A43" s="780" t="s">
        <v>347</v>
      </c>
      <c r="B43" s="215" t="s">
        <v>1545</v>
      </c>
      <c r="C43" s="238">
        <f ca="1">ROUND(IF('数据-取费表'!B22&lt;=1,C39*F22*'数据-取费表'!B20/2,C39*(POWER((1+F22),'数据-取费表'!B20/2)-1)),0)</f>
        <v>23440</v>
      </c>
      <c r="D43" s="238"/>
      <c r="E43" s="238"/>
      <c r="F43" s="239"/>
      <c r="G43" s="3671"/>
    </row>
    <row r="44" spans="1:7" ht="13.5" customHeight="1">
      <c r="A44" s="780" t="s">
        <v>348</v>
      </c>
      <c r="B44" s="215" t="s">
        <v>1546</v>
      </c>
      <c r="C44" s="238">
        <f ca="1">ROUND(IF('数据-取费表'!B22&lt;=1,C40*F22*'数据-取费表'!B20/2,C40*(POWER((1+F22),'数据-取费表'!B20/2)-1)),4)</f>
        <v>5.9999999999999995E-4</v>
      </c>
      <c r="D44" s="238"/>
      <c r="E44" s="238"/>
      <c r="F44" s="239"/>
      <c r="G44" s="3672"/>
    </row>
    <row r="45" spans="1:7" s="214" customFormat="1" ht="13.5" customHeight="1">
      <c r="A45" s="255" t="s">
        <v>1547</v>
      </c>
      <c r="B45" s="244" t="s">
        <v>1513</v>
      </c>
      <c r="C45" s="245">
        <f ca="1">C46</f>
        <v>3856201</v>
      </c>
      <c r="D45" s="235">
        <f ca="1">C47</f>
        <v>2E-3</v>
      </c>
      <c r="E45" s="236" t="s">
        <v>1539</v>
      </c>
      <c r="F45" s="246">
        <f ca="1">F27</f>
        <v>0.1</v>
      </c>
      <c r="G45" s="247" t="s">
        <v>1548</v>
      </c>
    </row>
    <row r="46" spans="1:7" s="214" customFormat="1" ht="13.5" customHeight="1">
      <c r="A46" s="780" t="s">
        <v>346</v>
      </c>
      <c r="B46" s="248" t="s">
        <v>1549</v>
      </c>
      <c r="C46" s="249">
        <f ca="1">ROUND((C33+C39)*F27,0)</f>
        <v>3856201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47149872</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41491887</v>
      </c>
      <c r="D51" s="232"/>
      <c r="E51" s="232"/>
      <c r="F51" s="264"/>
      <c r="G51" s="234" t="s">
        <v>1560</v>
      </c>
    </row>
    <row r="52" spans="1:7" s="208" customFormat="1" ht="16.5" thickBot="1">
      <c r="A52" s="265" t="s">
        <v>1561</v>
      </c>
      <c r="B52" s="266"/>
      <c r="C52" s="267">
        <f ca="1">C31+C51</f>
        <v>46035362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8862.14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8862.14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177</v>
      </c>
      <c r="D20" s="846">
        <f ca="1">IF(C1="",'数据-汇总表'!E6,IF(INDIRECT("'数据-取费表'!c"&amp;$K$1)="住宅",INDIRECT("'数据-取费表'!s"&amp;$K$1),INDIRECT("'数据-取费表'!k"&amp;$K$1)+INDIRECT("'数据-取费表'!s"&amp;$K$1)))</f>
        <v>8862.14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7385.119999999999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1024</v>
      </c>
      <c r="C2" s="1998" t="s">
        <v>1935</v>
      </c>
      <c r="D2" s="1999" t="s">
        <v>1936</v>
      </c>
      <c r="E2" s="3421" t="s">
        <v>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2569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1387</v>
      </c>
      <c r="C3" s="1998" t="s">
        <v>1941</v>
      </c>
      <c r="D3" s="1999" t="s">
        <v>1942</v>
      </c>
      <c r="E3" s="3419" t="s">
        <v>2479</v>
      </c>
      <c r="F3" s="2003" t="s">
        <v>3465</v>
      </c>
      <c r="G3" s="752">
        <f>IF(F3="宗地容积率",'数据-汇总表'!I4,IF(F3="估价对象容积率",'数据-汇总表'!I6,'数据-汇总表'!I7))</f>
        <v>2.0699999999999998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2025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80"/>
      <c r="B4" s="3681"/>
      <c r="C4" s="3681"/>
      <c r="D4" s="3682"/>
      <c r="E4" s="3682"/>
      <c r="F4" s="3682"/>
      <c r="G4" s="3682"/>
      <c r="H4" s="3682"/>
      <c r="I4" s="3682"/>
      <c r="J4" s="368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1711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1695</v>
      </c>
      <c r="D5" s="1338">
        <f>ROUND(C6*C17+C20,0)</f>
        <v>1695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1509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1770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1450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1770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2.0699999999999998</v>
      </c>
      <c r="AA7" s="1215"/>
      <c r="AB7" s="1215"/>
      <c r="AC7" s="1216"/>
      <c r="AD7" s="1217"/>
      <c r="AE7" s="1217"/>
      <c r="AF7" s="1217"/>
      <c r="AG7" s="1217"/>
      <c r="AH7" s="1217"/>
      <c r="AI7" s="1217"/>
      <c r="AJ7" s="1218"/>
    </row>
    <row r="8" spans="1:36" ht="25.5">
      <c r="A8" s="3298"/>
      <c r="B8" s="170" t="s">
        <v>1957</v>
      </c>
      <c r="C8" s="2025" t="s">
        <v>3466</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677" t="s">
        <v>1960</v>
      </c>
      <c r="X8" s="36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6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6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684" t="s">
        <v>3254</v>
      </c>
      <c r="B20" s="167" t="s">
        <v>1994</v>
      </c>
      <c r="C20" s="3324">
        <f>ROUND(IF(F21="与级别开发程度一致",0,(G21-E21)/C21),0)</f>
        <v>-75</v>
      </c>
      <c r="D20" s="3340" t="s">
        <v>1998</v>
      </c>
      <c r="E20" s="3341"/>
      <c r="F20" s="3690" t="s">
        <v>1995</v>
      </c>
      <c r="G20" s="3691"/>
      <c r="H20" s="3325" t="s">
        <v>3468</v>
      </c>
      <c r="I20" s="3325" t="s">
        <v>3469</v>
      </c>
      <c r="J20" s="3326" t="s">
        <v>3470</v>
      </c>
      <c r="K20" s="2046" t="s">
        <v>3471</v>
      </c>
      <c r="L20" s="2046" t="s">
        <v>3472</v>
      </c>
      <c r="M20" s="2046" t="s">
        <v>3473</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685"/>
      <c r="B21" s="2163" t="s">
        <v>1997</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3467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2002</v>
      </c>
      <c r="E23" s="761">
        <v>44197</v>
      </c>
      <c r="F23" s="2053" t="s">
        <v>2003</v>
      </c>
      <c r="G23" s="762">
        <f>'数据-取费表'!B2</f>
        <v>45763</v>
      </c>
      <c r="H23" s="3342" t="s">
        <v>3256</v>
      </c>
      <c r="I23" s="3343" t="str">
        <f>IF(H23="季度增幅（自定义）",SUMIF(N25:N28,E2,O25:O28),"")</f>
        <v/>
      </c>
      <c r="J23" s="3445" t="s">
        <v>3255</v>
      </c>
      <c r="K23" s="1125"/>
      <c r="L23" s="2054" t="s">
        <v>2004</v>
      </c>
      <c r="M23" s="1327">
        <f>ROUND(SUMIF(地价!B2:G2,E2,地价!B16:G16),0)</f>
        <v>318</v>
      </c>
      <c r="N23" s="2055"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0.89659999999999995</v>
      </c>
      <c r="D24" s="2059" t="s">
        <v>2007</v>
      </c>
      <c r="E24" s="1334">
        <f>存贷款利率!E27/100</f>
        <v>4.3499999999999997E-2</v>
      </c>
      <c r="F24" s="2059" t="s">
        <v>1999</v>
      </c>
      <c r="G24" s="768">
        <f>SUMIF(M30:Q30,E2,M33:Q33)</f>
        <v>0.05</v>
      </c>
      <c r="H24" s="2059" t="s">
        <v>2008</v>
      </c>
      <c r="I24" s="769">
        <f>SUMIF('数据-取费表'!C6:C15,E2,'数据-取费表'!F6:F15)/COUNTIF('数据-取费表'!C6:C15,E2)</f>
        <v>34.97</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0.81089999999999995</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0.81089999999999995</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1.0350999999999999</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1024</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1387</v>
      </c>
      <c r="D33" s="2097">
        <f>'数据-汇总表'!F19</f>
        <v>7385.119999999999</v>
      </c>
      <c r="E33" s="773">
        <f>ROUND(C33*D33/10000,0)</f>
        <v>1024</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208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88"/>
      <c r="B37" s="2112" t="s">
        <v>2036</v>
      </c>
      <c r="C37" s="175">
        <f>ROUND(D5*C22*C23*C24*C28*F37,0)</f>
        <v>1026</v>
      </c>
      <c r="D37" s="2097"/>
      <c r="E37" s="171">
        <f>ROUND(C37*D37/10000,0)</f>
        <v>0</v>
      </c>
      <c r="F37" s="171">
        <f>SUMIF(修正!A57:A68,G2,修正!B57:B68)</f>
        <v>0.6</v>
      </c>
      <c r="G37" s="171">
        <f>ROUND(IF(E2="工业",C37*$M$42,C37*$M$41),0)</f>
        <v>154</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89"/>
      <c r="B38" s="2040" t="s">
        <v>2037</v>
      </c>
      <c r="C38" s="175">
        <f>ROUND(D5*C22*C23*C24*C28*F38,0)</f>
        <v>513</v>
      </c>
      <c r="D38" s="2097"/>
      <c r="E38" s="171">
        <f t="shared" ref="E38:E42" si="4">ROUND(C38*D38/10000,0)</f>
        <v>0</v>
      </c>
      <c r="F38" s="171">
        <f>SUMIF(修正!A57:A68,G2,修正!C57:C68)</f>
        <v>0.3</v>
      </c>
      <c r="G38" s="171">
        <f>ROUND(IF(E2="工业",C38*$M$42,C38*$M$41),0)</f>
        <v>77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89"/>
      <c r="B39" s="2040" t="s">
        <v>3259</v>
      </c>
      <c r="C39" s="175">
        <f>ROUND(D5*C22*C23*C24*C28*F39,0)</f>
        <v>428</v>
      </c>
      <c r="D39" s="2097"/>
      <c r="E39" s="171">
        <f t="shared" si="4"/>
        <v>0</v>
      </c>
      <c r="F39" s="171">
        <f>SUMIF(修正!A57:A68,G2,修正!D57:D68)</f>
        <v>0.25</v>
      </c>
      <c r="G39" s="171">
        <f>ROUND(IF(E2="工业",C39*$M$42,C39*$M$41),0)</f>
        <v>64</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428</v>
      </c>
      <c r="D40" s="2097"/>
      <c r="E40" s="171">
        <f t="shared" si="4"/>
        <v>0</v>
      </c>
      <c r="F40" s="175">
        <f>SUMIF(修正!A57:A68,G2,修正!E57:E68)</f>
        <v>0.25</v>
      </c>
      <c r="G40" s="171">
        <f>ROUND(IF(E2="工业",C40*$M$42,C40*$M$41),0)</f>
        <v>64</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428</v>
      </c>
      <c r="D41" s="2097"/>
      <c r="E41" s="171">
        <f t="shared" si="4"/>
        <v>0</v>
      </c>
      <c r="F41" s="175">
        <f>SUMIF(修正!A57:A68,G2,修正!F57:F68)</f>
        <v>0.25</v>
      </c>
      <c r="G41" s="171">
        <f>ROUND(IF(E2="工业",C41*$M$42,C41*$M$41),0)</f>
        <v>64</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257</v>
      </c>
      <c r="D42" s="2102"/>
      <c r="E42" s="187">
        <f t="shared" si="4"/>
        <v>0</v>
      </c>
      <c r="F42" s="767">
        <f>SUMIF(修正!A57:A68,G2,修正!G57:G68)</f>
        <v>0.15</v>
      </c>
      <c r="G42" s="187">
        <f>ROUND(IF(E2="工业",C42*$M$42,C42*$M$41),0)</f>
        <v>39</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0.89659999999999995</v>
      </c>
      <c r="D44" s="171" t="s">
        <v>1999</v>
      </c>
      <c r="E44" s="2152">
        <f>G24</f>
        <v>0.05</v>
      </c>
      <c r="F44" s="171" t="s">
        <v>2008</v>
      </c>
      <c r="G44" s="183">
        <f>项目基本情况!H15</f>
        <v>34.97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1.0350999999999999</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3474</v>
      </c>
      <c r="D83" s="1065">
        <f t="shared" ref="D83:D90" si="22">SUMIF($J$82:$N$82,C83,J83:N83)</f>
        <v>1.6899999999999998E-2</v>
      </c>
      <c r="E83" s="744">
        <f>ROUND(SUM(D83:D90),4)</f>
        <v>3.5099999999999999E-2</v>
      </c>
      <c r="F83" s="1813">
        <f>IF(E2="工业",SUMIF(L1:L12,G2,N1:N12),"——")</f>
        <v>0.13</v>
      </c>
      <c r="G83" s="1063">
        <f>H83</f>
        <v>1.6899999999999998E-2</v>
      </c>
      <c r="H83" s="1066">
        <f t="shared" ref="H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3475</v>
      </c>
      <c r="D84" s="1065">
        <f t="shared" si="22"/>
        <v>0</v>
      </c>
      <c r="E84" s="747"/>
      <c r="F84" s="1813"/>
      <c r="G84" s="1063">
        <f t="shared" ref="G84:G90" si="27">H84</f>
        <v>1.95E-2</v>
      </c>
      <c r="H84" s="1066">
        <f t="shared" si="23"/>
        <v>1.95E-2</v>
      </c>
      <c r="I84" s="3366">
        <v>0.3</v>
      </c>
      <c r="J84" s="1064">
        <f t="shared" si="24"/>
        <v>3.9E-2</v>
      </c>
      <c r="K84" s="1064">
        <f t="shared" si="25"/>
        <v>1.95E-2</v>
      </c>
      <c r="L84" s="1064">
        <v>0</v>
      </c>
      <c r="M84" s="1064">
        <f t="shared" si="26"/>
        <v>-1.95E-2</v>
      </c>
      <c r="N84" s="1064">
        <f t="shared" si="26"/>
        <v>-3.9E-2</v>
      </c>
      <c r="Z84" s="1997"/>
      <c r="AA84" s="2052"/>
      <c r="AG84" s="1121"/>
      <c r="AK84" s="2052"/>
    </row>
    <row r="85" spans="1:37" ht="36">
      <c r="A85" s="3368" t="s">
        <v>3270</v>
      </c>
      <c r="B85" s="2133">
        <f>估价对象房地状况!G17</f>
        <v>0</v>
      </c>
      <c r="C85" s="2043" t="s">
        <v>3474</v>
      </c>
      <c r="D85" s="1065">
        <f t="shared" si="22"/>
        <v>6.4999999999999997E-3</v>
      </c>
      <c r="E85" s="747"/>
      <c r="F85" s="1813"/>
      <c r="G85" s="1063">
        <f t="shared" si="27"/>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7"/>
      <c r="AA85" s="2052"/>
      <c r="AG85" s="1121"/>
      <c r="AK85" s="2052"/>
    </row>
    <row r="86" spans="1:37" ht="14.25">
      <c r="A86" s="2129" t="s">
        <v>2067</v>
      </c>
      <c r="B86" s="2133">
        <f>估价对象房地状况!G22</f>
        <v>0</v>
      </c>
      <c r="C86" s="2043" t="s">
        <v>3476</v>
      </c>
      <c r="D86" s="1065">
        <f t="shared" si="22"/>
        <v>-3.2000000000000002E-3</v>
      </c>
      <c r="E86" s="747"/>
      <c r="F86" s="1813"/>
      <c r="G86" s="1063">
        <f t="shared" si="27"/>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7"/>
      <c r="AA86" s="2052"/>
      <c r="AG86" s="1121"/>
      <c r="AK86" s="2052"/>
    </row>
    <row r="87" spans="1:37" ht="25.5">
      <c r="A87" s="2129" t="s">
        <v>2059</v>
      </c>
      <c r="B87" s="1325" t="str">
        <f>估价对象房地状况!G19</f>
        <v>估价对象所在区域公共配套设施齐备情况</v>
      </c>
      <c r="C87" s="2043" t="s">
        <v>3475</v>
      </c>
      <c r="D87" s="1065">
        <f t="shared" si="22"/>
        <v>0</v>
      </c>
      <c r="E87" s="747"/>
      <c r="F87" s="1813"/>
      <c r="G87" s="1063">
        <f t="shared" si="27"/>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29" t="s">
        <v>2060</v>
      </c>
      <c r="B88" s="1325" t="str">
        <f>估价对象房地状况!G20</f>
        <v>估价对象所在区域基础设施水平</v>
      </c>
      <c r="C88" s="2043" t="s">
        <v>3474</v>
      </c>
      <c r="D88" s="1065">
        <f t="shared" si="22"/>
        <v>7.7999999999999996E-3</v>
      </c>
      <c r="E88" s="747"/>
      <c r="F88" s="1813"/>
      <c r="G88" s="1063">
        <f t="shared" si="27"/>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29" t="s">
        <v>2057</v>
      </c>
      <c r="B89" s="2135" t="s">
        <v>2071</v>
      </c>
      <c r="C89" s="2043" t="s">
        <v>3474</v>
      </c>
      <c r="D89" s="1065">
        <f t="shared" si="22"/>
        <v>3.8999999999999998E-3</v>
      </c>
      <c r="E89" s="747"/>
      <c r="F89" s="1813"/>
      <c r="G89" s="1063">
        <f t="shared" si="27"/>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7" t="s">
        <v>2072</v>
      </c>
      <c r="B90" s="2142" t="str">
        <f>估价对象房地状况!G18</f>
        <v>该园区内是否有污染型企业，绿化情况，卫生条件，整体环境状况判断</v>
      </c>
      <c r="C90" s="2043" t="s">
        <v>3474</v>
      </c>
      <c r="D90" s="1065">
        <f t="shared" si="22"/>
        <v>3.2000000000000002E-3</v>
      </c>
      <c r="E90" s="748"/>
      <c r="F90" s="1813"/>
      <c r="G90" s="1063">
        <f t="shared" si="27"/>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86" t="s">
        <v>3294</v>
      </c>
      <c r="B103" s="3686"/>
      <c r="C103" s="3686"/>
      <c r="D103" s="3686"/>
      <c r="E103" s="3686"/>
      <c r="F103" s="3686"/>
      <c r="G103" s="3686"/>
      <c r="H103" s="3686"/>
      <c r="I103" s="3686"/>
      <c r="J103" s="3686"/>
      <c r="K103" s="3389"/>
      <c r="L103" s="3389"/>
      <c r="M103" s="3389"/>
      <c r="N103" s="3389"/>
    </row>
    <row r="104" spans="1:14">
      <c r="A104" s="3687" t="s">
        <v>3295</v>
      </c>
      <c r="B104" s="3687" t="s">
        <v>3296</v>
      </c>
      <c r="C104" s="3390" t="s">
        <v>3297</v>
      </c>
      <c r="D104" s="3391"/>
      <c r="E104" s="3391"/>
      <c r="F104" s="3391"/>
      <c r="G104" s="3391"/>
      <c r="H104" s="3391"/>
      <c r="I104" s="3391"/>
      <c r="J104" s="3392"/>
      <c r="K104" s="3393"/>
      <c r="L104" s="3393"/>
      <c r="M104" s="3393"/>
      <c r="N104" s="3393"/>
    </row>
    <row r="105" spans="1:14">
      <c r="A105" s="3687"/>
      <c r="B105" s="36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74"/>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7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76" t="s">
        <v>3311</v>
      </c>
      <c r="B113" s="3676"/>
      <c r="C113" s="3676"/>
      <c r="D113" s="3676"/>
      <c r="E113" s="3676"/>
      <c r="F113" s="3676"/>
      <c r="G113" s="3676"/>
      <c r="H113" s="3676"/>
      <c r="I113" s="3676"/>
      <c r="J113" s="36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2.0699999999999998</v>
      </c>
      <c r="C116" s="3399" t="s">
        <v>3313</v>
      </c>
      <c r="D116" s="3400">
        <f>SUMPRODUCT((A118:A122=F116)*(B117:M117=H116)*B118:M122)</f>
        <v>0.62390000000000001</v>
      </c>
      <c r="E116" s="1999" t="s">
        <v>3314</v>
      </c>
      <c r="F116" s="3401" t="str">
        <f>E2</f>
        <v>工业</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0.97399999999999998</v>
      </c>
      <c r="C118" s="3387">
        <f>B118</f>
        <v>0.97399999999999998</v>
      </c>
      <c r="D118" s="3387">
        <f>ROUND(0.949-0.014*B116,4)</f>
        <v>0.92</v>
      </c>
      <c r="E118" s="3387">
        <f>D118</f>
        <v>0.92</v>
      </c>
      <c r="F118" s="3387">
        <f>E118</f>
        <v>0.92</v>
      </c>
      <c r="G118" s="3387">
        <f>F118</f>
        <v>0.92</v>
      </c>
      <c r="H118" s="3387">
        <f>G118</f>
        <v>0.92</v>
      </c>
      <c r="I118" s="3387">
        <f>ROUND(0.8486-0.018*B116,4)</f>
        <v>0.81130000000000002</v>
      </c>
      <c r="J118" s="3387">
        <f t="shared" ref="J118:M122" si="36">I118</f>
        <v>0.81130000000000002</v>
      </c>
      <c r="K118" s="3387">
        <f t="shared" si="36"/>
        <v>0.81130000000000002</v>
      </c>
      <c r="L118" s="3387">
        <f t="shared" si="36"/>
        <v>0.81130000000000002</v>
      </c>
      <c r="M118" s="3410">
        <f t="shared" si="36"/>
        <v>0.81130000000000002</v>
      </c>
      <c r="N118" s="3397"/>
    </row>
    <row r="119" spans="1:14">
      <c r="A119" s="3409" t="s">
        <v>3329</v>
      </c>
      <c r="B119" s="3387">
        <f>ROUND(0.993-0.0112*B116,4)</f>
        <v>0.9698</v>
      </c>
      <c r="C119" s="3387">
        <f>B119</f>
        <v>0.9698</v>
      </c>
      <c r="D119" s="3387">
        <f>ROUND(0.9415-0.0142*B116,4)</f>
        <v>0.91210000000000002</v>
      </c>
      <c r="E119" s="3387">
        <f t="shared" ref="E119:H120" si="37">D119</f>
        <v>0.91210000000000002</v>
      </c>
      <c r="F119" s="3387">
        <f t="shared" si="37"/>
        <v>0.91210000000000002</v>
      </c>
      <c r="G119" s="3387">
        <f t="shared" si="37"/>
        <v>0.91210000000000002</v>
      </c>
      <c r="H119" s="3387">
        <f t="shared" si="37"/>
        <v>0.91210000000000002</v>
      </c>
      <c r="I119" s="3387">
        <f>ROUND(0.838-0.0182*B116,4)</f>
        <v>0.80030000000000001</v>
      </c>
      <c r="J119" s="3387">
        <f t="shared" si="36"/>
        <v>0.80030000000000001</v>
      </c>
      <c r="K119" s="3387">
        <f t="shared" si="36"/>
        <v>0.80030000000000001</v>
      </c>
      <c r="L119" s="3387">
        <f t="shared" si="36"/>
        <v>0.80030000000000001</v>
      </c>
      <c r="M119" s="3410">
        <f t="shared" si="36"/>
        <v>0.80030000000000001</v>
      </c>
      <c r="N119" s="3397"/>
    </row>
    <row r="120" spans="1:14">
      <c r="A120" s="3409" t="s">
        <v>3330</v>
      </c>
      <c r="B120" s="3387">
        <f>ROUND(0.9448-0.0115*B116,4)</f>
        <v>0.92100000000000004</v>
      </c>
      <c r="C120" s="3387">
        <f>B120</f>
        <v>0.92100000000000004</v>
      </c>
      <c r="D120" s="3387">
        <f>ROUND(0.937-0.0145*B116,4)</f>
        <v>0.90700000000000003</v>
      </c>
      <c r="E120" s="3387">
        <f t="shared" si="37"/>
        <v>0.90700000000000003</v>
      </c>
      <c r="F120" s="3387">
        <f t="shared" si="37"/>
        <v>0.90700000000000003</v>
      </c>
      <c r="G120" s="3387">
        <f t="shared" si="37"/>
        <v>0.90700000000000003</v>
      </c>
      <c r="H120" s="3387">
        <f t="shared" si="37"/>
        <v>0.90700000000000003</v>
      </c>
      <c r="I120" s="3387">
        <f>ROUND(0.7965-0.0185*B116,4)</f>
        <v>0.75819999999999999</v>
      </c>
      <c r="J120" s="3387">
        <f t="shared" si="36"/>
        <v>0.75819999999999999</v>
      </c>
      <c r="K120" s="3387">
        <f t="shared" si="36"/>
        <v>0.75819999999999999</v>
      </c>
      <c r="L120" s="3387">
        <f t="shared" si="36"/>
        <v>0.75819999999999999</v>
      </c>
      <c r="M120" s="3410">
        <f t="shared" si="36"/>
        <v>0.75819999999999999</v>
      </c>
      <c r="N120" s="3397"/>
    </row>
    <row r="121" spans="1:14" ht="13.5" thickBot="1">
      <c r="A121" s="3411" t="s">
        <v>3331</v>
      </c>
      <c r="B121" s="3412">
        <f>ROUND(0.7836-0.012*B116,4)</f>
        <v>0.75880000000000003</v>
      </c>
      <c r="C121" s="3412">
        <f>B121</f>
        <v>0.75880000000000003</v>
      </c>
      <c r="D121" s="3412">
        <f>ROUND(0.753-0.015*B116,4)</f>
        <v>0.72199999999999998</v>
      </c>
      <c r="E121" s="3412">
        <f>D121</f>
        <v>0.72199999999999998</v>
      </c>
      <c r="F121" s="3412">
        <f>E121</f>
        <v>0.72199999999999998</v>
      </c>
      <c r="G121" s="3412">
        <f>ROUND(0.6612-0.018*B116,4)</f>
        <v>0.62390000000000001</v>
      </c>
      <c r="H121" s="3412">
        <f>G121</f>
        <v>0.62390000000000001</v>
      </c>
      <c r="I121" s="3412">
        <f>ROUND(0.5905-0.019*B116,4)</f>
        <v>0.55120000000000002</v>
      </c>
      <c r="J121" s="3412">
        <f t="shared" si="36"/>
        <v>0.55120000000000002</v>
      </c>
      <c r="K121" s="3412">
        <f t="shared" si="36"/>
        <v>0.55120000000000002</v>
      </c>
      <c r="L121" s="3412">
        <f t="shared" si="36"/>
        <v>0.55120000000000002</v>
      </c>
      <c r="M121" s="3413">
        <f t="shared" si="36"/>
        <v>0.55120000000000002</v>
      </c>
      <c r="N121" s="3397"/>
    </row>
    <row r="122" spans="1:14">
      <c r="A122" s="3414" t="s">
        <v>2612</v>
      </c>
      <c r="B122" s="3387">
        <f>ROUND(0.9404-0.0106*B116,4)</f>
        <v>0.91849999999999998</v>
      </c>
      <c r="C122" s="3387">
        <f>B122</f>
        <v>0.91849999999999998</v>
      </c>
      <c r="D122" s="3387">
        <f>ROUND(0.8955-0.0135*B116,4)</f>
        <v>0.86760000000000004</v>
      </c>
      <c r="E122" s="3387">
        <f t="shared" ref="E122:H122" si="38">D122</f>
        <v>0.86760000000000004</v>
      </c>
      <c r="F122" s="3387">
        <f t="shared" si="38"/>
        <v>0.86760000000000004</v>
      </c>
      <c r="G122" s="3387">
        <f t="shared" si="38"/>
        <v>0.86760000000000004</v>
      </c>
      <c r="H122" s="3387">
        <f t="shared" si="38"/>
        <v>0.86760000000000004</v>
      </c>
      <c r="I122" s="3387">
        <f>ROUND(0.7632-0.0166*B116,4)</f>
        <v>0.7288</v>
      </c>
      <c r="J122" s="3387">
        <f t="shared" si="36"/>
        <v>0.7288</v>
      </c>
      <c r="K122" s="3387">
        <f t="shared" si="36"/>
        <v>0.7288</v>
      </c>
      <c r="L122" s="3387">
        <f t="shared" si="36"/>
        <v>0.7288</v>
      </c>
      <c r="M122" s="3410">
        <f t="shared" si="36"/>
        <v>0.7288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90" zoomScaleNormal="60" zoomScaleSheetLayoutView="90" workbookViewId="0">
      <selection activeCell="M11" sqref="M1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537</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606</v>
      </c>
      <c r="C3" s="203" t="s">
        <v>1869</v>
      </c>
      <c r="D3" s="1192"/>
      <c r="E3" s="908"/>
      <c r="F3" s="909"/>
      <c r="G3" s="3481" t="s">
        <v>3609</v>
      </c>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2" t="s">
        <v>1770</v>
      </c>
      <c r="D4" s="3718"/>
      <c r="E4" s="3719" t="s">
        <v>1771</v>
      </c>
      <c r="F4" s="3720"/>
      <c r="G4" s="3692" t="s">
        <v>1772</v>
      </c>
      <c r="H4" s="3718"/>
      <c r="I4" s="3692" t="s">
        <v>1773</v>
      </c>
      <c r="J4" s="3718"/>
      <c r="K4" s="559" t="s">
        <v>1774</v>
      </c>
      <c r="L4" s="2714"/>
      <c r="M4" s="2715"/>
      <c r="N4" s="2715"/>
      <c r="O4" s="2715"/>
      <c r="P4" s="3721" t="s">
        <v>1775</v>
      </c>
      <c r="Q4" s="3722"/>
      <c r="R4" s="3698" t="s">
        <v>1771</v>
      </c>
      <c r="S4" s="3699"/>
      <c r="T4" s="3698" t="s">
        <v>1772</v>
      </c>
      <c r="U4" s="3699"/>
      <c r="V4" s="3711" t="s">
        <v>1773</v>
      </c>
      <c r="W4" s="3711"/>
      <c r="X4" s="1354"/>
      <c r="Y4" s="3698" t="s">
        <v>1775</v>
      </c>
      <c r="Z4" s="3699"/>
      <c r="AA4" s="3715" t="s">
        <v>1771</v>
      </c>
      <c r="AB4" s="3716" t="s">
        <v>1772</v>
      </c>
      <c r="AC4" s="3715" t="s">
        <v>1773</v>
      </c>
    </row>
    <row r="5" spans="1:29" ht="79.5" customHeight="1">
      <c r="A5" s="358"/>
      <c r="B5" s="359"/>
      <c r="C5" s="3702" t="s">
        <v>1673</v>
      </c>
      <c r="D5" s="3703"/>
      <c r="E5" s="3727" t="str">
        <f>土地案例!A2</f>
        <v>京津冀智能网联新能源汽车科技生态港(顺义)一期1、2号地项目SY00-3702-0005地块M1工业用地</v>
      </c>
      <c r="F5" s="3728"/>
      <c r="G5" s="3702" t="str">
        <f>土地案例!A3</f>
        <v>顺义新城07街区SY00-0702-05-019地块M1工业用地</v>
      </c>
      <c r="H5" s="3703"/>
      <c r="I5" s="3702" t="str">
        <f>土地案例!A6</f>
        <v>顺义新城3401街区(高丽营镇中关村顺义园三代半产业基地)3-2-4(北区)(3号地A)地块M1工业用地国有建设用地使用权出让</v>
      </c>
      <c r="J5" s="3703"/>
      <c r="K5" s="559"/>
      <c r="L5" s="2714"/>
      <c r="M5" s="2715"/>
      <c r="N5" s="2715"/>
      <c r="O5" s="2715"/>
      <c r="P5" s="3723"/>
      <c r="Q5" s="3724"/>
      <c r="R5" s="3700"/>
      <c r="S5" s="3701"/>
      <c r="T5" s="3700"/>
      <c r="U5" s="3701"/>
      <c r="V5" s="3711"/>
      <c r="W5" s="3711"/>
      <c r="X5" s="1354"/>
      <c r="Y5" s="3700"/>
      <c r="Z5" s="3701"/>
      <c r="AA5" s="3716"/>
      <c r="AB5" s="3716"/>
      <c r="AC5" s="3716"/>
    </row>
    <row r="6" spans="1:29" ht="15.75" thickBot="1">
      <c r="A6" s="360"/>
      <c r="B6" s="361"/>
      <c r="C6" s="3704" t="s">
        <v>1919</v>
      </c>
      <c r="D6" s="3705"/>
      <c r="E6" s="3707" t="str">
        <f>土地案例!E2</f>
        <v>京土储挂(顺)工业[2024]003号</v>
      </c>
      <c r="F6" s="3708"/>
      <c r="G6" s="3704" t="str">
        <f>土地案例!E3</f>
        <v>京土储挂(顺)工业[2024]001号</v>
      </c>
      <c r="H6" s="3705"/>
      <c r="I6" s="3704" t="str">
        <f>土地案例!E6</f>
        <v>京土储挂(顺)工业[2022]004号</v>
      </c>
      <c r="J6" s="3705"/>
      <c r="K6" s="559" t="s">
        <v>1678</v>
      </c>
      <c r="L6" s="2714"/>
      <c r="M6" s="2715"/>
      <c r="N6" s="2715"/>
      <c r="O6" s="2715"/>
      <c r="P6" s="3725"/>
      <c r="Q6" s="3726"/>
      <c r="R6" s="3700"/>
      <c r="S6" s="3701"/>
      <c r="T6" s="3709"/>
      <c r="U6" s="3710"/>
      <c r="V6" s="3711"/>
      <c r="W6" s="3711"/>
      <c r="X6" s="1354"/>
      <c r="Y6" s="3709"/>
      <c r="Z6" s="3710"/>
      <c r="AA6" s="3717"/>
      <c r="AB6" s="3717"/>
      <c r="AC6" s="3717"/>
    </row>
    <row r="7" spans="1:29" s="108" customFormat="1" ht="15.75" thickBot="1">
      <c r="A7" s="362" t="s">
        <v>1679</v>
      </c>
      <c r="B7" s="363"/>
      <c r="C7" s="364">
        <f>'数据-取费表'!B2</f>
        <v>45763</v>
      </c>
      <c r="D7" s="365">
        <v>100</v>
      </c>
      <c r="E7" s="366" t="str">
        <f>土地案例!O2</f>
        <v>2025-02-03</v>
      </c>
      <c r="F7" s="367">
        <f>SUMIF(65:65,YEAR(E7)&amp;"-"&amp;INT((MONTH(E7)+2)/3),66:66)</f>
        <v>99.9</v>
      </c>
      <c r="G7" s="1973" t="str">
        <f>土地案例!O3</f>
        <v>2024-04-22</v>
      </c>
      <c r="H7" s="365">
        <f>SUMIF(65:65,YEAR(G7)&amp;"-"&amp;INT((MONTH(G7)+2)/3),66:66)</f>
        <v>99.600000000000023</v>
      </c>
      <c r="I7" s="1973" t="str">
        <f>土地案例!O6</f>
        <v>2022-09-28</v>
      </c>
      <c r="J7" s="365">
        <f>SUMIF(65:65,YEAR(I7)&amp;"-"&amp;INT((MONTH(I7)+2)/3),66:66)</f>
        <v>98.900000000000063</v>
      </c>
      <c r="K7" s="560"/>
      <c r="L7" s="2716"/>
      <c r="M7" s="2717"/>
      <c r="N7" s="2717"/>
      <c r="O7" s="2717"/>
      <c r="P7" s="3696" t="s">
        <v>1680</v>
      </c>
      <c r="Q7" s="3706"/>
      <c r="R7" s="701" t="s">
        <v>14</v>
      </c>
      <c r="S7" s="702">
        <f t="shared" ref="S7:S15" si="0">F7</f>
        <v>99.9</v>
      </c>
      <c r="T7" s="701" t="s">
        <v>14</v>
      </c>
      <c r="U7" s="702">
        <f t="shared" ref="U7:U15" si="1">H7</f>
        <v>99.600000000000023</v>
      </c>
      <c r="V7" s="701" t="s">
        <v>14</v>
      </c>
      <c r="W7" s="702">
        <f t="shared" ref="W7:W15" si="2">J7</f>
        <v>98.900000000000063</v>
      </c>
      <c r="X7" s="703"/>
      <c r="Y7" s="3696" t="s">
        <v>1680</v>
      </c>
      <c r="Z7" s="3697"/>
      <c r="AA7" s="704">
        <f>D7/F7</f>
        <v>1.0010010010010009</v>
      </c>
      <c r="AB7" s="704">
        <f>D7/H7</f>
        <v>1.0040160642570279</v>
      </c>
      <c r="AC7" s="704">
        <f>D7/J7</f>
        <v>1.0111223458038416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95" t="s">
        <v>1686</v>
      </c>
      <c r="Q9" s="1342"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695"/>
      <c r="Q10" s="1342" t="str">
        <f t="shared" si="6"/>
        <v>土地使用年限（年）</v>
      </c>
      <c r="R10" s="701" t="s">
        <v>14</v>
      </c>
      <c r="S10" s="702">
        <f t="shared" si="0"/>
        <v>113</v>
      </c>
      <c r="T10" s="701" t="s">
        <v>14</v>
      </c>
      <c r="U10" s="702">
        <f t="shared" si="1"/>
        <v>113</v>
      </c>
      <c r="V10" s="701" t="s">
        <v>14</v>
      </c>
      <c r="W10" s="702">
        <f t="shared" si="2"/>
        <v>113</v>
      </c>
      <c r="X10" s="703"/>
      <c r="Y10" s="3577"/>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f>'数据-汇总表'!I4</f>
        <v>2.0699999999999998</v>
      </c>
      <c r="D11" s="127">
        <v>100</v>
      </c>
      <c r="E11" s="380">
        <v>1.5</v>
      </c>
      <c r="F11" s="127">
        <f>LOOKUP(E11,75:75,76:76)-LOOKUP(C11,75:75,76:76)+100</f>
        <v>102</v>
      </c>
      <c r="G11" s="381">
        <v>1.5</v>
      </c>
      <c r="H11" s="127">
        <f>LOOKUP(G11,75:75,76:76)-LOOKUP(C11,75:75,76:76)+100</f>
        <v>102</v>
      </c>
      <c r="I11" s="380">
        <v>1.5</v>
      </c>
      <c r="J11" s="127">
        <f>LOOKUP(I11,75:75,76:76)-LOOKUP(C11,75:75,76:76)+100</f>
        <v>102</v>
      </c>
      <c r="K11" s="621">
        <v>2</v>
      </c>
      <c r="L11" s="2720"/>
      <c r="M11" s="2715"/>
      <c r="N11" s="2715"/>
      <c r="O11" s="2773"/>
      <c r="P11" s="3695"/>
      <c r="Q11" s="1342" t="str">
        <f t="shared" si="6"/>
        <v>容积率</v>
      </c>
      <c r="R11" s="701" t="s">
        <v>14</v>
      </c>
      <c r="S11" s="702">
        <f t="shared" si="0"/>
        <v>102</v>
      </c>
      <c r="T11" s="701" t="s">
        <v>14</v>
      </c>
      <c r="U11" s="702">
        <f t="shared" si="1"/>
        <v>102</v>
      </c>
      <c r="V11" s="701" t="s">
        <v>14</v>
      </c>
      <c r="W11" s="702">
        <f t="shared" si="2"/>
        <v>102</v>
      </c>
      <c r="X11" s="703"/>
      <c r="Y11" s="3577"/>
      <c r="Z11" s="52" t="str">
        <f t="shared" si="7"/>
        <v>容积率</v>
      </c>
      <c r="AA11" s="704">
        <f t="shared" si="3"/>
        <v>0.98039215686274506</v>
      </c>
      <c r="AB11" s="704">
        <f t="shared" si="4"/>
        <v>0.98039215686274506</v>
      </c>
      <c r="AC11" s="704">
        <f t="shared" si="5"/>
        <v>0.98039215686274506</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5"/>
      <c r="Q12" s="1342">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5"/>
      <c r="Q14" s="1342">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12" t="s">
        <v>1691</v>
      </c>
      <c r="Q15" s="1351" t="str">
        <f t="shared" si="6"/>
        <v>产业集聚程度</v>
      </c>
      <c r="R15" s="705" t="s">
        <v>14</v>
      </c>
      <c r="S15" s="706">
        <f t="shared" si="0"/>
        <v>100</v>
      </c>
      <c r="T15" s="705" t="s">
        <v>14</v>
      </c>
      <c r="U15" s="706">
        <f t="shared" si="1"/>
        <v>100</v>
      </c>
      <c r="V15" s="705" t="s">
        <v>14</v>
      </c>
      <c r="W15" s="706">
        <f t="shared" si="2"/>
        <v>100</v>
      </c>
      <c r="X15" s="1354"/>
      <c r="Y15" s="3712" t="s">
        <v>1691</v>
      </c>
      <c r="Z15" s="1355" t="str">
        <f t="shared" si="7"/>
        <v>产业集聚程度</v>
      </c>
      <c r="AA15" s="1352">
        <f t="shared" si="3"/>
        <v>1</v>
      </c>
      <c r="AB15" s="1352">
        <f t="shared" si="4"/>
        <v>1</v>
      </c>
      <c r="AC15" s="1352">
        <f t="shared" si="5"/>
        <v>1</v>
      </c>
    </row>
    <row r="16" spans="1:29" ht="15">
      <c r="A16" s="379"/>
      <c r="B16" s="578"/>
      <c r="C16" s="398" t="s">
        <v>3474</v>
      </c>
      <c r="D16" s="399"/>
      <c r="E16" s="398" t="s">
        <v>3474</v>
      </c>
      <c r="F16" s="399"/>
      <c r="G16" s="398" t="s">
        <v>3474</v>
      </c>
      <c r="H16" s="401"/>
      <c r="I16" s="398" t="s">
        <v>3474</v>
      </c>
      <c r="J16" s="399"/>
      <c r="K16" s="620"/>
      <c r="L16" s="2721"/>
      <c r="M16" s="2715"/>
      <c r="N16" s="2715"/>
      <c r="O16" s="2773"/>
      <c r="P16" s="3713"/>
      <c r="Q16" s="1351"/>
      <c r="R16" s="705"/>
      <c r="S16" s="706"/>
      <c r="T16" s="705"/>
      <c r="U16" s="706"/>
      <c r="V16" s="705"/>
      <c r="W16" s="706"/>
      <c r="X16" s="1354"/>
      <c r="Y16" s="371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98</v>
      </c>
      <c r="G17" s="403"/>
      <c r="H17" s="406">
        <f>SUMIF(85:85,G18,86:86)-SUMIF(85:85,C18,86:86)+100</f>
        <v>100</v>
      </c>
      <c r="I17" s="405"/>
      <c r="J17" s="401">
        <f>SUMIF(85:85,I18,86:86)-SUMIF(85:85,C18,86:86)+100</f>
        <v>98</v>
      </c>
      <c r="K17" s="621">
        <v>2</v>
      </c>
      <c r="L17" s="2721"/>
      <c r="M17" s="2715"/>
      <c r="N17" s="2715"/>
      <c r="O17" s="2773"/>
      <c r="P17" s="3713"/>
      <c r="Q17" s="1351" t="str">
        <f>B17</f>
        <v>交通便捷度</v>
      </c>
      <c r="R17" s="705" t="s">
        <v>14</v>
      </c>
      <c r="S17" s="706">
        <f>F17</f>
        <v>98</v>
      </c>
      <c r="T17" s="705" t="s">
        <v>14</v>
      </c>
      <c r="U17" s="706">
        <f>H17</f>
        <v>100</v>
      </c>
      <c r="V17" s="705" t="s">
        <v>14</v>
      </c>
      <c r="W17" s="706">
        <f>J17</f>
        <v>98</v>
      </c>
      <c r="X17" s="1354"/>
      <c r="Y17" s="3713"/>
      <c r="Z17" s="1355" t="str">
        <f>Q17</f>
        <v>交通便捷度</v>
      </c>
      <c r="AA17" s="1352">
        <f t="shared" si="3"/>
        <v>1.0204081632653061</v>
      </c>
      <c r="AB17" s="1352">
        <f t="shared" si="4"/>
        <v>1</v>
      </c>
      <c r="AC17" s="1352">
        <f t="shared" si="5"/>
        <v>1.0204081632653061</v>
      </c>
    </row>
    <row r="18" spans="1:29" ht="15">
      <c r="A18" s="379"/>
      <c r="B18" s="580"/>
      <c r="C18" s="398" t="s">
        <v>3475</v>
      </c>
      <c r="D18" s="399"/>
      <c r="E18" s="398" t="s">
        <v>3476</v>
      </c>
      <c r="F18" s="399"/>
      <c r="G18" s="398" t="s">
        <v>3475</v>
      </c>
      <c r="H18" s="399"/>
      <c r="I18" s="398" t="s">
        <v>3476</v>
      </c>
      <c r="J18" s="399"/>
      <c r="K18" s="620"/>
      <c r="L18" s="2721"/>
      <c r="M18" s="2715"/>
      <c r="N18" s="2715"/>
      <c r="O18" s="2773"/>
      <c r="P18" s="3713"/>
      <c r="Q18" s="1351"/>
      <c r="R18" s="705"/>
      <c r="S18" s="706"/>
      <c r="T18" s="705"/>
      <c r="U18" s="706"/>
      <c r="V18" s="705"/>
      <c r="W18" s="706"/>
      <c r="X18" s="1354"/>
      <c r="Y18" s="371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713"/>
      <c r="Q19" s="1351" t="str">
        <f t="shared" ref="Q19:Q33" si="8">B19</f>
        <v>区域土地利用方向</v>
      </c>
      <c r="R19" s="705" t="s">
        <v>14</v>
      </c>
      <c r="S19" s="706">
        <f>F19</f>
        <v>100</v>
      </c>
      <c r="T19" s="705" t="s">
        <v>14</v>
      </c>
      <c r="U19" s="706">
        <f>H19</f>
        <v>100</v>
      </c>
      <c r="V19" s="705" t="s">
        <v>14</v>
      </c>
      <c r="W19" s="706">
        <f>J19</f>
        <v>100</v>
      </c>
      <c r="X19" s="1354"/>
      <c r="Y19" s="3713"/>
      <c r="Z19" s="1355" t="str">
        <f>Q19</f>
        <v>区域土地利用方向</v>
      </c>
      <c r="AA19" s="1352">
        <f t="shared" si="3"/>
        <v>1</v>
      </c>
      <c r="AB19" s="1352">
        <f t="shared" si="4"/>
        <v>1</v>
      </c>
      <c r="AC19" s="1352">
        <f t="shared" si="5"/>
        <v>1</v>
      </c>
    </row>
    <row r="20" spans="1:29" ht="15">
      <c r="A20" s="358"/>
      <c r="B20" s="580"/>
      <c r="C20" s="398" t="s">
        <v>3474</v>
      </c>
      <c r="D20" s="399"/>
      <c r="E20" s="398" t="s">
        <v>3474</v>
      </c>
      <c r="F20" s="399"/>
      <c r="G20" s="398" t="s">
        <v>3474</v>
      </c>
      <c r="H20" s="399"/>
      <c r="I20" s="398" t="s">
        <v>3474</v>
      </c>
      <c r="J20" s="399"/>
      <c r="K20" s="740"/>
      <c r="L20" s="2721"/>
      <c r="M20" s="2715"/>
      <c r="N20" s="2715"/>
      <c r="O20" s="2773"/>
      <c r="P20" s="3713"/>
      <c r="Q20" s="1351"/>
      <c r="R20" s="705"/>
      <c r="S20" s="706"/>
      <c r="T20" s="705"/>
      <c r="U20" s="706"/>
      <c r="V20" s="705"/>
      <c r="W20" s="706"/>
      <c r="X20" s="1354"/>
      <c r="Y20" s="371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97</v>
      </c>
      <c r="K21" s="621">
        <v>3</v>
      </c>
      <c r="L21" s="2721"/>
      <c r="M21" s="2715"/>
      <c r="N21" s="2715"/>
      <c r="O21" s="2773"/>
      <c r="P21" s="3713"/>
      <c r="Q21" s="1351" t="str">
        <f t="shared" si="8"/>
        <v>环境状况</v>
      </c>
      <c r="R21" s="705" t="s">
        <v>14</v>
      </c>
      <c r="S21" s="706">
        <f>F21</f>
        <v>100</v>
      </c>
      <c r="T21" s="705" t="s">
        <v>14</v>
      </c>
      <c r="U21" s="706">
        <f>H21</f>
        <v>100</v>
      </c>
      <c r="V21" s="705" t="s">
        <v>14</v>
      </c>
      <c r="W21" s="706">
        <f>J21</f>
        <v>97</v>
      </c>
      <c r="X21" s="1354"/>
      <c r="Y21" s="3713"/>
      <c r="Z21" s="1355" t="str">
        <f>Q21</f>
        <v>环境状况</v>
      </c>
      <c r="AA21" s="1352">
        <f t="shared" si="3"/>
        <v>1</v>
      </c>
      <c r="AB21" s="1352">
        <f t="shared" si="4"/>
        <v>1</v>
      </c>
      <c r="AC21" s="1352">
        <f t="shared" si="5"/>
        <v>1.0309278350515463</v>
      </c>
    </row>
    <row r="22" spans="1:29" ht="15">
      <c r="A22" s="358"/>
      <c r="B22" s="580"/>
      <c r="C22" s="398" t="s">
        <v>3474</v>
      </c>
      <c r="D22" s="399"/>
      <c r="E22" s="398" t="s">
        <v>3474</v>
      </c>
      <c r="F22" s="399"/>
      <c r="G22" s="398" t="s">
        <v>3474</v>
      </c>
      <c r="H22" s="399"/>
      <c r="I22" s="398" t="s">
        <v>3475</v>
      </c>
      <c r="J22" s="399"/>
      <c r="K22" s="620"/>
      <c r="L22" s="2721"/>
      <c r="M22" s="2715"/>
      <c r="N22" s="2715"/>
      <c r="O22" s="2773"/>
      <c r="P22" s="3713"/>
      <c r="Q22" s="1351"/>
      <c r="R22" s="705"/>
      <c r="S22" s="706"/>
      <c r="T22" s="705"/>
      <c r="U22" s="706"/>
      <c r="V22" s="705"/>
      <c r="W22" s="706"/>
      <c r="X22" s="1354"/>
      <c r="Y22" s="371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98</v>
      </c>
      <c r="K23" s="621">
        <v>2</v>
      </c>
      <c r="L23" s="2716"/>
      <c r="M23" s="2717"/>
      <c r="N23" s="2717"/>
      <c r="O23" s="2771"/>
      <c r="P23" s="3713"/>
      <c r="Q23" s="1342" t="str">
        <f t="shared" si="8"/>
        <v>公共配套设施</v>
      </c>
      <c r="R23" s="701" t="s">
        <v>14</v>
      </c>
      <c r="S23" s="702">
        <f>F23</f>
        <v>100</v>
      </c>
      <c r="T23" s="701" t="s">
        <v>14</v>
      </c>
      <c r="U23" s="702">
        <f>H23</f>
        <v>100</v>
      </c>
      <c r="V23" s="701" t="s">
        <v>14</v>
      </c>
      <c r="W23" s="702">
        <f>J23</f>
        <v>98</v>
      </c>
      <c r="X23" s="703"/>
      <c r="Y23" s="3713"/>
      <c r="Z23" s="52" t="str">
        <f>Q23</f>
        <v>公共配套设施</v>
      </c>
      <c r="AA23" s="1352">
        <f>D23/F23</f>
        <v>1</v>
      </c>
      <c r="AB23" s="1352">
        <f>D23/H23</f>
        <v>1</v>
      </c>
      <c r="AC23" s="1352">
        <f>D23/J23</f>
        <v>1.0204081632653061</v>
      </c>
    </row>
    <row r="24" spans="1:29" s="108" customFormat="1" ht="15">
      <c r="A24" s="597"/>
      <c r="B24" s="580"/>
      <c r="C24" s="1977" t="s">
        <v>3475</v>
      </c>
      <c r="D24" s="399"/>
      <c r="E24" s="1977" t="s">
        <v>3475</v>
      </c>
      <c r="F24" s="399"/>
      <c r="G24" s="1977" t="s">
        <v>3475</v>
      </c>
      <c r="H24" s="399"/>
      <c r="I24" s="1977" t="s">
        <v>3476</v>
      </c>
      <c r="J24" s="399"/>
      <c r="K24" s="620"/>
      <c r="L24" s="2716"/>
      <c r="M24" s="2717"/>
      <c r="N24" s="2717"/>
      <c r="O24" s="2771"/>
      <c r="P24" s="3713"/>
      <c r="Q24" s="1342"/>
      <c r="R24" s="701"/>
      <c r="S24" s="702"/>
      <c r="T24" s="701"/>
      <c r="U24" s="702"/>
      <c r="V24" s="701"/>
      <c r="W24" s="702"/>
      <c r="X24" s="703"/>
      <c r="Y24" s="371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13"/>
      <c r="Q25" s="1342"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2">
        <f>D25/F25</f>
        <v>1</v>
      </c>
      <c r="AB25" s="1352">
        <f>D25/H25</f>
        <v>1</v>
      </c>
      <c r="AC25" s="1352">
        <f>D25/J25</f>
        <v>1</v>
      </c>
    </row>
    <row r="26" spans="1:29" s="108" customFormat="1" ht="15">
      <c r="A26" s="597"/>
      <c r="B26" s="580"/>
      <c r="C26" s="1977" t="s">
        <v>3616</v>
      </c>
      <c r="D26" s="399"/>
      <c r="E26" s="1977" t="s">
        <v>3616</v>
      </c>
      <c r="F26" s="399"/>
      <c r="G26" s="1977" t="s">
        <v>3616</v>
      </c>
      <c r="H26" s="399"/>
      <c r="I26" s="1977" t="s">
        <v>3616</v>
      </c>
      <c r="J26" s="399"/>
      <c r="K26" s="620"/>
      <c r="L26" s="2716"/>
      <c r="M26" s="2717"/>
      <c r="N26" s="2717"/>
      <c r="O26" s="2771"/>
      <c r="P26" s="3713"/>
      <c r="Q26" s="1342"/>
      <c r="R26" s="701"/>
      <c r="S26" s="702"/>
      <c r="T26" s="701"/>
      <c r="U26" s="702"/>
      <c r="V26" s="701"/>
      <c r="W26" s="702"/>
      <c r="X26" s="703"/>
      <c r="Y26" s="3713"/>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3"/>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3"/>
      <c r="Q28" s="1351" t="str">
        <f t="shared" si="8"/>
        <v>毗邻道路的类型与等级</v>
      </c>
      <c r="R28" s="705" t="s">
        <v>14</v>
      </c>
      <c r="S28" s="706">
        <f t="shared" si="10"/>
        <v>100</v>
      </c>
      <c r="T28" s="705" t="s">
        <v>14</v>
      </c>
      <c r="U28" s="706">
        <f t="shared" si="11"/>
        <v>100</v>
      </c>
      <c r="V28" s="705" t="s">
        <v>14</v>
      </c>
      <c r="W28" s="706">
        <f t="shared" si="12"/>
        <v>100</v>
      </c>
      <c r="X28" s="1354"/>
      <c r="Y28" s="3713"/>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13"/>
      <c r="Q29" s="1351"/>
      <c r="R29" s="705"/>
      <c r="S29" s="706"/>
      <c r="T29" s="705"/>
      <c r="U29" s="706"/>
      <c r="V29" s="705"/>
      <c r="W29" s="706"/>
      <c r="X29" s="1354"/>
      <c r="Y29" s="3713"/>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3"/>
      <c r="Q30" s="1351" t="str">
        <f t="shared" si="8"/>
        <v>土地级别</v>
      </c>
      <c r="R30" s="705" t="s">
        <v>14</v>
      </c>
      <c r="S30" s="706">
        <f t="shared" si="10"/>
        <v>100</v>
      </c>
      <c r="T30" s="705" t="s">
        <v>14</v>
      </c>
      <c r="U30" s="706">
        <f t="shared" si="11"/>
        <v>100</v>
      </c>
      <c r="V30" s="705" t="s">
        <v>14</v>
      </c>
      <c r="W30" s="706">
        <f t="shared" si="12"/>
        <v>100</v>
      </c>
      <c r="X30" s="1354"/>
      <c r="Y30" s="371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3"/>
      <c r="Q31" s="1351">
        <f t="shared" si="8"/>
        <v>111</v>
      </c>
      <c r="R31" s="705" t="s">
        <v>14</v>
      </c>
      <c r="S31" s="706">
        <f t="shared" si="10"/>
        <v>100</v>
      </c>
      <c r="T31" s="705" t="s">
        <v>14</v>
      </c>
      <c r="U31" s="706">
        <f t="shared" si="11"/>
        <v>100</v>
      </c>
      <c r="V31" s="705" t="s">
        <v>14</v>
      </c>
      <c r="W31" s="706">
        <f t="shared" si="12"/>
        <v>100</v>
      </c>
      <c r="X31" s="1354"/>
      <c r="Y31" s="371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1">
        <f t="shared" si="8"/>
        <v>111</v>
      </c>
      <c r="R32" s="705" t="s">
        <v>14</v>
      </c>
      <c r="S32" s="706">
        <f t="shared" si="10"/>
        <v>100</v>
      </c>
      <c r="T32" s="705" t="s">
        <v>14</v>
      </c>
      <c r="U32" s="706">
        <f t="shared" si="11"/>
        <v>100</v>
      </c>
      <c r="V32" s="705" t="s">
        <v>14</v>
      </c>
      <c r="W32" s="706">
        <f t="shared" si="12"/>
        <v>100</v>
      </c>
      <c r="X32" s="1354"/>
      <c r="Y32" s="371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4"/>
      <c r="Q33" s="1351">
        <f t="shared" si="8"/>
        <v>111</v>
      </c>
      <c r="R33" s="708" t="s">
        <v>14</v>
      </c>
      <c r="S33" s="709">
        <f t="shared" si="10"/>
        <v>100</v>
      </c>
      <c r="T33" s="708" t="s">
        <v>14</v>
      </c>
      <c r="U33" s="709">
        <f t="shared" si="11"/>
        <v>100</v>
      </c>
      <c r="V33" s="708" t="s">
        <v>14</v>
      </c>
      <c r="W33" s="709">
        <f t="shared" si="12"/>
        <v>100</v>
      </c>
      <c r="X33" s="710"/>
      <c r="Y33" s="3714"/>
      <c r="Z33" s="711">
        <f t="shared" si="13"/>
        <v>111</v>
      </c>
      <c r="AA33" s="1352">
        <f t="shared" si="3"/>
        <v>1</v>
      </c>
      <c r="AB33" s="1352">
        <f t="shared" si="4"/>
        <v>1</v>
      </c>
      <c r="AC33" s="1352">
        <f t="shared" si="5"/>
        <v>1</v>
      </c>
    </row>
    <row r="34" spans="1:31" ht="15">
      <c r="A34" s="391" t="s">
        <v>1694</v>
      </c>
      <c r="B34" s="407" t="s">
        <v>1874</v>
      </c>
      <c r="C34" s="627">
        <v>23287.200000000001</v>
      </c>
      <c r="D34" s="418">
        <v>100</v>
      </c>
      <c r="E34" s="627">
        <f>土地案例!F2</f>
        <v>61152.33</v>
      </c>
      <c r="F34" s="418">
        <f>LOOKUP(E34,108:108,109:109)-LOOKUP(C34,108:108,109:109)+100</f>
        <v>102</v>
      </c>
      <c r="G34" s="627">
        <f>土地案例!F3</f>
        <v>20720.099999999999</v>
      </c>
      <c r="H34" s="418">
        <f>LOOKUP(G34,108:108,109:109)-LOOKUP(C34,108:108,109:109)+100</f>
        <v>100</v>
      </c>
      <c r="I34" s="479">
        <f>土地案例!F6</f>
        <v>40217.370000000003</v>
      </c>
      <c r="J34" s="418">
        <f>LOOKUP(I34,108:108,109:109)-LOOKUP(C34,108:108,109:109)+100</f>
        <v>101</v>
      </c>
      <c r="K34" s="562"/>
      <c r="L34" s="2721"/>
      <c r="M34" s="2715"/>
      <c r="N34" s="2715"/>
      <c r="O34" s="2773"/>
      <c r="P34" s="3714"/>
      <c r="Q34" s="1351" t="str">
        <f>B34</f>
        <v>宗地面积</v>
      </c>
      <c r="R34" s="705" t="s">
        <v>14</v>
      </c>
      <c r="S34" s="706">
        <f t="shared" si="10"/>
        <v>102</v>
      </c>
      <c r="T34" s="705" t="s">
        <v>14</v>
      </c>
      <c r="U34" s="706">
        <f t="shared" si="11"/>
        <v>100</v>
      </c>
      <c r="V34" s="705" t="s">
        <v>14</v>
      </c>
      <c r="W34" s="706">
        <f t="shared" si="12"/>
        <v>101</v>
      </c>
      <c r="X34" s="1354"/>
      <c r="Y34" s="3714"/>
      <c r="Z34" s="1355" t="str">
        <f t="shared" si="13"/>
        <v>宗地面积</v>
      </c>
      <c r="AA34" s="1352">
        <f t="shared" si="3"/>
        <v>0.98039215686274506</v>
      </c>
      <c r="AB34" s="1352">
        <f t="shared" si="4"/>
        <v>1</v>
      </c>
      <c r="AC34" s="1352">
        <f t="shared" si="5"/>
        <v>0.99009900990099009</v>
      </c>
    </row>
    <row r="35" spans="1:31" ht="15">
      <c r="A35" s="423"/>
      <c r="B35" s="375" t="s">
        <v>1875</v>
      </c>
      <c r="C35" s="1905" t="s">
        <v>3612</v>
      </c>
      <c r="D35" s="386">
        <v>100</v>
      </c>
      <c r="E35" s="1905" t="s">
        <v>3610</v>
      </c>
      <c r="F35" s="386">
        <f>SUMIF(110:110,E35,111:111)-SUMIF(110:110,C35,111:111)+100</f>
        <v>101</v>
      </c>
      <c r="G35" s="1905" t="s">
        <v>3612</v>
      </c>
      <c r="H35" s="386">
        <f>SUMIF(110:110,G35,111:111)-SUMIF(110:110,C35,111:111)+100</f>
        <v>100</v>
      </c>
      <c r="I35" s="1905" t="s">
        <v>3610</v>
      </c>
      <c r="J35" s="386">
        <f>SUMIF(110:110,I35,111:111)-SUMIF(110:110,C35,111:111)+100</f>
        <v>101</v>
      </c>
      <c r="K35" s="561">
        <v>1</v>
      </c>
      <c r="L35" s="2721"/>
      <c r="M35" s="2715"/>
      <c r="N35" s="2715"/>
      <c r="O35" s="2773"/>
      <c r="P35" s="3714"/>
      <c r="Q35" s="1351" t="str">
        <f t="shared" ref="Q35:Q40" si="14">B35</f>
        <v>宗地形状</v>
      </c>
      <c r="R35" s="705" t="s">
        <v>14</v>
      </c>
      <c r="S35" s="706">
        <f t="shared" si="10"/>
        <v>101</v>
      </c>
      <c r="T35" s="705" t="s">
        <v>14</v>
      </c>
      <c r="U35" s="706">
        <f t="shared" si="11"/>
        <v>100</v>
      </c>
      <c r="V35" s="705" t="s">
        <v>14</v>
      </c>
      <c r="W35" s="706">
        <f t="shared" si="12"/>
        <v>101</v>
      </c>
      <c r="X35" s="1354"/>
      <c r="Y35" s="3714"/>
      <c r="Z35" s="1355" t="str">
        <f t="shared" si="13"/>
        <v>宗地形状</v>
      </c>
      <c r="AA35" s="1352">
        <f t="shared" si="3"/>
        <v>0.99009900990099009</v>
      </c>
      <c r="AB35" s="1352">
        <f t="shared" si="4"/>
        <v>1</v>
      </c>
      <c r="AC35" s="1352">
        <f t="shared" si="5"/>
        <v>0.99009900990099009</v>
      </c>
    </row>
    <row r="36" spans="1:31" s="108" customFormat="1" ht="15">
      <c r="A36" s="424"/>
      <c r="B36" s="375" t="s">
        <v>1877</v>
      </c>
      <c r="C36" s="1979" t="s">
        <v>3619</v>
      </c>
      <c r="D36" s="127">
        <v>100</v>
      </c>
      <c r="E36" s="1979" t="s">
        <v>3622</v>
      </c>
      <c r="F36" s="386">
        <f>SUMIF(112:112,E36,113:113)-SUMIF(112:112,C36,113:113)+100</f>
        <v>98</v>
      </c>
      <c r="G36" s="1979" t="s">
        <v>3622</v>
      </c>
      <c r="H36" s="386">
        <f>SUMIF(112:112,G36,113:113)-SUMIF(112:112,C36,113:113)+100</f>
        <v>98</v>
      </c>
      <c r="I36" s="1979" t="s">
        <v>3622</v>
      </c>
      <c r="J36" s="386">
        <f>SUMIF(112:112,I36,113:113)-SUMIF(112:112,C36,113:113)+100</f>
        <v>98</v>
      </c>
      <c r="K36" s="561">
        <v>1</v>
      </c>
      <c r="L36" s="2716"/>
      <c r="M36" s="2717"/>
      <c r="N36" s="2717"/>
      <c r="O36" s="2771"/>
      <c r="P36" s="3714"/>
      <c r="Q36" s="1351" t="str">
        <f t="shared" si="14"/>
        <v>宗地开发程度</v>
      </c>
      <c r="R36" s="701" t="s">
        <v>14</v>
      </c>
      <c r="S36" s="702">
        <f t="shared" si="10"/>
        <v>98</v>
      </c>
      <c r="T36" s="701" t="s">
        <v>14</v>
      </c>
      <c r="U36" s="702">
        <f t="shared" si="11"/>
        <v>98</v>
      </c>
      <c r="V36" s="701" t="s">
        <v>14</v>
      </c>
      <c r="W36" s="702">
        <f t="shared" si="12"/>
        <v>98</v>
      </c>
      <c r="X36" s="703"/>
      <c r="Y36" s="3714"/>
      <c r="Z36" s="52" t="str">
        <f t="shared" si="13"/>
        <v>宗地开发程度</v>
      </c>
      <c r="AA36" s="704">
        <f t="shared" si="3"/>
        <v>1.0204081632653061</v>
      </c>
      <c r="AB36" s="704">
        <f t="shared" si="4"/>
        <v>1.0204081632653061</v>
      </c>
      <c r="AC36" s="704">
        <f t="shared" si="5"/>
        <v>1.0204081632653061</v>
      </c>
    </row>
    <row r="37" spans="1:31" ht="15">
      <c r="A37" s="423"/>
      <c r="B37" s="375" t="s">
        <v>1878</v>
      </c>
      <c r="C37" s="1905" t="s">
        <v>3474</v>
      </c>
      <c r="D37" s="386">
        <v>100</v>
      </c>
      <c r="E37" s="1905" t="s">
        <v>3474</v>
      </c>
      <c r="F37" s="386">
        <f>SUMIF(114:114,E37,115:115)-SUMIF(114:114,C37,115:115)+100</f>
        <v>100</v>
      </c>
      <c r="G37" s="1905" t="s">
        <v>3474</v>
      </c>
      <c r="H37" s="386">
        <f>SUMIF(114:114,G37,115:115)-SUMIF(114:114,C37,115:115)+100</f>
        <v>100</v>
      </c>
      <c r="I37" s="1905" t="s">
        <v>3474</v>
      </c>
      <c r="J37" s="386">
        <f>SUMIF(114:114,I37,115:115)-SUMIF(114:114,C37,115:115)+100</f>
        <v>100</v>
      </c>
      <c r="K37" s="561">
        <v>1</v>
      </c>
      <c r="L37" s="2721"/>
      <c r="M37" s="2715"/>
      <c r="N37" s="2715"/>
      <c r="O37" s="2773"/>
      <c r="P37" s="3714" t="s">
        <v>1696</v>
      </c>
      <c r="Q37" s="1351" t="str">
        <f t="shared" si="14"/>
        <v>工程地质条件</v>
      </c>
      <c r="R37" s="705" t="s">
        <v>14</v>
      </c>
      <c r="S37" s="706">
        <f t="shared" si="10"/>
        <v>100</v>
      </c>
      <c r="T37" s="705" t="s">
        <v>14</v>
      </c>
      <c r="U37" s="706">
        <f t="shared" si="11"/>
        <v>100</v>
      </c>
      <c r="V37" s="705" t="s">
        <v>14</v>
      </c>
      <c r="W37" s="706">
        <f t="shared" si="12"/>
        <v>100</v>
      </c>
      <c r="X37" s="1354"/>
      <c r="Y37" s="371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4"/>
      <c r="Q38" s="1351">
        <f t="shared" si="14"/>
        <v>111</v>
      </c>
      <c r="R38" s="705" t="s">
        <v>14</v>
      </c>
      <c r="S38" s="706">
        <f t="shared" si="10"/>
        <v>100</v>
      </c>
      <c r="T38" s="705" t="s">
        <v>14</v>
      </c>
      <c r="U38" s="706">
        <f t="shared" si="11"/>
        <v>100</v>
      </c>
      <c r="V38" s="705" t="s">
        <v>14</v>
      </c>
      <c r="W38" s="706">
        <f t="shared" si="12"/>
        <v>100</v>
      </c>
      <c r="X38" s="1354"/>
      <c r="Y38" s="371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4"/>
      <c r="Q39" s="1351">
        <f t="shared" si="14"/>
        <v>111</v>
      </c>
      <c r="R39" s="705" t="s">
        <v>14</v>
      </c>
      <c r="S39" s="706">
        <f t="shared" si="10"/>
        <v>100</v>
      </c>
      <c r="T39" s="705" t="s">
        <v>14</v>
      </c>
      <c r="U39" s="706">
        <f t="shared" si="11"/>
        <v>100</v>
      </c>
      <c r="V39" s="705" t="s">
        <v>14</v>
      </c>
      <c r="W39" s="706">
        <f t="shared" si="12"/>
        <v>100</v>
      </c>
      <c r="X39" s="1354"/>
      <c r="Y39" s="371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4"/>
      <c r="Q40" s="1351">
        <f t="shared" si="14"/>
        <v>111</v>
      </c>
      <c r="R40" s="708" t="s">
        <v>14</v>
      </c>
      <c r="S40" s="709">
        <f t="shared" si="10"/>
        <v>100</v>
      </c>
      <c r="T40" s="708" t="s">
        <v>14</v>
      </c>
      <c r="U40" s="709">
        <f t="shared" si="11"/>
        <v>100</v>
      </c>
      <c r="V40" s="708" t="s">
        <v>14</v>
      </c>
      <c r="W40" s="709">
        <f t="shared" si="12"/>
        <v>100</v>
      </c>
      <c r="X40" s="710"/>
      <c r="Y40" s="3714"/>
      <c r="Z40" s="711">
        <f t="shared" si="13"/>
        <v>111</v>
      </c>
      <c r="AA40" s="1352">
        <f t="shared" si="3"/>
        <v>1</v>
      </c>
      <c r="AB40" s="1352">
        <f t="shared" si="4"/>
        <v>1</v>
      </c>
      <c r="AC40" s="1352">
        <f t="shared" si="5"/>
        <v>1</v>
      </c>
    </row>
    <row r="41" spans="1:31" ht="15">
      <c r="A41" s="430" t="s">
        <v>1844</v>
      </c>
      <c r="B41" s="1981" t="s">
        <v>1922</v>
      </c>
      <c r="C41" s="630" t="s">
        <v>0</v>
      </c>
      <c r="D41" s="432"/>
      <c r="E41" s="433">
        <f>土地案例!V2</f>
        <v>1091</v>
      </c>
      <c r="F41" s="434"/>
      <c r="G41" s="435">
        <f>土地案例!AB3</f>
        <v>2189</v>
      </c>
      <c r="H41" s="436"/>
      <c r="I41" s="433">
        <f>土地案例!AB6</f>
        <v>1250</v>
      </c>
      <c r="J41" s="436"/>
      <c r="K41" s="714"/>
      <c r="L41" s="2723"/>
      <c r="M41" s="2715"/>
      <c r="N41" s="2715"/>
      <c r="O41" s="2724"/>
      <c r="P41" s="3695" t="str">
        <f>A41</f>
        <v>成交单价</v>
      </c>
      <c r="Q41" s="3695"/>
      <c r="R41" s="3711">
        <f>E41</f>
        <v>1091</v>
      </c>
      <c r="S41" s="3711"/>
      <c r="T41" s="3711">
        <f>G41</f>
        <v>2189</v>
      </c>
      <c r="U41" s="3711"/>
      <c r="V41" s="3711">
        <f>I41</f>
        <v>1250</v>
      </c>
      <c r="W41" s="3711"/>
      <c r="X41" s="690"/>
      <c r="Y41" s="712"/>
      <c r="Z41" s="690"/>
      <c r="AA41" s="690"/>
      <c r="AB41" s="690"/>
      <c r="AC41" s="690"/>
    </row>
    <row r="42" spans="1:31" ht="15.75" thickBot="1">
      <c r="A42" s="437" t="s">
        <v>1793</v>
      </c>
      <c r="B42" s="631"/>
      <c r="C42" s="440">
        <f>R43</f>
        <v>1507</v>
      </c>
      <c r="D42" s="2316" t="s">
        <v>3635</v>
      </c>
      <c r="E42" s="440">
        <f>R42</f>
        <v>958</v>
      </c>
      <c r="F42" s="2317">
        <v>0.25</v>
      </c>
      <c r="G42" s="439">
        <f>T42</f>
        <v>1946</v>
      </c>
      <c r="H42" s="2317">
        <v>0.5</v>
      </c>
      <c r="I42" s="440">
        <f>V42</f>
        <v>1177</v>
      </c>
      <c r="J42" s="2317">
        <v>0.25</v>
      </c>
      <c r="K42" s="2319">
        <f>F42+H42+J42</f>
        <v>1</v>
      </c>
      <c r="L42" s="2723"/>
      <c r="M42" s="2715"/>
      <c r="N42" s="2715"/>
      <c r="O42" s="2724"/>
      <c r="P42" s="3695" t="str">
        <f>A42</f>
        <v>比较价值（元/平方米）</v>
      </c>
      <c r="Q42" s="3695"/>
      <c r="R42" s="3733">
        <f>ROUND(PRODUCT(R41,AA7:AA40),0)</f>
        <v>958</v>
      </c>
      <c r="S42" s="3733"/>
      <c r="T42" s="3733">
        <f>ROUND(PRODUCT(T41,AB7:AB40),0)</f>
        <v>1946</v>
      </c>
      <c r="U42" s="3733"/>
      <c r="V42" s="3733">
        <f>ROUND(PRODUCT(V41,AC7:AC40),0)</f>
        <v>1177</v>
      </c>
      <c r="W42" s="3733"/>
      <c r="X42" s="690"/>
      <c r="Y42" s="690"/>
      <c r="Z42" s="690"/>
      <c r="AA42" s="690"/>
      <c r="AB42" s="690"/>
      <c r="AC42" s="690"/>
    </row>
    <row r="43" spans="1:31" ht="15.75" thickBot="1">
      <c r="A43" s="441" t="s">
        <v>1794</v>
      </c>
      <c r="B43" s="442"/>
      <c r="C43" s="443">
        <f>R43</f>
        <v>1507</v>
      </c>
      <c r="D43" s="443"/>
      <c r="E43" s="443"/>
      <c r="F43" s="443"/>
      <c r="G43" s="443"/>
      <c r="H43" s="443"/>
      <c r="I43" s="443"/>
      <c r="J43" s="443"/>
      <c r="K43" s="715"/>
      <c r="L43" s="2723"/>
      <c r="M43" s="2715"/>
      <c r="N43" s="2715"/>
      <c r="O43" s="2724"/>
      <c r="P43" s="3730" t="str">
        <f>A43</f>
        <v>估价对象XX用房的比较价值（楼面单价，元/平方米）</v>
      </c>
      <c r="Q43" s="3731"/>
      <c r="R43" s="3732">
        <f>ROUND(IF(D42="简单平均",AVERAGE(R42:W42),R42*F42+T42*H42+V42*J42),0)</f>
        <v>1507</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0.13883089770354906</v>
      </c>
      <c r="F46" s="449" t="str">
        <f>IF(OR(E46&gt;=0.3,E46&lt;=-0.3),"超过30%","")</f>
        <v/>
      </c>
      <c r="G46" s="448">
        <f>IF(G41&lt;G42,G42/G41-1,G41/G42-1)</f>
        <v>0.12487153134635154</v>
      </c>
      <c r="H46" s="449" t="str">
        <f>IF(OR(G46&gt;=0.3,G46&lt;=-0.3),"超过30%","")</f>
        <v/>
      </c>
      <c r="I46" s="448">
        <f>IF(I41&lt;I42,I42/I41-1,I41/I42-1)</f>
        <v>6.2022090059473234E-2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1.0313152400835075</v>
      </c>
      <c r="F47" s="449" t="str">
        <f>IF(OR(E47&gt;=0.2,E47&lt;=-0.2),"超过20%","")</f>
        <v>超过20%</v>
      </c>
      <c r="G47" s="448">
        <f>IF(G42&lt;I42,I42/G42-1,G42/I42-1)</f>
        <v>0.65335598980458798</v>
      </c>
      <c r="H47" s="449" t="str">
        <f>IF(OR(G47&gt;=0.2,G47&lt;=-0.2),"超过20%","")</f>
        <v>超过20%</v>
      </c>
      <c r="I47" s="448">
        <f>IF(I42&lt;E42,E42/I42-1,I42/E42-1)</f>
        <v>0.22860125260960329</v>
      </c>
      <c r="J47" s="449" t="str">
        <f>IF(OR(I47&gt;=0.2,I47&lt;=-0.2),"超过20%","")</f>
        <v>超过20%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1.0064161319890008</v>
      </c>
      <c r="F48" s="449" t="str">
        <f>IF(OR(E48&gt;=0.3,E48&lt;=-0.3),"超过30%","")</f>
        <v>超过30%</v>
      </c>
      <c r="G48" s="448">
        <f>IF(G41&lt;I41,I41/G41-1,G41/I41-1)</f>
        <v>0.75120000000000009</v>
      </c>
      <c r="H48" s="449" t="str">
        <f>IF(OR(G48&gt;=0.3,G48&lt;=-0.3),"超过30%","")</f>
        <v>超过30%</v>
      </c>
      <c r="I48" s="448">
        <f>IF(I41&lt;E41,E41/I41-1,I41/E41-1)</f>
        <v>0.14573785517873517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2" t="s">
        <v>1887</v>
      </c>
      <c r="H50" s="369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1507</v>
      </c>
      <c r="C51" s="638">
        <v>1</v>
      </c>
      <c r="D51" s="944">
        <v>1</v>
      </c>
      <c r="E51" s="638">
        <f>'数据-汇总表'!E8+'数据-汇总表'!E9</f>
        <v>7385.119999999999</v>
      </c>
      <c r="F51" s="639">
        <f t="shared" ref="F51:F60" si="15">ROUND(B51*E51/10000,0)</f>
        <v>1113</v>
      </c>
      <c r="G51" s="3694"/>
      <c r="H51" s="369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94</v>
      </c>
      <c r="C57" s="171">
        <f t="shared" si="16"/>
        <v>0.25</v>
      </c>
      <c r="D57" s="945">
        <v>0.25</v>
      </c>
      <c r="E57" s="217">
        <f>'数据-汇总表'!E12</f>
        <v>0</v>
      </c>
      <c r="F57" s="639">
        <f t="shared" si="15"/>
        <v>0</v>
      </c>
      <c r="G57" s="892" t="s">
        <v>3</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57</v>
      </c>
      <c r="C58" s="171">
        <f t="shared" si="16"/>
        <v>0.15</v>
      </c>
      <c r="D58" s="945">
        <v>0.25</v>
      </c>
      <c r="E58" s="217">
        <f>'数据-汇总表'!E13</f>
        <v>0</v>
      </c>
      <c r="F58" s="639">
        <f t="shared" si="15"/>
        <v>0</v>
      </c>
      <c r="G58" s="892" t="s">
        <v>3</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3565.51</v>
      </c>
      <c r="F61" s="645">
        <f>IF(B41="楼面地价",SUM(F51:F60),ROUND(C43*E61/10000,0))</f>
        <v>537</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80" t="s">
        <v>3608</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0(含)-20000</v>
      </c>
      <c r="D107" s="478" t="str">
        <f t="shared" si="26"/>
        <v>20000(含)-40000</v>
      </c>
      <c r="E107" s="478" t="str">
        <f t="shared" si="26"/>
        <v>40000(含)-60000</v>
      </c>
      <c r="F107" s="478" t="str">
        <f t="shared" si="26"/>
        <v>60000(含)-80000</v>
      </c>
      <c r="G107" s="478" t="str">
        <f t="shared" si="26"/>
        <v>80000(含)-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20000</v>
      </c>
      <c r="E108" s="544">
        <v>40000</v>
      </c>
      <c r="F108" s="544">
        <v>60000</v>
      </c>
      <c r="G108" s="544">
        <v>80000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82" t="s">
        <v>3611</v>
      </c>
      <c r="D110" s="3482" t="s">
        <v>3613</v>
      </c>
      <c r="E110" s="3482" t="s">
        <v>3614</v>
      </c>
      <c r="F110" s="3482" t="s">
        <v>3615</v>
      </c>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83" t="s">
        <v>3617</v>
      </c>
      <c r="D112" s="3483" t="s">
        <v>3618</v>
      </c>
      <c r="E112" s="3483" t="s">
        <v>3620</v>
      </c>
      <c r="F112" s="3483" t="s">
        <v>3621</v>
      </c>
      <c r="G112" s="3483" t="s">
        <v>3623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83" t="s">
        <v>3624</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E8" sqref="E8"/>
    </sheetView>
  </sheetViews>
  <sheetFormatPr defaultRowHeight="12"/>
  <cols>
    <col min="1" max="1" width="26.25" style="3476" customWidth="1"/>
    <col min="2" max="2" width="20" style="3476" hidden="1" customWidth="1"/>
    <col min="3" max="3" width="5.75" style="3476" customWidth="1"/>
    <col min="4" max="4" width="20" style="3476" hidden="1" customWidth="1"/>
    <col min="5" max="5" width="9.125" style="3476" customWidth="1"/>
    <col min="6" max="6" width="10.125" style="3476" customWidth="1"/>
    <col min="7" max="7" width="9.375" style="3476" customWidth="1"/>
    <col min="8" max="8" width="5.875" style="3476" customWidth="1"/>
    <col min="9" max="9" width="11.5" style="3476" customWidth="1"/>
    <col min="10" max="10" width="7.875" style="3476" customWidth="1"/>
    <col min="11" max="11" width="9.625" style="3476" customWidth="1"/>
    <col min="12" max="14" width="20" style="3476" hidden="1" customWidth="1"/>
    <col min="15" max="15" width="10.375" style="3476" customWidth="1"/>
    <col min="16" max="17" width="20" style="3476" hidden="1" customWidth="1"/>
    <col min="18" max="18" width="10.625" style="3476" customWidth="1"/>
    <col min="19" max="19" width="8.875" style="3476" customWidth="1"/>
    <col min="20" max="20" width="10.25" style="3476" customWidth="1"/>
    <col min="21" max="21" width="11.25" style="3476" customWidth="1"/>
    <col min="22" max="22" width="10.5" style="3476" customWidth="1"/>
    <col min="23" max="23" width="8.25" style="3476" customWidth="1"/>
    <col min="24" max="24" width="9.875" style="3476" customWidth="1"/>
    <col min="25" max="25" width="20" style="3476" hidden="1" customWidth="1"/>
    <col min="26" max="26" width="20" style="3476" customWidth="1"/>
    <col min="27" max="16384" width="9" style="3476"/>
  </cols>
  <sheetData>
    <row r="1" spans="1:28" s="3477" customFormat="1" ht="24">
      <c r="A1" s="3477" t="s">
        <v>3488</v>
      </c>
      <c r="B1" s="3477" t="s">
        <v>3489</v>
      </c>
      <c r="C1" s="3477" t="s">
        <v>3490</v>
      </c>
      <c r="D1" s="3477" t="s">
        <v>3491</v>
      </c>
      <c r="E1" s="3477" t="s">
        <v>3492</v>
      </c>
      <c r="F1" s="3477" t="s">
        <v>3603</v>
      </c>
      <c r="G1" s="3477" t="s">
        <v>3493</v>
      </c>
      <c r="H1" s="3477" t="s">
        <v>3494</v>
      </c>
      <c r="I1" s="3477" t="s">
        <v>3495</v>
      </c>
      <c r="J1" s="3477" t="s">
        <v>3496</v>
      </c>
      <c r="K1" s="3477" t="s">
        <v>3430</v>
      </c>
      <c r="L1" s="3477" t="s">
        <v>3497</v>
      </c>
      <c r="M1" s="3477" t="s">
        <v>3498</v>
      </c>
      <c r="N1" s="3477" t="s">
        <v>3499</v>
      </c>
      <c r="O1" s="3477" t="s">
        <v>3500</v>
      </c>
      <c r="P1" s="3477" t="s">
        <v>3501</v>
      </c>
      <c r="Q1" s="3477" t="s">
        <v>3502</v>
      </c>
      <c r="R1" s="3477" t="s">
        <v>3503</v>
      </c>
      <c r="S1" s="3477" t="s">
        <v>3504</v>
      </c>
      <c r="T1" s="3477" t="s">
        <v>3505</v>
      </c>
      <c r="U1" s="3477" t="s">
        <v>3506</v>
      </c>
      <c r="V1" s="3477" t="s">
        <v>3507</v>
      </c>
      <c r="W1" s="3477" t="s">
        <v>3508</v>
      </c>
      <c r="X1" s="3477" t="s">
        <v>3509</v>
      </c>
      <c r="Y1" s="3477" t="s">
        <v>3510</v>
      </c>
      <c r="AA1" s="3477" t="s">
        <v>3629</v>
      </c>
      <c r="AB1" s="3477" t="s">
        <v>3630</v>
      </c>
    </row>
    <row r="2" spans="1:28" s="3478" customFormat="1">
      <c r="A2" s="3478" t="s">
        <v>3511</v>
      </c>
      <c r="B2" s="3478" t="s">
        <v>3414</v>
      </c>
      <c r="C2" s="3478" t="s">
        <v>3512</v>
      </c>
      <c r="D2" s="3478" t="s">
        <v>3513</v>
      </c>
      <c r="E2" s="3478" t="s">
        <v>3605</v>
      </c>
      <c r="F2" s="3478">
        <v>61152.33</v>
      </c>
      <c r="G2" s="3478">
        <v>91728.5</v>
      </c>
      <c r="H2" s="3478" t="s">
        <v>2479</v>
      </c>
      <c r="I2" s="3478" t="s">
        <v>3514</v>
      </c>
      <c r="J2" s="3478" t="s">
        <v>3515</v>
      </c>
      <c r="K2" s="3478" t="s">
        <v>3516</v>
      </c>
      <c r="L2" s="3478" t="s">
        <v>3517</v>
      </c>
      <c r="M2" s="3478" t="s">
        <v>3518</v>
      </c>
      <c r="N2" s="3478" t="s">
        <v>3518</v>
      </c>
      <c r="O2" s="3478" t="s">
        <v>3519</v>
      </c>
      <c r="P2" s="3478" t="s">
        <v>3520</v>
      </c>
      <c r="Q2" s="3478" t="s">
        <v>3521</v>
      </c>
      <c r="R2" s="3478" t="s">
        <v>3522</v>
      </c>
      <c r="S2" s="3478">
        <v>10008</v>
      </c>
      <c r="T2" s="3478">
        <v>1636.56</v>
      </c>
      <c r="U2" s="3478">
        <v>109.1</v>
      </c>
      <c r="V2" s="3478">
        <v>1091</v>
      </c>
      <c r="W2" s="3478">
        <v>0</v>
      </c>
      <c r="X2" s="3478" t="s">
        <v>3523</v>
      </c>
      <c r="Y2" s="3478" t="s">
        <v>3518</v>
      </c>
    </row>
    <row r="3" spans="1:28" s="3478" customFormat="1">
      <c r="A3" s="3478" t="s">
        <v>3524</v>
      </c>
      <c r="B3" s="3478" t="s">
        <v>3414</v>
      </c>
      <c r="C3" s="3478" t="s">
        <v>3512</v>
      </c>
      <c r="D3" s="3478" t="s">
        <v>3525</v>
      </c>
      <c r="E3" s="3478" t="s">
        <v>3606</v>
      </c>
      <c r="F3" s="3478">
        <v>20720.099999999999</v>
      </c>
      <c r="G3" s="3478">
        <v>31080.15</v>
      </c>
      <c r="H3" s="3478" t="s">
        <v>2479</v>
      </c>
      <c r="I3" s="3478" t="s">
        <v>3514</v>
      </c>
      <c r="J3" s="3478" t="s">
        <v>3526</v>
      </c>
      <c r="K3" s="3478" t="s">
        <v>3516</v>
      </c>
      <c r="L3" s="3478" t="s">
        <v>3517</v>
      </c>
      <c r="M3" s="3478" t="s">
        <v>3518</v>
      </c>
      <c r="N3" s="3478" t="s">
        <v>3518</v>
      </c>
      <c r="O3" s="3478" t="s">
        <v>3527</v>
      </c>
      <c r="P3" s="3478" t="s">
        <v>3520</v>
      </c>
      <c r="Q3" s="3478" t="s">
        <v>3521</v>
      </c>
      <c r="R3" s="3478" t="s">
        <v>3528</v>
      </c>
      <c r="S3" s="3478">
        <v>4477.83</v>
      </c>
      <c r="T3" s="3478">
        <v>2161.1</v>
      </c>
      <c r="U3" s="3478">
        <v>144.07</v>
      </c>
      <c r="V3" s="3478">
        <v>1441</v>
      </c>
      <c r="W3" s="3478">
        <v>0</v>
      </c>
      <c r="X3" s="3478" t="s">
        <v>3529</v>
      </c>
      <c r="Y3" s="3478" t="s">
        <v>3518</v>
      </c>
      <c r="AA3" s="3478">
        <v>1.5190999999999999</v>
      </c>
      <c r="AB3" s="3478">
        <f>ROUND(V3*AA3,0)</f>
        <v>2189</v>
      </c>
    </row>
    <row r="4" spans="1:28">
      <c r="A4" s="3476" t="s">
        <v>3530</v>
      </c>
      <c r="B4" s="3476" t="s">
        <v>3414</v>
      </c>
      <c r="C4" s="3476" t="s">
        <v>3512</v>
      </c>
      <c r="D4" s="3476" t="s">
        <v>3531</v>
      </c>
      <c r="E4" s="3476" t="s">
        <v>3532</v>
      </c>
      <c r="F4" s="3476">
        <v>94169.78</v>
      </c>
      <c r="G4" s="3476">
        <v>141254.67000000001</v>
      </c>
      <c r="H4" s="3476" t="s">
        <v>2479</v>
      </c>
      <c r="I4" s="3476" t="s">
        <v>3533</v>
      </c>
      <c r="J4" s="3476" t="s">
        <v>3526</v>
      </c>
      <c r="K4" s="3476" t="s">
        <v>3516</v>
      </c>
      <c r="L4" s="3476" t="s">
        <v>3517</v>
      </c>
      <c r="M4" s="3476" t="s">
        <v>3518</v>
      </c>
      <c r="N4" s="3476" t="s">
        <v>3518</v>
      </c>
      <c r="O4" s="3476" t="s">
        <v>3534</v>
      </c>
      <c r="P4" s="3476" t="s">
        <v>3520</v>
      </c>
      <c r="Q4" s="3476" t="s">
        <v>3521</v>
      </c>
      <c r="R4" s="3476" t="s">
        <v>3535</v>
      </c>
      <c r="S4" s="3476">
        <v>15396.76</v>
      </c>
      <c r="T4" s="3476">
        <v>1635</v>
      </c>
      <c r="U4" s="3476">
        <v>109</v>
      </c>
      <c r="V4" s="3476">
        <v>1090</v>
      </c>
      <c r="W4" s="3476">
        <v>0</v>
      </c>
      <c r="X4" s="3476" t="s">
        <v>3536</v>
      </c>
      <c r="Y4" s="3476" t="s">
        <v>3518</v>
      </c>
    </row>
    <row r="5" spans="1:28">
      <c r="A5" s="3476" t="s">
        <v>3537</v>
      </c>
      <c r="B5" s="3476" t="s">
        <v>3414</v>
      </c>
      <c r="C5" s="3476" t="s">
        <v>3512</v>
      </c>
      <c r="D5" s="3476" t="s">
        <v>3538</v>
      </c>
      <c r="E5" s="3476" t="s">
        <v>3539</v>
      </c>
      <c r="F5" s="3476">
        <v>84245.85</v>
      </c>
      <c r="G5" s="3476">
        <v>84245.85</v>
      </c>
      <c r="H5" s="3476" t="s">
        <v>2479</v>
      </c>
      <c r="I5" s="3476" t="s">
        <v>3540</v>
      </c>
      <c r="J5" s="3476" t="s">
        <v>3541</v>
      </c>
      <c r="K5" s="3476" t="s">
        <v>3542</v>
      </c>
      <c r="L5" s="3476" t="s">
        <v>3517</v>
      </c>
      <c r="M5" s="3476" t="s">
        <v>3518</v>
      </c>
      <c r="N5" s="3476" t="s">
        <v>3518</v>
      </c>
      <c r="O5" s="3476" t="s">
        <v>3543</v>
      </c>
      <c r="P5" s="3476" t="s">
        <v>3520</v>
      </c>
      <c r="Q5" s="3476" t="s">
        <v>3544</v>
      </c>
      <c r="R5" s="3476" t="s">
        <v>3545</v>
      </c>
      <c r="S5" s="3476">
        <v>23049.66</v>
      </c>
      <c r="T5" s="3476">
        <v>2735.99</v>
      </c>
      <c r="U5" s="3476">
        <v>182.4</v>
      </c>
      <c r="V5" s="3476">
        <v>2736</v>
      </c>
      <c r="W5" s="3476">
        <v>0</v>
      </c>
      <c r="X5" s="3476" t="s">
        <v>3529</v>
      </c>
      <c r="Y5" s="3476" t="s">
        <v>3518</v>
      </c>
    </row>
    <row r="6" spans="1:28" s="3478" customFormat="1">
      <c r="A6" s="3478" t="s">
        <v>3546</v>
      </c>
      <c r="B6" s="3478" t="s">
        <v>3414</v>
      </c>
      <c r="C6" s="3478" t="s">
        <v>3512</v>
      </c>
      <c r="D6" s="3478" t="s">
        <v>3547</v>
      </c>
      <c r="E6" s="3478" t="s">
        <v>3607</v>
      </c>
      <c r="F6" s="3478">
        <v>40217.370000000003</v>
      </c>
      <c r="G6" s="3478">
        <v>60326.05</v>
      </c>
      <c r="H6" s="3478" t="s">
        <v>2479</v>
      </c>
      <c r="I6" s="3478" t="s">
        <v>3514</v>
      </c>
      <c r="J6" s="3478" t="s">
        <v>3526</v>
      </c>
      <c r="K6" s="3478" t="s">
        <v>3548</v>
      </c>
      <c r="L6" s="3478" t="s">
        <v>3517</v>
      </c>
      <c r="M6" s="3478" t="s">
        <v>3518</v>
      </c>
      <c r="N6" s="3478" t="s">
        <v>3518</v>
      </c>
      <c r="O6" s="3478" t="s">
        <v>3549</v>
      </c>
      <c r="P6" s="3478" t="s">
        <v>3520</v>
      </c>
      <c r="Q6" s="3478" t="s">
        <v>3544</v>
      </c>
      <c r="R6" s="3478" t="s">
        <v>3550</v>
      </c>
      <c r="S6" s="3478">
        <v>4964.83</v>
      </c>
      <c r="T6" s="3478">
        <v>1234.49</v>
      </c>
      <c r="U6" s="3478">
        <v>82.3</v>
      </c>
      <c r="V6" s="3478">
        <v>823</v>
      </c>
      <c r="W6" s="3478">
        <v>0</v>
      </c>
      <c r="X6" s="3478" t="s">
        <v>3523</v>
      </c>
      <c r="Y6" s="3478" t="s">
        <v>3518</v>
      </c>
      <c r="AA6" s="3478">
        <v>1.5190999999999999</v>
      </c>
      <c r="AB6" s="3478">
        <f>ROUND(V6*AA6,0)</f>
        <v>1250</v>
      </c>
    </row>
    <row r="7" spans="1:28">
      <c r="A7" s="3476" t="s">
        <v>3551</v>
      </c>
      <c r="B7" s="3476" t="s">
        <v>3414</v>
      </c>
      <c r="C7" s="3476" t="s">
        <v>3512</v>
      </c>
      <c r="D7" s="3476" t="s">
        <v>3547</v>
      </c>
      <c r="E7" s="3476" t="s">
        <v>3552</v>
      </c>
      <c r="F7" s="3476">
        <v>26650.41</v>
      </c>
      <c r="G7" s="3476">
        <v>39975.61</v>
      </c>
      <c r="H7" s="3476" t="s">
        <v>2479</v>
      </c>
      <c r="I7" s="3476" t="s">
        <v>3514</v>
      </c>
      <c r="J7" s="3476">
        <v>20</v>
      </c>
      <c r="K7" s="3476" t="s">
        <v>3548</v>
      </c>
      <c r="L7" s="3476" t="s">
        <v>3517</v>
      </c>
      <c r="M7" s="3476" t="s">
        <v>3518</v>
      </c>
      <c r="N7" s="3476" t="s">
        <v>3518</v>
      </c>
      <c r="O7" s="3476" t="s">
        <v>3553</v>
      </c>
      <c r="P7" s="3476" t="s">
        <v>3520</v>
      </c>
      <c r="Q7" s="3476" t="s">
        <v>3544</v>
      </c>
      <c r="R7" s="3476" t="s">
        <v>3554</v>
      </c>
      <c r="S7" s="3476">
        <v>3258.01</v>
      </c>
      <c r="T7" s="3476">
        <v>1222.49</v>
      </c>
      <c r="U7" s="3476">
        <v>81.5</v>
      </c>
      <c r="V7" s="3476">
        <v>815</v>
      </c>
      <c r="W7" s="3476">
        <v>0</v>
      </c>
      <c r="X7" s="3476" t="s">
        <v>3523</v>
      </c>
      <c r="Y7" s="3476" t="s">
        <v>3518</v>
      </c>
    </row>
    <row r="8" spans="1:28" s="3486" customFormat="1">
      <c r="A8" s="3486" t="s">
        <v>3555</v>
      </c>
      <c r="B8" s="3486" t="s">
        <v>3414</v>
      </c>
      <c r="C8" s="3486" t="s">
        <v>3512</v>
      </c>
      <c r="D8" s="3486" t="s">
        <v>3556</v>
      </c>
      <c r="E8" s="3486" t="s">
        <v>3636</v>
      </c>
      <c r="F8" s="3486">
        <v>77481.740000000005</v>
      </c>
      <c r="G8" s="3486">
        <v>100726.26</v>
      </c>
      <c r="H8" s="3486" t="s">
        <v>2479</v>
      </c>
      <c r="I8" s="3486" t="s">
        <v>3514</v>
      </c>
      <c r="J8" s="3486" t="s">
        <v>3526</v>
      </c>
      <c r="K8" s="3486" t="s">
        <v>3557</v>
      </c>
      <c r="L8" s="3486" t="s">
        <v>3517</v>
      </c>
      <c r="M8" s="3486" t="s">
        <v>3518</v>
      </c>
      <c r="N8" s="3486" t="s">
        <v>3518</v>
      </c>
      <c r="O8" s="3486" t="s">
        <v>3553</v>
      </c>
      <c r="P8" s="3486" t="s">
        <v>3520</v>
      </c>
      <c r="Q8" s="3486" t="s">
        <v>3544</v>
      </c>
      <c r="R8" s="3486" t="s">
        <v>3558</v>
      </c>
      <c r="S8" s="3486">
        <v>8098.39</v>
      </c>
      <c r="T8" s="3486">
        <v>1045.19</v>
      </c>
      <c r="U8" s="3486">
        <v>69.680000000000007</v>
      </c>
      <c r="V8" s="3486">
        <v>804</v>
      </c>
      <c r="W8" s="3486">
        <v>0</v>
      </c>
      <c r="X8" s="3486" t="s">
        <v>3523</v>
      </c>
      <c r="Y8" s="3486" t="s">
        <v>3518</v>
      </c>
      <c r="AA8" s="3486">
        <v>1.5190999999999999</v>
      </c>
      <c r="AB8" s="3486">
        <f>ROUND(V8*AA8,0)</f>
        <v>1221</v>
      </c>
    </row>
    <row r="9" spans="1:28">
      <c r="A9" s="3476" t="s">
        <v>3559</v>
      </c>
      <c r="B9" s="3476" t="s">
        <v>3414</v>
      </c>
      <c r="C9" s="3476" t="s">
        <v>3512</v>
      </c>
      <c r="D9" s="3476" t="s">
        <v>3547</v>
      </c>
      <c r="E9" s="3476" t="s">
        <v>3560</v>
      </c>
      <c r="F9" s="3476">
        <v>65024.44</v>
      </c>
      <c r="G9" s="3476">
        <v>97536.66</v>
      </c>
      <c r="H9" s="3476" t="s">
        <v>2479</v>
      </c>
      <c r="I9" s="3476" t="s">
        <v>3514</v>
      </c>
      <c r="J9" s="3476">
        <v>20</v>
      </c>
      <c r="K9" s="3476" t="s">
        <v>3548</v>
      </c>
      <c r="L9" s="3476" t="s">
        <v>3517</v>
      </c>
      <c r="M9" s="3476" t="s">
        <v>3518</v>
      </c>
      <c r="N9" s="3476" t="s">
        <v>3518</v>
      </c>
      <c r="O9" s="3476" t="s">
        <v>3561</v>
      </c>
      <c r="P9" s="3476" t="s">
        <v>3520</v>
      </c>
      <c r="Q9" s="3476" t="s">
        <v>3544</v>
      </c>
      <c r="R9" s="3476" t="s">
        <v>3562</v>
      </c>
      <c r="S9" s="3476">
        <v>8017.51</v>
      </c>
      <c r="T9" s="3476">
        <v>1232.99</v>
      </c>
      <c r="U9" s="3476">
        <v>82.2</v>
      </c>
      <c r="V9" s="3476">
        <v>822</v>
      </c>
      <c r="W9" s="3476">
        <v>0</v>
      </c>
      <c r="X9" s="3476" t="s">
        <v>3523</v>
      </c>
      <c r="Y9" s="3476" t="s">
        <v>3518</v>
      </c>
    </row>
    <row r="10" spans="1:28">
      <c r="A10" s="3476" t="s">
        <v>3563</v>
      </c>
      <c r="B10" s="3476" t="s">
        <v>3414</v>
      </c>
      <c r="C10" s="3476" t="s">
        <v>3512</v>
      </c>
      <c r="D10" s="3476" t="s">
        <v>3564</v>
      </c>
      <c r="E10" s="3476" t="s">
        <v>3565</v>
      </c>
      <c r="F10" s="3476">
        <v>48135.07</v>
      </c>
      <c r="G10" s="3476">
        <v>48135.07</v>
      </c>
      <c r="H10" s="3476" t="s">
        <v>2479</v>
      </c>
      <c r="I10" s="3476" t="s">
        <v>3566</v>
      </c>
      <c r="J10" s="3476" t="s">
        <v>3515</v>
      </c>
      <c r="K10" s="3476" t="s">
        <v>3542</v>
      </c>
      <c r="L10" s="3476" t="s">
        <v>3517</v>
      </c>
      <c r="M10" s="3476" t="s">
        <v>3518</v>
      </c>
      <c r="N10" s="3476" t="s">
        <v>3518</v>
      </c>
      <c r="O10" s="3476" t="s">
        <v>3567</v>
      </c>
      <c r="P10" s="3476" t="s">
        <v>3520</v>
      </c>
      <c r="Q10" s="3476" t="s">
        <v>3544</v>
      </c>
      <c r="R10" s="3476" t="s">
        <v>3568</v>
      </c>
      <c r="S10" s="3476">
        <v>12487.17</v>
      </c>
      <c r="T10" s="3476">
        <v>2594.19</v>
      </c>
      <c r="U10" s="3476">
        <v>172.95</v>
      </c>
      <c r="V10" s="3476">
        <v>2594</v>
      </c>
      <c r="W10" s="3476">
        <v>0</v>
      </c>
      <c r="X10" s="3476" t="s">
        <v>3529</v>
      </c>
      <c r="Y10" s="3476" t="s">
        <v>3518</v>
      </c>
    </row>
    <row r="11" spans="1:28">
      <c r="A11" s="3476" t="s">
        <v>3569</v>
      </c>
      <c r="B11" s="3476" t="s">
        <v>3414</v>
      </c>
      <c r="C11" s="3476" t="s">
        <v>3512</v>
      </c>
      <c r="D11" s="3476" t="s">
        <v>3564</v>
      </c>
      <c r="E11" s="3476" t="s">
        <v>3570</v>
      </c>
      <c r="F11" s="3476">
        <v>13991.5</v>
      </c>
      <c r="G11" s="3476">
        <v>22386</v>
      </c>
      <c r="H11" s="3476" t="s">
        <v>2479</v>
      </c>
      <c r="I11" s="3476" t="s">
        <v>3514</v>
      </c>
      <c r="J11" s="3476" t="s">
        <v>3526</v>
      </c>
      <c r="K11" s="3476" t="s">
        <v>3571</v>
      </c>
      <c r="L11" s="3476" t="s">
        <v>3517</v>
      </c>
      <c r="M11" s="3476" t="s">
        <v>3518</v>
      </c>
      <c r="N11" s="3476" t="s">
        <v>3518</v>
      </c>
      <c r="O11" s="3476" t="s">
        <v>3572</v>
      </c>
      <c r="P11" s="3476" t="s">
        <v>3520</v>
      </c>
      <c r="Q11" s="3476" t="s">
        <v>3544</v>
      </c>
      <c r="R11" s="3476" t="s">
        <v>3573</v>
      </c>
      <c r="S11" s="3476">
        <v>1811.03</v>
      </c>
      <c r="T11" s="3476">
        <v>1294.3699999999999</v>
      </c>
      <c r="U11" s="3476">
        <v>86.29</v>
      </c>
      <c r="V11" s="3476">
        <v>809</v>
      </c>
      <c r="W11" s="3476">
        <v>0</v>
      </c>
      <c r="X11" s="3476" t="s">
        <v>3574</v>
      </c>
      <c r="Y11" s="3476" t="s">
        <v>3518</v>
      </c>
    </row>
    <row r="12" spans="1:28">
      <c r="A12" s="3476" t="s">
        <v>3575</v>
      </c>
      <c r="B12" s="3476" t="s">
        <v>3414</v>
      </c>
      <c r="C12" s="3476" t="s">
        <v>3512</v>
      </c>
      <c r="D12" s="3476" t="s">
        <v>3576</v>
      </c>
      <c r="E12" s="3476" t="s">
        <v>3577</v>
      </c>
      <c r="F12" s="3476">
        <v>16627.21</v>
      </c>
      <c r="G12" s="3476">
        <v>29928.97</v>
      </c>
      <c r="H12" s="3476" t="s">
        <v>2479</v>
      </c>
      <c r="I12" s="3476" t="s">
        <v>3514</v>
      </c>
      <c r="J12" s="3476" t="s">
        <v>3526</v>
      </c>
      <c r="K12" s="3476" t="s">
        <v>3578</v>
      </c>
      <c r="L12" s="3476" t="s">
        <v>3517</v>
      </c>
      <c r="M12" s="3476" t="s">
        <v>3518</v>
      </c>
      <c r="N12" s="3476" t="s">
        <v>3518</v>
      </c>
      <c r="O12" s="3476" t="s">
        <v>3572</v>
      </c>
      <c r="P12" s="3476" t="s">
        <v>3520</v>
      </c>
      <c r="Q12" s="3476" t="s">
        <v>3544</v>
      </c>
      <c r="R12" s="3476" t="s">
        <v>3579</v>
      </c>
      <c r="S12" s="3476">
        <v>5111.87</v>
      </c>
      <c r="T12" s="3476">
        <v>3074.4</v>
      </c>
      <c r="U12" s="3476">
        <v>204.96</v>
      </c>
      <c r="V12" s="3476">
        <v>1708</v>
      </c>
      <c r="W12" s="3476">
        <v>0</v>
      </c>
      <c r="X12" s="3476" t="s">
        <v>3574</v>
      </c>
      <c r="Y12" s="3476" t="s">
        <v>3518</v>
      </c>
    </row>
    <row r="13" spans="1:28">
      <c r="A13" s="3476" t="s">
        <v>3580</v>
      </c>
      <c r="B13" s="3476" t="s">
        <v>3414</v>
      </c>
      <c r="C13" s="3476" t="s">
        <v>3512</v>
      </c>
      <c r="D13" s="3476" t="s">
        <v>3518</v>
      </c>
      <c r="E13" s="3476" t="s">
        <v>3581</v>
      </c>
      <c r="F13" s="3476">
        <v>100000</v>
      </c>
      <c r="G13" s="3476">
        <v>200000</v>
      </c>
      <c r="H13" s="3476" t="s">
        <v>2479</v>
      </c>
      <c r="I13" s="3476" t="s">
        <v>3582</v>
      </c>
      <c r="J13" s="3476" t="s">
        <v>3526</v>
      </c>
      <c r="K13" s="3476" t="s">
        <v>3583</v>
      </c>
      <c r="L13" s="3476" t="s">
        <v>3517</v>
      </c>
      <c r="M13" s="3476" t="s">
        <v>3518</v>
      </c>
      <c r="N13" s="3476" t="s">
        <v>3518</v>
      </c>
      <c r="O13" s="3476" t="s">
        <v>3584</v>
      </c>
      <c r="P13" s="3476" t="s">
        <v>3520</v>
      </c>
      <c r="Q13" s="3476" t="s">
        <v>3544</v>
      </c>
      <c r="R13" s="3476" t="s">
        <v>3585</v>
      </c>
      <c r="S13" s="3476">
        <v>13020</v>
      </c>
      <c r="T13" s="3476">
        <v>1302</v>
      </c>
      <c r="U13" s="3476">
        <v>86.8</v>
      </c>
      <c r="V13" s="3476">
        <v>651</v>
      </c>
      <c r="W13" s="3476">
        <v>0</v>
      </c>
      <c r="X13" s="3476" t="s">
        <v>3518</v>
      </c>
      <c r="Y13" s="3476" t="s">
        <v>3518</v>
      </c>
    </row>
    <row r="14" spans="1:28">
      <c r="A14" s="3476" t="s">
        <v>3586</v>
      </c>
      <c r="B14" s="3476" t="s">
        <v>3414</v>
      </c>
      <c r="C14" s="3476" t="s">
        <v>3512</v>
      </c>
      <c r="D14" s="3476" t="s">
        <v>3518</v>
      </c>
      <c r="E14" s="3476" t="s">
        <v>3587</v>
      </c>
      <c r="F14" s="3476">
        <v>19340</v>
      </c>
      <c r="G14" s="3476">
        <v>34812</v>
      </c>
      <c r="H14" s="3476" t="s">
        <v>2479</v>
      </c>
      <c r="I14" s="3476" t="s">
        <v>3588</v>
      </c>
      <c r="J14" s="3476" t="s">
        <v>3526</v>
      </c>
      <c r="K14" s="3476" t="s">
        <v>3589</v>
      </c>
      <c r="L14" s="3476" t="s">
        <v>3517</v>
      </c>
      <c r="M14" s="3476" t="s">
        <v>3518</v>
      </c>
      <c r="N14" s="3476" t="s">
        <v>3518</v>
      </c>
      <c r="O14" s="3476" t="s">
        <v>3590</v>
      </c>
      <c r="P14" s="3476" t="s">
        <v>3520</v>
      </c>
      <c r="Q14" s="3476" t="s">
        <v>3544</v>
      </c>
      <c r="R14" s="3476" t="s">
        <v>3591</v>
      </c>
      <c r="S14" s="3476">
        <v>5764.87</v>
      </c>
      <c r="T14" s="3476">
        <v>2980.8</v>
      </c>
      <c r="U14" s="3476">
        <v>198.72</v>
      </c>
      <c r="V14" s="3476">
        <v>1656</v>
      </c>
      <c r="W14" s="3476">
        <v>0</v>
      </c>
      <c r="X14" s="3476" t="s">
        <v>3518</v>
      </c>
      <c r="Y14" s="3476" t="s">
        <v>3518</v>
      </c>
    </row>
    <row r="15" spans="1:28">
      <c r="A15" s="3476" t="s">
        <v>3592</v>
      </c>
      <c r="B15" s="3476" t="s">
        <v>3414</v>
      </c>
      <c r="C15" s="3476" t="s">
        <v>3512</v>
      </c>
      <c r="D15" s="3476" t="s">
        <v>3518</v>
      </c>
      <c r="E15" s="3476" t="s">
        <v>3593</v>
      </c>
      <c r="F15" s="3476">
        <v>16697.47</v>
      </c>
      <c r="G15" s="3476">
        <v>30055</v>
      </c>
      <c r="H15" s="3476" t="s">
        <v>2479</v>
      </c>
      <c r="I15" s="3476" t="s">
        <v>3594</v>
      </c>
      <c r="J15" s="3476">
        <v>20</v>
      </c>
      <c r="K15" s="3476" t="s">
        <v>3595</v>
      </c>
      <c r="L15" s="3476" t="s">
        <v>3517</v>
      </c>
      <c r="M15" s="3476" t="s">
        <v>3518</v>
      </c>
      <c r="N15" s="3476" t="s">
        <v>3518</v>
      </c>
      <c r="O15" s="3476" t="s">
        <v>3596</v>
      </c>
      <c r="P15" s="3476" t="s">
        <v>3520</v>
      </c>
      <c r="Q15" s="3476" t="s">
        <v>3544</v>
      </c>
      <c r="R15" s="3476" t="s">
        <v>3597</v>
      </c>
      <c r="S15" s="3476">
        <v>4977.1099999999997</v>
      </c>
      <c r="T15" s="3476">
        <v>2980.75</v>
      </c>
      <c r="U15" s="3476">
        <v>198.72</v>
      </c>
      <c r="V15" s="3476">
        <v>1656</v>
      </c>
      <c r="W15" s="3476">
        <v>0</v>
      </c>
      <c r="X15" s="3476" t="s">
        <v>3518</v>
      </c>
      <c r="Y15" s="3476" t="s">
        <v>3518</v>
      </c>
    </row>
    <row r="16" spans="1:28">
      <c r="A16" s="3476" t="s">
        <v>3598</v>
      </c>
      <c r="B16" s="3476" t="s">
        <v>3414</v>
      </c>
      <c r="C16" s="3476" t="s">
        <v>3512</v>
      </c>
      <c r="D16" s="3476" t="s">
        <v>3518</v>
      </c>
      <c r="E16" s="3476" t="s">
        <v>3599</v>
      </c>
      <c r="F16" s="3476">
        <v>46618.33</v>
      </c>
      <c r="G16" s="3476">
        <v>93237</v>
      </c>
      <c r="H16" s="3476" t="s">
        <v>2479</v>
      </c>
      <c r="I16" s="3476" t="s">
        <v>3594</v>
      </c>
      <c r="J16" s="3476">
        <v>20</v>
      </c>
      <c r="K16" s="3476" t="s">
        <v>3600</v>
      </c>
      <c r="L16" s="3476" t="s">
        <v>3517</v>
      </c>
      <c r="M16" s="3476" t="s">
        <v>3518</v>
      </c>
      <c r="N16" s="3476" t="s">
        <v>3518</v>
      </c>
      <c r="O16" s="3476" t="s">
        <v>3601</v>
      </c>
      <c r="P16" s="3476" t="s">
        <v>3520</v>
      </c>
      <c r="Q16" s="3476" t="s">
        <v>3544</v>
      </c>
      <c r="R16" s="3476" t="s">
        <v>3602</v>
      </c>
      <c r="S16" s="3476">
        <v>16204.59</v>
      </c>
      <c r="T16" s="3476">
        <v>3476.01</v>
      </c>
      <c r="U16" s="3476">
        <v>231.73</v>
      </c>
      <c r="V16" s="3476">
        <v>1738</v>
      </c>
      <c r="W16" s="3476">
        <v>0</v>
      </c>
      <c r="X16" s="3476" t="s">
        <v>3518</v>
      </c>
      <c r="Y16" s="3476" t="s">
        <v>3518</v>
      </c>
    </row>
    <row r="21" spans="1:27" ht="13.5">
      <c r="A21" s="3479" t="s">
        <v>3604</v>
      </c>
    </row>
    <row r="24" spans="1:27">
      <c r="X24" s="3476" t="s">
        <v>3631</v>
      </c>
      <c r="AA24" s="3476" t="s">
        <v>3632</v>
      </c>
    </row>
    <row r="25" spans="1:27">
      <c r="X25" s="3476">
        <f>'数据-取费表'!H6</f>
        <v>4.4999999999999998E-2</v>
      </c>
      <c r="Z25" s="3476" t="s">
        <v>3633</v>
      </c>
      <c r="AA25" s="3485">
        <f>ROUND(1-1/(1+X25)^50,4)</f>
        <v>0.88929999999999998</v>
      </c>
    </row>
    <row r="26" spans="1:27">
      <c r="Z26" s="3476" t="s">
        <v>3634</v>
      </c>
      <c r="AA26" s="3485">
        <f>ROUND(1-1/(1+X25)^20,4)</f>
        <v>0.58540000000000003</v>
      </c>
    </row>
    <row r="27" spans="1:27">
      <c r="AA27" s="3476">
        <f>ROUND(AA25/AA26,4)</f>
        <v>1.5190999999999999</v>
      </c>
    </row>
  </sheetData>
  <phoneticPr fontId="134" type="noConversion"/>
  <hyperlinks>
    <hyperlink ref="A21"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0" zoomScaleNormal="70" zoomScaleSheetLayoutView="80" workbookViewId="0">
      <selection activeCell="C36" sqref="C36:C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34.97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5527</v>
      </c>
      <c r="C2" s="1386" t="s">
        <v>805</v>
      </c>
      <c r="D2" s="1386"/>
      <c r="E2" s="1387"/>
      <c r="F2" s="1388"/>
      <c r="G2" s="2705"/>
      <c r="H2" s="2694"/>
      <c r="I2" s="2694"/>
      <c r="J2" s="2694"/>
      <c r="K2" s="2695"/>
      <c r="L2" s="2694"/>
      <c r="M2" s="2694"/>
    </row>
    <row r="3" spans="1:37" ht="18" customHeight="1" thickBot="1">
      <c r="A3" s="1389" t="s">
        <v>806</v>
      </c>
      <c r="B3" s="1390">
        <f ca="1">IF(ISERROR(B2*10000/F43),0,ROUND(B2*10000/F43,0))</f>
        <v>6237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352</v>
      </c>
      <c r="D5" s="1363" t="s">
        <v>693</v>
      </c>
      <c r="E5" s="1071"/>
      <c r="F5" s="1072"/>
      <c r="G5" s="1383"/>
      <c r="H5" s="299">
        <v>1</v>
      </c>
      <c r="I5" s="300" t="s">
        <v>692</v>
      </c>
      <c r="J5" s="1070">
        <f ca="1">J6+J10+J12</f>
        <v>0</v>
      </c>
      <c r="K5" s="1363" t="s">
        <v>693</v>
      </c>
      <c r="L5" s="1071"/>
      <c r="M5" s="1072"/>
    </row>
    <row r="6" spans="1:37" ht="18" customHeight="1">
      <c r="A6" s="1069" t="s">
        <v>398</v>
      </c>
      <c r="B6" s="3736" t="s">
        <v>694</v>
      </c>
      <c r="C6" s="1074">
        <f ca="1">ROUND(F6*F8*F7*(1-F9)/10000,0)</f>
        <v>352</v>
      </c>
      <c r="D6" s="155" t="s">
        <v>2109</v>
      </c>
      <c r="E6" s="302" t="s">
        <v>696</v>
      </c>
      <c r="F6" s="303">
        <f ca="1">INDIRECT("'数据-取费表'!u"&amp;$G$1)</f>
        <v>1.21</v>
      </c>
      <c r="G6" s="1383"/>
      <c r="H6" s="1069" t="s">
        <v>398</v>
      </c>
      <c r="I6" s="3736" t="s">
        <v>694</v>
      </c>
      <c r="J6" s="301">
        <f ca="1">ROUND(M6*M8*M7*(1-M9)/10000,0)</f>
        <v>0</v>
      </c>
      <c r="K6" s="155" t="s">
        <v>2108</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8862.14</v>
      </c>
      <c r="G7" s="1383"/>
      <c r="H7" s="304"/>
      <c r="I7" s="3737"/>
      <c r="J7" s="306"/>
      <c r="K7" s="307"/>
      <c r="L7" s="302" t="s">
        <v>697</v>
      </c>
      <c r="M7" s="303">
        <f ca="1">F7</f>
        <v>8862.14</v>
      </c>
    </row>
    <row r="8" spans="1:37" ht="18" customHeight="1">
      <c r="A8" s="304"/>
      <c r="B8" s="3737"/>
      <c r="C8" s="306"/>
      <c r="D8" s="307"/>
      <c r="E8" s="302" t="s">
        <v>698</v>
      </c>
      <c r="F8" s="303">
        <f ca="1">INDIRECT("'数据-取费表'!ai"&amp;$G$1)</f>
        <v>365</v>
      </c>
      <c r="G8" s="1383"/>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v>
      </c>
      <c r="G9" s="1383"/>
      <c r="H9" s="304"/>
      <c r="I9" s="37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3462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4149</v>
      </c>
      <c r="D13" s="1081" t="s">
        <v>705</v>
      </c>
      <c r="E13" s="1081" t="s">
        <v>706</v>
      </c>
      <c r="F13" s="1082">
        <f ca="1">INDIRECT("'数据-取费表'!y"&amp;$G$1)</f>
        <v>0.88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3368</v>
      </c>
      <c r="D14" s="1344" t="s">
        <v>708</v>
      </c>
      <c r="E14" s="1341"/>
      <c r="F14" s="319"/>
      <c r="G14" s="1383"/>
      <c r="H14" s="982" t="s">
        <v>398</v>
      </c>
      <c r="I14" s="302" t="s">
        <v>709</v>
      </c>
      <c r="J14" s="21">
        <f ca="1">C29</f>
        <v>4715</v>
      </c>
      <c r="K14" s="12"/>
      <c r="L14" s="807"/>
      <c r="M14" s="808"/>
    </row>
    <row r="15" spans="1:37" s="1396" customFormat="1" ht="18" customHeight="1" thickBot="1">
      <c r="A15" s="982" t="s">
        <v>399</v>
      </c>
      <c r="B15" s="302" t="s">
        <v>710</v>
      </c>
      <c r="C15" s="21">
        <f ca="1">ROUND(C14*F15,0)</f>
        <v>168</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15</v>
      </c>
      <c r="K16" s="1087" t="s">
        <v>715</v>
      </c>
      <c r="L16" s="1088"/>
      <c r="M16" s="1072"/>
    </row>
    <row r="17" spans="1:37" s="1396" customFormat="1" ht="18" customHeight="1">
      <c r="A17" s="982" t="s">
        <v>681</v>
      </c>
      <c r="B17" s="302" t="s">
        <v>716</v>
      </c>
      <c r="C17" s="21">
        <f ca="1">ROUND(F17*(F43+INDIRECT("'数据-取费表'!S"&amp;$G$1))/10000,0)</f>
        <v>177</v>
      </c>
      <c r="D17" s="302" t="s">
        <v>717</v>
      </c>
      <c r="E17" s="302" t="s">
        <v>718</v>
      </c>
      <c r="F17" s="23">
        <f>'数据-取费表'!B35</f>
        <v>200</v>
      </c>
      <c r="G17" s="1395"/>
      <c r="H17" s="982" t="s">
        <v>398</v>
      </c>
      <c r="I17" s="302" t="s">
        <v>719</v>
      </c>
      <c r="J17" s="2315">
        <f ca="1">ROUND(IF(AND(项目基本情况!B11="自然人",项目基本情况!B10="北京市"),J6*M17/(1+'数据-取费表'!C42),J18+J19+J20),2)</f>
        <v>0.53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67</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3780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76</v>
      </c>
      <c r="D20" s="323" t="s">
        <v>729</v>
      </c>
      <c r="E20" s="302" t="s">
        <v>712</v>
      </c>
      <c r="F20" s="322">
        <f>'数据-取费表'!B37</f>
        <v>0.02</v>
      </c>
      <c r="G20" s="1395"/>
      <c r="H20" s="982" t="s">
        <v>680</v>
      </c>
      <c r="I20" s="155" t="s">
        <v>730</v>
      </c>
      <c r="J20" s="22">
        <f ca="1">ROUND(M20*M21/10000,2)</f>
        <v>0.53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3565.51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14.15</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119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-15</v>
      </c>
      <c r="K25" s="1095" t="s">
        <v>753</v>
      </c>
      <c r="L25" s="1096"/>
      <c r="M25" s="1097"/>
    </row>
    <row r="26" spans="1:37">
      <c r="A26" s="982" t="s">
        <v>397</v>
      </c>
      <c r="B26" s="302" t="s">
        <v>754</v>
      </c>
      <c r="C26" s="21">
        <f ca="1">ROUND((C19+C20)*F26,0)</f>
        <v>386</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4715</v>
      </c>
      <c r="D29" s="1092"/>
      <c r="E29" s="1090"/>
      <c r="F29" s="1093"/>
      <c r="G29" s="1395"/>
      <c r="H29" s="334" t="s">
        <v>396</v>
      </c>
      <c r="I29" s="335" t="s">
        <v>768</v>
      </c>
      <c r="J29" s="336">
        <f ca="1">ROUND(J26/(1+F40)^F41,0)</f>
        <v>0</v>
      </c>
      <c r="K29" s="337" t="s">
        <v>769</v>
      </c>
      <c r="L29" s="338"/>
      <c r="M29" s="339">
        <f ca="1">INDIRECT("'数据-取费表'!k"&amp;$G$1)</f>
        <v>8862.14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81</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59.2</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18.440000000000001</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40.229999999999997</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0.53</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3565.51</v>
      </c>
      <c r="G35" s="1383"/>
      <c r="H35" s="2696"/>
      <c r="I35" s="1397"/>
      <c r="J35" s="1398"/>
      <c r="K35" s="2700"/>
      <c r="L35" s="2699"/>
      <c r="M35" s="2699"/>
    </row>
    <row r="36" spans="1:18" ht="18" customHeight="1">
      <c r="A36" s="1102" t="s">
        <v>402</v>
      </c>
      <c r="B36" s="302" t="s">
        <v>738</v>
      </c>
      <c r="C36" s="21">
        <f ca="1">ROUND(C29*F36,2)</f>
        <v>14.15</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4.1500000000000004</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3.52</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271</v>
      </c>
      <c r="D39" s="1095" t="s">
        <v>773</v>
      </c>
      <c r="E39" s="1096"/>
      <c r="F39" s="1097"/>
      <c r="G39" s="1383"/>
      <c r="H39" s="2699"/>
      <c r="I39" s="1397"/>
      <c r="J39" s="1398"/>
      <c r="K39" s="2703"/>
      <c r="L39" s="2699"/>
      <c r="M39" s="2699"/>
    </row>
    <row r="40" spans="1:18" ht="18" customHeight="1">
      <c r="A40" s="299" t="s">
        <v>395</v>
      </c>
      <c r="B40" s="300" t="s">
        <v>774</v>
      </c>
      <c r="C40" s="301">
        <f ca="1">ROUND(C39*(1-((1+F42)/(1+F40))^F41)/(F40-F42),0)</f>
        <v>5377</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34.97</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6067</v>
      </c>
      <c r="D43" s="337" t="s">
        <v>777</v>
      </c>
      <c r="E43" s="338" t="s">
        <v>778</v>
      </c>
      <c r="F43" s="339">
        <f ca="1">INDIRECT("'数据-取费表'!k"&amp;$G$1)</f>
        <v>8862.14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-5688</v>
      </c>
      <c r="D46" s="1405" t="str">
        <f>C2</f>
        <v>万元</v>
      </c>
      <c r="E46" s="1399"/>
      <c r="F46" s="1399"/>
      <c r="I46" s="1406" t="s">
        <v>810</v>
      </c>
      <c r="J46" s="1407"/>
      <c r="K46" s="1408"/>
      <c r="L46" s="1409">
        <f ca="1">IF(M47="住宅",0,IF(L48&gt;J51,L60,J60))</f>
        <v>150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3463</v>
      </c>
      <c r="K47" s="1415" t="s">
        <v>816</v>
      </c>
      <c r="L47" s="1416">
        <f ca="1">INDIRECT("'数据-取费表'!d"&amp;$G$1)</f>
        <v>50</v>
      </c>
      <c r="M47" s="1379" t="str">
        <f>IF(ISNUMBER(FIND("住宅",C1)),"住宅","非住宅")</f>
        <v>非住宅</v>
      </c>
      <c r="O47" s="1417" t="s">
        <v>403</v>
      </c>
      <c r="P47" s="1418" t="s">
        <v>817</v>
      </c>
      <c r="Q47" s="1419">
        <f ca="1">C40+J29</f>
        <v>5377</v>
      </c>
      <c r="R47" s="1419" t="s">
        <v>818</v>
      </c>
    </row>
    <row r="48" spans="1:18" s="1383" customFormat="1" ht="28.5" thickBot="1">
      <c r="A48" s="1110" t="s">
        <v>438</v>
      </c>
      <c r="B48" s="300" t="s">
        <v>692</v>
      </c>
      <c r="C48" s="1358">
        <f ca="1">C49+C53+C55</f>
        <v>0</v>
      </c>
      <c r="D48" s="1112"/>
      <c r="E48" s="1113"/>
      <c r="F48" s="962"/>
      <c r="G48" s="722"/>
      <c r="H48" s="723"/>
      <c r="I48" s="1420" t="s">
        <v>819</v>
      </c>
      <c r="J48" s="1421" t="s">
        <v>3464</v>
      </c>
      <c r="K48" s="1422" t="s">
        <v>820</v>
      </c>
      <c r="L48" s="1423">
        <f ca="1">INDIRECT("'数据-取费表'!f"&amp;$G$1)</f>
        <v>34.97</v>
      </c>
      <c r="O48" s="1417" t="s">
        <v>404</v>
      </c>
      <c r="P48" s="1418" t="s">
        <v>821</v>
      </c>
      <c r="Q48" s="1419">
        <f ca="1">J60</f>
        <v>150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'数据-取费表'!N19</f>
        <v>2018</v>
      </c>
      <c r="K49" s="1422" t="s">
        <v>824</v>
      </c>
      <c r="L49" s="1426"/>
      <c r="O49" s="1427" t="s">
        <v>405</v>
      </c>
      <c r="P49" s="1418" t="s">
        <v>825</v>
      </c>
      <c r="Q49" s="1419">
        <f ca="1">C29</f>
        <v>4715</v>
      </c>
      <c r="R49" s="1419" t="s">
        <v>818</v>
      </c>
    </row>
    <row r="50" spans="1:18" s="1383" customFormat="1" ht="13.5" thickBot="1">
      <c r="A50" s="976"/>
      <c r="B50" s="979"/>
      <c r="C50" s="1118"/>
      <c r="D50" s="953"/>
      <c r="E50" s="1056" t="s">
        <v>697</v>
      </c>
      <c r="F50" s="1057">
        <f ca="1">F7</f>
        <v>8862.14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-390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34.97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34.97</v>
      </c>
      <c r="K53" s="3734" t="s">
        <v>837</v>
      </c>
      <c r="L53" s="3735"/>
      <c r="O53" s="1417" t="s">
        <v>409</v>
      </c>
      <c r="P53" s="1418" t="s">
        <v>838</v>
      </c>
      <c r="Q53" s="1419">
        <f ca="1">Q47+Q48</f>
        <v>5527</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0.30099999999999999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4149</v>
      </c>
      <c r="D56" s="1446"/>
      <c r="E56" s="1447"/>
      <c r="F56" s="1439"/>
      <c r="I56" s="1448" t="s">
        <v>842</v>
      </c>
      <c r="J56" s="1449" t="s">
        <v>3420</v>
      </c>
      <c r="K56" s="1420" t="s">
        <v>843</v>
      </c>
      <c r="L56" s="1423" t="str">
        <f ca="1">IF(L48&lt;J51,"——",L48-J53)</f>
        <v>——</v>
      </c>
      <c r="O56" s="1417" t="s">
        <v>403</v>
      </c>
      <c r="P56" s="1418" t="s">
        <v>817</v>
      </c>
      <c r="Q56" s="1419">
        <f ca="1">C40+J29</f>
        <v>5377</v>
      </c>
      <c r="R56" s="1419" t="s">
        <v>818</v>
      </c>
    </row>
    <row r="57" spans="1:18" s="1383" customFormat="1" ht="24.75" thickBot="1">
      <c r="A57" s="1450"/>
      <c r="B57" s="950" t="s">
        <v>767</v>
      </c>
      <c r="C57" s="238">
        <f ca="1">C29</f>
        <v>4715</v>
      </c>
      <c r="D57" s="1451"/>
      <c r="E57" s="1452"/>
      <c r="F57" s="1453"/>
      <c r="I57" s="1454" t="s">
        <v>844</v>
      </c>
      <c r="J57" s="1455">
        <f ca="1">IF(OR(M47="住宅",J51&lt;L48,J56="是"),"——",J51-L48)</f>
        <v>18.03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1886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150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0.53</v>
      </c>
      <c r="D62" s="965" t="s">
        <v>786</v>
      </c>
      <c r="E62" s="950" t="s">
        <v>787</v>
      </c>
      <c r="F62" s="325">
        <f t="shared" si="0"/>
        <v>1.5</v>
      </c>
      <c r="I62" s="1461" t="s">
        <v>858</v>
      </c>
      <c r="J62" s="1462" t="s">
        <v>859</v>
      </c>
      <c r="K62" s="1462" t="s">
        <v>860</v>
      </c>
      <c r="L62" s="1462" t="s">
        <v>861</v>
      </c>
      <c r="M62" s="1463" t="s">
        <v>862</v>
      </c>
      <c r="O62" s="1417" t="s">
        <v>409</v>
      </c>
      <c r="P62" s="1418" t="s">
        <v>863</v>
      </c>
      <c r="Q62" s="1419">
        <f ca="1">Q56+Q57</f>
        <v>5377</v>
      </c>
      <c r="R62" s="1419" t="s">
        <v>410</v>
      </c>
    </row>
    <row r="63" spans="1:18" s="1383" customFormat="1" ht="13.5" thickBot="1">
      <c r="A63" s="326"/>
      <c r="B63" s="956"/>
      <c r="C63" s="26"/>
      <c r="D63" s="966"/>
      <c r="E63" s="950" t="s">
        <v>788</v>
      </c>
      <c r="F63" s="303">
        <f t="shared" ca="1" si="0"/>
        <v>3565.51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14.15</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4.1500000000000004</v>
      </c>
      <c r="D65" s="964" t="s">
        <v>743</v>
      </c>
      <c r="E65" s="950" t="s">
        <v>744</v>
      </c>
      <c r="F65" s="330">
        <f t="shared" ca="1" si="0"/>
        <v>1E-3</v>
      </c>
      <c r="I65" s="1461" t="s">
        <v>867</v>
      </c>
      <c r="J65" s="1462">
        <v>40</v>
      </c>
      <c r="K65" s="1462">
        <v>30</v>
      </c>
      <c r="L65" s="1462">
        <v>50</v>
      </c>
      <c r="M65" s="1464">
        <v>0.02</v>
      </c>
      <c r="O65" s="1417" t="s">
        <v>403</v>
      </c>
      <c r="P65" s="1418" t="s">
        <v>868</v>
      </c>
      <c r="Q65" s="1419">
        <f ca="1">C40+J29</f>
        <v>5377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-19</v>
      </c>
      <c r="D67" s="963" t="s">
        <v>753</v>
      </c>
      <c r="E67" s="968"/>
      <c r="F67" s="969"/>
      <c r="O67" s="1427" t="s">
        <v>405</v>
      </c>
      <c r="P67" s="1418" t="s">
        <v>850</v>
      </c>
      <c r="Q67" s="1465">
        <f ca="1">L51</f>
        <v>-390</v>
      </c>
      <c r="R67" s="1419" t="s">
        <v>870</v>
      </c>
    </row>
    <row r="68" spans="1:18" s="1383" customFormat="1" ht="16.5" thickBot="1">
      <c r="A68" s="947" t="s">
        <v>395</v>
      </c>
      <c r="B68" s="948" t="s">
        <v>774</v>
      </c>
      <c r="C68" s="301">
        <f ca="1">ROUND(C67*(1-((1+F70)/(1+F68))^F69)/(F68-F70),0)</f>
        <v>-311</v>
      </c>
      <c r="D68" s="965" t="s">
        <v>758</v>
      </c>
      <c r="E68" s="950" t="s">
        <v>759</v>
      </c>
      <c r="F68" s="312">
        <f ca="1">F40</f>
        <v>0.05</v>
      </c>
      <c r="O68" s="1427" t="s">
        <v>406</v>
      </c>
      <c r="P68" s="1466" t="s">
        <v>871</v>
      </c>
      <c r="Q68" s="1419">
        <f ca="1">ROUND(Q69-Q70*Q71,0)</f>
        <v>-19</v>
      </c>
      <c r="R68" s="1419" t="s">
        <v>414</v>
      </c>
    </row>
    <row r="69" spans="1:18" s="1383" customFormat="1" ht="13.5" thickBot="1">
      <c r="A69" s="951"/>
      <c r="B69" s="952"/>
      <c r="C69" s="306"/>
      <c r="D69" s="970" t="s">
        <v>762</v>
      </c>
      <c r="E69" s="950" t="s">
        <v>763</v>
      </c>
      <c r="F69" s="333">
        <f ca="1">F41</f>
        <v>34.97</v>
      </c>
      <c r="O69" s="1427" t="s">
        <v>411</v>
      </c>
      <c r="P69" s="1466" t="s">
        <v>872</v>
      </c>
      <c r="Q69" s="1419">
        <f ca="1">C39</f>
        <v>271</v>
      </c>
      <c r="R69" s="1419" t="s">
        <v>818</v>
      </c>
    </row>
    <row r="70" spans="1:18" s="1383" customFormat="1" ht="13.5" thickBot="1">
      <c r="A70" s="954"/>
      <c r="B70" s="955"/>
      <c r="C70" s="310"/>
      <c r="D70" s="966"/>
      <c r="E70" s="950" t="s">
        <v>766</v>
      </c>
      <c r="F70" s="1054"/>
      <c r="O70" s="1427" t="s">
        <v>412</v>
      </c>
      <c r="P70" s="1466" t="s">
        <v>873</v>
      </c>
      <c r="Q70" s="1419">
        <f ca="1">C13</f>
        <v>4149</v>
      </c>
      <c r="R70" s="1419" t="s">
        <v>818</v>
      </c>
    </row>
    <row r="71" spans="1:18" s="1383" customFormat="1" ht="13.5" thickBot="1">
      <c r="A71" s="971" t="s">
        <v>396</v>
      </c>
      <c r="B71" s="972" t="s">
        <v>776</v>
      </c>
      <c r="C71" s="336">
        <f ca="1">ROUND(C68*10000/F71,0)</f>
        <v>-351</v>
      </c>
      <c r="D71" s="973" t="s">
        <v>777</v>
      </c>
      <c r="E71" s="974" t="s">
        <v>778</v>
      </c>
      <c r="F71" s="339">
        <f ca="1">F43</f>
        <v>8862.14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290</v>
      </c>
      <c r="D75" s="1383"/>
      <c r="E75" s="1383"/>
      <c r="F75" s="1383"/>
      <c r="K75" s="1401"/>
      <c r="L75" s="1383"/>
      <c r="O75" s="1417" t="s">
        <v>409</v>
      </c>
      <c r="P75" s="1418" t="s">
        <v>838</v>
      </c>
      <c r="Q75" s="1419">
        <f ca="1">Q65+Q66</f>
        <v>5377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-7.0000000000000062E-2</v>
      </c>
    </row>
    <row r="80" spans="1:18">
      <c r="B80" s="340" t="s">
        <v>800</v>
      </c>
      <c r="C80" s="274">
        <f ca="1">ROUND(C75/C39,3)</f>
        <v>1.07</v>
      </c>
    </row>
    <row r="81" spans="2:3">
      <c r="B81" s="270" t="s">
        <v>801</v>
      </c>
      <c r="C81" s="238"/>
    </row>
    <row r="82" spans="2:3">
      <c r="B82" s="273" t="s">
        <v>802</v>
      </c>
      <c r="C82" s="275">
        <f ca="1">1-C83</f>
        <v>0.22799999999999998</v>
      </c>
    </row>
    <row r="83" spans="2:3">
      <c r="B83" s="273" t="s">
        <v>803</v>
      </c>
      <c r="C83" s="274">
        <f ca="1">ROUND(C13/C40,3)</f>
        <v>0.77200000000000002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6" t="s">
        <v>694</v>
      </c>
      <c r="C6" s="1074">
        <f ca="1">ROUND(F6*F8*F7*(1-F9),0)</f>
        <v>0</v>
      </c>
      <c r="D6" s="155" t="s">
        <v>2106</v>
      </c>
      <c r="E6" s="302" t="s">
        <v>696</v>
      </c>
      <c r="F6" s="303">
        <f ca="1">INDIRECT("'数据-取费表'!u"&amp;$G$1)</f>
        <v>0</v>
      </c>
      <c r="G6" s="1383"/>
      <c r="H6" s="1069" t="s">
        <v>398</v>
      </c>
      <c r="I6" s="3736" t="s">
        <v>694</v>
      </c>
      <c r="J6" s="301">
        <f ca="1">ROUND(M6*M8*M7*(1-M9),0)</f>
        <v>0</v>
      </c>
      <c r="K6" s="1375" t="s">
        <v>2107</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45" t="s">
        <v>2317</v>
      </c>
      <c r="K2" s="3746"/>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7" t="s">
        <v>2327</v>
      </c>
      <c r="K3" s="3748"/>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7" t="s">
        <v>2329</v>
      </c>
      <c r="K4" s="3748"/>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53" t="s">
        <v>2333</v>
      </c>
      <c r="B6" s="3754"/>
      <c r="C6" s="3755"/>
      <c r="D6" s="2869"/>
      <c r="E6" s="2870"/>
      <c r="F6" s="2871"/>
      <c r="G6" s="2872"/>
      <c r="H6" s="2847"/>
      <c r="I6" s="2848"/>
      <c r="J6" s="3739">
        <v>1</v>
      </c>
      <c r="K6" s="3740"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39"/>
      <c r="K7" s="3741"/>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6" t="s">
        <v>2347</v>
      </c>
      <c r="C8" s="3757"/>
      <c r="D8" s="2888" t="s">
        <v>2348</v>
      </c>
      <c r="E8" s="2889" t="s">
        <v>2349</v>
      </c>
      <c r="F8" s="2890" t="s">
        <v>2350</v>
      </c>
      <c r="G8" s="2891"/>
      <c r="H8" s="2847"/>
      <c r="I8" s="2848"/>
      <c r="J8" s="3739"/>
      <c r="K8" s="3741"/>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6" t="s">
        <v>2353</v>
      </c>
      <c r="C9" s="3757"/>
      <c r="D9" s="2888">
        <f>ROUND(D6*E9,0)</f>
        <v>0</v>
      </c>
      <c r="E9" s="2892"/>
      <c r="F9" s="2893" t="s">
        <v>2354</v>
      </c>
      <c r="G9" s="2872"/>
      <c r="H9" s="2847"/>
      <c r="I9" s="2848"/>
      <c r="J9" s="3739"/>
      <c r="K9" s="3741"/>
      <c r="L9" s="2882" t="s">
        <v>2355</v>
      </c>
      <c r="M9" s="2883"/>
      <c r="N9" s="2859"/>
      <c r="O9" s="2884"/>
      <c r="P9" s="2884"/>
      <c r="Q9" s="2885">
        <v>365</v>
      </c>
      <c r="R9" s="2886">
        <f t="shared" si="0"/>
        <v>0</v>
      </c>
      <c r="S9" s="2840"/>
      <c r="T9" s="2840"/>
      <c r="U9" s="2840"/>
      <c r="V9" s="2848"/>
    </row>
    <row r="10" spans="1:22" s="2852" customFormat="1" ht="13.15" customHeight="1">
      <c r="A10" s="2887">
        <v>2</v>
      </c>
      <c r="B10" s="3756" t="s">
        <v>2356</v>
      </c>
      <c r="C10" s="3757"/>
      <c r="D10" s="2888">
        <f>ROUND(D6*E10,0)</f>
        <v>0</v>
      </c>
      <c r="E10" s="2892"/>
      <c r="F10" s="2893" t="s">
        <v>2357</v>
      </c>
      <c r="G10" s="2872"/>
      <c r="H10" s="2847"/>
      <c r="I10" s="2848"/>
      <c r="J10" s="3739"/>
      <c r="K10" s="3741"/>
      <c r="L10" s="2882" t="s">
        <v>2358</v>
      </c>
      <c r="M10" s="2883"/>
      <c r="N10" s="2859"/>
      <c r="O10" s="2884"/>
      <c r="P10" s="2884"/>
      <c r="Q10" s="2885">
        <v>365</v>
      </c>
      <c r="R10" s="2886">
        <f t="shared" si="0"/>
        <v>0</v>
      </c>
      <c r="S10" s="2840"/>
      <c r="T10" s="2840"/>
      <c r="U10" s="2840"/>
      <c r="V10" s="2848"/>
    </row>
    <row r="11" spans="1:22" s="2852" customFormat="1" ht="13.15" customHeight="1">
      <c r="A11" s="2887">
        <v>3</v>
      </c>
      <c r="B11" s="3756" t="s">
        <v>2359</v>
      </c>
      <c r="C11" s="3757"/>
      <c r="D11" s="2888">
        <f>D12+D14+D15+D16</f>
        <v>0</v>
      </c>
      <c r="E11" s="2894" t="e">
        <f>D11/D6</f>
        <v>#DIV/0!</v>
      </c>
      <c r="F11" s="2890"/>
      <c r="G11" s="2891"/>
      <c r="H11" s="2847"/>
      <c r="I11" s="2848"/>
      <c r="J11" s="3739"/>
      <c r="K11" s="3741"/>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9" t="s">
        <v>2362</v>
      </c>
      <c r="C12" s="3750"/>
      <c r="D12" s="2896">
        <f>ROUND(D13*1.2%*(1-30%),0)</f>
        <v>0</v>
      </c>
      <c r="E12" s="2897">
        <v>1.2E-2</v>
      </c>
      <c r="F12" s="2890" t="s">
        <v>2363</v>
      </c>
      <c r="G12" s="2891"/>
      <c r="H12" s="2847"/>
      <c r="I12" s="2848"/>
      <c r="J12" s="3739"/>
      <c r="K12" s="3741"/>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39"/>
      <c r="K13" s="3741"/>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9" t="s">
        <v>2368</v>
      </c>
      <c r="C14" s="3750"/>
      <c r="D14" s="2896">
        <f>ROUND(E14*B5/10000,0)</f>
        <v>0</v>
      </c>
      <c r="E14" s="2885"/>
      <c r="F14" s="2890" t="s">
        <v>2369</v>
      </c>
      <c r="G14" s="2891"/>
      <c r="H14" s="2847"/>
      <c r="I14" s="2848"/>
      <c r="J14" s="3739"/>
      <c r="K14" s="3742"/>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9" t="s">
        <v>2372</v>
      </c>
      <c r="C15" s="3750"/>
      <c r="D15" s="2896">
        <f>ROUND(D6*E15,0)</f>
        <v>0</v>
      </c>
      <c r="E15" s="2897">
        <v>5.5E-2</v>
      </c>
      <c r="F15" s="2890" t="s">
        <v>2373</v>
      </c>
      <c r="G15" s="2872"/>
      <c r="H15" s="2847"/>
      <c r="I15" s="2848"/>
      <c r="J15" s="3739">
        <v>2</v>
      </c>
      <c r="K15" s="3740"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9" t="s">
        <v>2381</v>
      </c>
      <c r="C16" s="3750"/>
      <c r="D16" s="2907">
        <f>D6*E16</f>
        <v>0</v>
      </c>
      <c r="E16" s="2908"/>
      <c r="F16" s="2893" t="s">
        <v>2382</v>
      </c>
      <c r="G16" s="2872"/>
      <c r="H16" s="2847"/>
      <c r="I16" s="2848"/>
      <c r="J16" s="3739"/>
      <c r="K16" s="3741"/>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2384</v>
      </c>
      <c r="C17" s="3752"/>
      <c r="D17" s="2910">
        <f>ROUND(D6*E17,0)</f>
        <v>0</v>
      </c>
      <c r="E17" s="2911"/>
      <c r="F17" s="2912" t="s">
        <v>2385</v>
      </c>
      <c r="G17" s="2872"/>
      <c r="H17" s="2847"/>
      <c r="I17" s="2848"/>
      <c r="J17" s="3739"/>
      <c r="K17" s="3741"/>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39"/>
      <c r="K18" s="3741"/>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39"/>
      <c r="K19" s="3742"/>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9">
        <v>3</v>
      </c>
      <c r="K20" s="3740"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39"/>
      <c r="K21" s="3741"/>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39"/>
      <c r="K22" s="3741"/>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39"/>
      <c r="K23" s="3741"/>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39"/>
      <c r="K24" s="3742"/>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4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4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45" t="s">
        <v>2317</v>
      </c>
      <c r="K32" s="3746"/>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7" t="s">
        <v>2327</v>
      </c>
      <c r="K33" s="3748"/>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7" t="s">
        <v>2329</v>
      </c>
      <c r="K34" s="37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39">
        <v>1</v>
      </c>
      <c r="K36" s="3740"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39"/>
      <c r="K37" s="3741"/>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9"/>
      <c r="K38" s="3741"/>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39"/>
      <c r="K39" s="3741"/>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39"/>
      <c r="K40" s="3742"/>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4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5527</v>
      </c>
      <c r="C2" s="1871" t="s">
        <v>1651</v>
      </c>
      <c r="D2" s="1872" t="s">
        <v>1652</v>
      </c>
      <c r="E2" s="2606">
        <f>SUM(E6:E13)</f>
        <v>8862.14</v>
      </c>
      <c r="F2" s="2706"/>
      <c r="G2" s="1488"/>
      <c r="H2" s="1488"/>
      <c r="I2" s="1488"/>
      <c r="J2" s="1488"/>
      <c r="K2" s="1488"/>
      <c r="L2" s="1488"/>
      <c r="M2" s="1488"/>
      <c r="N2" s="1488"/>
      <c r="O2" s="1488"/>
      <c r="P2" s="1488"/>
      <c r="Q2" s="1488"/>
      <c r="R2" s="1488"/>
      <c r="S2" s="1488"/>
    </row>
    <row r="3" spans="1:22" ht="15.75">
      <c r="A3" s="1869" t="s">
        <v>686</v>
      </c>
      <c r="B3" s="2600">
        <f ca="1">ROUND(B2*10000/E2,0)</f>
        <v>6237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5527</v>
      </c>
      <c r="C6" s="1871" t="s">
        <v>1651</v>
      </c>
      <c r="D6" s="2708"/>
      <c r="E6" s="2605">
        <f>IF(OR(A6=0,F6="否"),0,'数据-取费表'!K6+'数据-取费表'!S6)</f>
        <v>8862.14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受贵公司委托，我公司对北京市顺义区仁和园二街4号院6号楼-1至5层101工业用房房地产抵押价值进行了预评估。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估价对象为北京市顺义区仁和园二街4号院6号楼-1至5层101工业用房房地产，为所有。根据《国有土地使用证》[]，估价对象（分摊）出让国有建设用地使用权面积为3565.51平方米，建筑面积为8862.14平方米。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仁和园二街4号院6号楼-1至5层101工业用房房地产,属开发建设的工业项目，该项目尚在开发建设中。根据《国有土地使用证》[]，估价对象（分摊）出让国有建设用地使用权面积为3565.51平方米，规划建筑面积为8862.14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8862.14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2" t="s">
        <v>1667</v>
      </c>
      <c r="D4" s="3718"/>
      <c r="E4" s="3719" t="s">
        <v>1668</v>
      </c>
      <c r="F4" s="3720"/>
      <c r="G4" s="3692" t="s">
        <v>1669</v>
      </c>
      <c r="H4" s="3718"/>
      <c r="I4" s="3692" t="s">
        <v>1670</v>
      </c>
      <c r="J4" s="3718"/>
      <c r="K4" s="1888" t="s">
        <v>1671</v>
      </c>
      <c r="L4" s="2714"/>
      <c r="M4" s="2715"/>
      <c r="N4" s="2715"/>
      <c r="O4" s="2715"/>
      <c r="P4" s="3721" t="s">
        <v>1672</v>
      </c>
      <c r="Q4" s="3722"/>
      <c r="R4" s="3698" t="s">
        <v>1668</v>
      </c>
      <c r="S4" s="3699"/>
      <c r="T4" s="3698" t="s">
        <v>1669</v>
      </c>
      <c r="U4" s="3699"/>
      <c r="V4" s="3711" t="s">
        <v>1670</v>
      </c>
      <c r="W4" s="3711"/>
      <c r="X4" s="1354"/>
      <c r="Y4" s="3698" t="s">
        <v>1672</v>
      </c>
      <c r="Z4" s="3699"/>
      <c r="AA4" s="3715" t="s">
        <v>1668</v>
      </c>
      <c r="AB4" s="3715" t="s">
        <v>1669</v>
      </c>
      <c r="AC4" s="3715" t="s">
        <v>1670</v>
      </c>
    </row>
    <row r="5" spans="1:29" ht="15">
      <c r="A5" s="358"/>
      <c r="B5" s="359"/>
      <c r="C5" s="3702" t="s">
        <v>1673</v>
      </c>
      <c r="D5" s="3703"/>
      <c r="E5" s="3727" t="s">
        <v>1674</v>
      </c>
      <c r="F5" s="3728"/>
      <c r="G5" s="3702" t="s">
        <v>1675</v>
      </c>
      <c r="H5" s="3703"/>
      <c r="I5" s="3702" t="s">
        <v>1676</v>
      </c>
      <c r="J5" s="3703"/>
      <c r="K5" s="1889"/>
      <c r="L5" s="2714"/>
      <c r="M5" s="2715"/>
      <c r="N5" s="2715"/>
      <c r="O5" s="2715"/>
      <c r="P5" s="3723"/>
      <c r="Q5" s="3724"/>
      <c r="R5" s="3700"/>
      <c r="S5" s="3701"/>
      <c r="T5" s="3700"/>
      <c r="U5" s="3701"/>
      <c r="V5" s="3711"/>
      <c r="W5" s="3711"/>
      <c r="X5" s="1354"/>
      <c r="Y5" s="3700"/>
      <c r="Z5" s="3701"/>
      <c r="AA5" s="3716"/>
      <c r="AB5" s="3716"/>
      <c r="AC5" s="3716"/>
    </row>
    <row r="6" spans="1:29" ht="15.75" thickBot="1">
      <c r="A6" s="360"/>
      <c r="B6" s="361"/>
      <c r="C6" s="3768" t="s">
        <v>1677</v>
      </c>
      <c r="D6" s="3769"/>
      <c r="E6" s="3770" t="s">
        <v>1677</v>
      </c>
      <c r="F6" s="3771"/>
      <c r="G6" s="3768" t="s">
        <v>1677</v>
      </c>
      <c r="H6" s="3769"/>
      <c r="I6" s="3768" t="s">
        <v>1677</v>
      </c>
      <c r="J6" s="3769"/>
      <c r="K6" s="1889" t="s">
        <v>1678</v>
      </c>
      <c r="L6" s="2714"/>
      <c r="M6" s="2715"/>
      <c r="N6" s="2715"/>
      <c r="O6" s="2715"/>
      <c r="P6" s="3725"/>
      <c r="Q6" s="3726"/>
      <c r="R6" s="3700"/>
      <c r="S6" s="3701"/>
      <c r="T6" s="3709"/>
      <c r="U6" s="3710"/>
      <c r="V6" s="3711"/>
      <c r="W6" s="3711"/>
      <c r="X6" s="1354"/>
      <c r="Y6" s="3709"/>
      <c r="Z6" s="3710"/>
      <c r="AA6" s="3717"/>
      <c r="AB6" s="3717"/>
      <c r="AC6" s="3717"/>
    </row>
    <row r="7" spans="1:29" s="108" customFormat="1" ht="15.75" thickBot="1">
      <c r="A7" s="362" t="s">
        <v>1679</v>
      </c>
      <c r="B7" s="363"/>
      <c r="C7" s="364">
        <f>'数据-取费表'!B2</f>
        <v>45763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6" t="s">
        <v>1680</v>
      </c>
      <c r="Q7" s="3706"/>
      <c r="R7" s="701" t="s">
        <v>20</v>
      </c>
      <c r="S7" s="702">
        <f t="shared" ref="S7:S15" si="0">F7</f>
        <v>0</v>
      </c>
      <c r="T7" s="701" t="s">
        <v>20</v>
      </c>
      <c r="U7" s="702">
        <f t="shared" ref="U7:U15" si="1">H7</f>
        <v>0</v>
      </c>
      <c r="V7" s="701" t="s">
        <v>20</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4" t="s">
        <v>1686</v>
      </c>
      <c r="Q9" s="1342"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4"/>
      <c r="Q10" s="1342"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2" t="str">
        <f t="shared" si="6"/>
        <v>容积率</v>
      </c>
      <c r="R11" s="701" t="s">
        <v>18</v>
      </c>
      <c r="S11" s="702" t="e">
        <f t="shared" si="0"/>
        <v>#N/A</v>
      </c>
      <c r="T11" s="701" t="s">
        <v>18</v>
      </c>
      <c r="U11" s="702" t="e">
        <f t="shared" si="1"/>
        <v>#N/A</v>
      </c>
      <c r="V11" s="701" t="s">
        <v>18</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4"/>
      <c r="Q12" s="1342">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4"/>
      <c r="Q13" s="1342">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4"/>
      <c r="Q14" s="1342">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6" t="s">
        <v>1691</v>
      </c>
      <c r="Q15" s="1351" t="str">
        <f t="shared" si="6"/>
        <v>居住社区成熟度</v>
      </c>
      <c r="R15" s="705" t="s">
        <v>18</v>
      </c>
      <c r="S15" s="706">
        <f t="shared" si="0"/>
        <v>100</v>
      </c>
      <c r="T15" s="705" t="s">
        <v>18</v>
      </c>
      <c r="U15" s="706">
        <f t="shared" si="1"/>
        <v>100</v>
      </c>
      <c r="V15" s="705" t="s">
        <v>18</v>
      </c>
      <c r="W15" s="706">
        <f t="shared" si="2"/>
        <v>100</v>
      </c>
      <c r="X15" s="1354"/>
      <c r="Y15" s="371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7"/>
      <c r="Q16" s="1351"/>
      <c r="R16" s="705"/>
      <c r="S16" s="706"/>
      <c r="T16" s="705"/>
      <c r="U16" s="706"/>
      <c r="V16" s="705"/>
      <c r="W16" s="706"/>
      <c r="X16" s="1354"/>
      <c r="Y16" s="371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7"/>
      <c r="Q17" s="1351" t="str">
        <f>B17</f>
        <v>交通便捷度</v>
      </c>
      <c r="R17" s="705" t="s">
        <v>18</v>
      </c>
      <c r="S17" s="706">
        <f>F17</f>
        <v>100</v>
      </c>
      <c r="T17" s="705" t="s">
        <v>18</v>
      </c>
      <c r="U17" s="706">
        <f>H17</f>
        <v>100</v>
      </c>
      <c r="V17" s="705" t="s">
        <v>18</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7"/>
      <c r="Q18" s="1351"/>
      <c r="R18" s="705"/>
      <c r="S18" s="706"/>
      <c r="T18" s="705"/>
      <c r="U18" s="706"/>
      <c r="V18" s="705"/>
      <c r="W18" s="706"/>
      <c r="X18" s="1354"/>
      <c r="Y18" s="371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7"/>
      <c r="Q19" s="1351" t="str">
        <f>B19</f>
        <v>公共配套设施</v>
      </c>
      <c r="R19" s="705" t="s">
        <v>18</v>
      </c>
      <c r="S19" s="706">
        <f>F19</f>
        <v>100</v>
      </c>
      <c r="T19" s="705" t="s">
        <v>18</v>
      </c>
      <c r="U19" s="706">
        <f>H19</f>
        <v>100</v>
      </c>
      <c r="V19" s="705" t="s">
        <v>18</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7"/>
      <c r="Q20" s="1351"/>
      <c r="R20" s="705"/>
      <c r="S20" s="706"/>
      <c r="T20" s="705"/>
      <c r="U20" s="706"/>
      <c r="V20" s="705"/>
      <c r="W20" s="706"/>
      <c r="X20" s="1354"/>
      <c r="Y20" s="3713"/>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7"/>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7"/>
      <c r="Q22" s="1351"/>
      <c r="R22" s="705"/>
      <c r="S22" s="706"/>
      <c r="T22" s="705"/>
      <c r="U22" s="706"/>
      <c r="V22" s="705"/>
      <c r="W22" s="706"/>
      <c r="X22" s="1354"/>
      <c r="Y22" s="371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7"/>
      <c r="Q23" s="1351" t="str">
        <f>B23</f>
        <v>自然及人文环境</v>
      </c>
      <c r="R23" s="705" t="s">
        <v>18</v>
      </c>
      <c r="S23" s="706">
        <f>F23</f>
        <v>100</v>
      </c>
      <c r="T23" s="705" t="s">
        <v>18</v>
      </c>
      <c r="U23" s="706">
        <f>H23</f>
        <v>100</v>
      </c>
      <c r="V23" s="705" t="s">
        <v>18</v>
      </c>
      <c r="W23" s="706">
        <f>J23</f>
        <v>100</v>
      </c>
      <c r="X23" s="1354"/>
      <c r="Y23" s="371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7"/>
      <c r="Q24" s="1351"/>
      <c r="R24" s="705"/>
      <c r="S24" s="706"/>
      <c r="T24" s="705"/>
      <c r="U24" s="706"/>
      <c r="V24" s="705"/>
      <c r="W24" s="706"/>
      <c r="X24" s="1354"/>
      <c r="Y24" s="371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7"/>
      <c r="Q26" s="1351" t="str">
        <f t="shared" si="11"/>
        <v>朝向</v>
      </c>
      <c r="R26" s="705" t="s">
        <v>18</v>
      </c>
      <c r="S26" s="706">
        <f t="shared" si="12"/>
        <v>100</v>
      </c>
      <c r="T26" s="705" t="s">
        <v>18</v>
      </c>
      <c r="U26" s="706">
        <f t="shared" si="13"/>
        <v>100</v>
      </c>
      <c r="V26" s="705" t="s">
        <v>18</v>
      </c>
      <c r="W26" s="706">
        <f t="shared" si="14"/>
        <v>100</v>
      </c>
      <c r="X26" s="1354"/>
      <c r="Y26" s="371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7"/>
      <c r="Q27" s="1342">
        <f t="shared" si="11"/>
        <v>111</v>
      </c>
      <c r="R27" s="701" t="s">
        <v>18</v>
      </c>
      <c r="S27" s="702">
        <f t="shared" si="12"/>
        <v>100</v>
      </c>
      <c r="T27" s="701" t="s">
        <v>18</v>
      </c>
      <c r="U27" s="702">
        <f t="shared" si="13"/>
        <v>100</v>
      </c>
      <c r="V27" s="701" t="s">
        <v>18</v>
      </c>
      <c r="W27" s="702">
        <f t="shared" si="14"/>
        <v>100</v>
      </c>
      <c r="X27" s="703"/>
      <c r="Y27" s="371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7"/>
      <c r="Q28" s="1351">
        <f t="shared" si="11"/>
        <v>111</v>
      </c>
      <c r="R28" s="705" t="s">
        <v>18</v>
      </c>
      <c r="S28" s="706">
        <f t="shared" si="12"/>
        <v>100</v>
      </c>
      <c r="T28" s="705" t="s">
        <v>18</v>
      </c>
      <c r="U28" s="706">
        <f t="shared" si="13"/>
        <v>100</v>
      </c>
      <c r="V28" s="705" t="s">
        <v>18</v>
      </c>
      <c r="W28" s="706">
        <f t="shared" si="14"/>
        <v>100</v>
      </c>
      <c r="X28" s="1354"/>
      <c r="Y28" s="371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7"/>
      <c r="Q29" s="1351">
        <f t="shared" si="11"/>
        <v>111</v>
      </c>
      <c r="R29" s="705" t="s">
        <v>18</v>
      </c>
      <c r="S29" s="706">
        <f t="shared" si="12"/>
        <v>100</v>
      </c>
      <c r="T29" s="705" t="s">
        <v>18</v>
      </c>
      <c r="U29" s="706">
        <f t="shared" si="13"/>
        <v>100</v>
      </c>
      <c r="V29" s="705" t="s">
        <v>18</v>
      </c>
      <c r="W29" s="706">
        <f t="shared" si="14"/>
        <v>100</v>
      </c>
      <c r="X29" s="1354"/>
      <c r="Y29" s="371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7"/>
      <c r="Q30" s="1351">
        <f t="shared" si="11"/>
        <v>111</v>
      </c>
      <c r="R30" s="705" t="s">
        <v>18</v>
      </c>
      <c r="S30" s="706">
        <f t="shared" si="12"/>
        <v>100</v>
      </c>
      <c r="T30" s="705" t="s">
        <v>18</v>
      </c>
      <c r="U30" s="706">
        <f t="shared" si="13"/>
        <v>100</v>
      </c>
      <c r="V30" s="705" t="s">
        <v>18</v>
      </c>
      <c r="W30" s="706">
        <f t="shared" si="14"/>
        <v>100</v>
      </c>
      <c r="X30" s="1354"/>
      <c r="Y30" s="371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7"/>
      <c r="Q31" s="1351">
        <f t="shared" si="11"/>
        <v>111</v>
      </c>
      <c r="R31" s="705" t="s">
        <v>18</v>
      </c>
      <c r="S31" s="706">
        <f t="shared" si="12"/>
        <v>100</v>
      </c>
      <c r="T31" s="705" t="s">
        <v>18</v>
      </c>
      <c r="U31" s="706">
        <f t="shared" si="13"/>
        <v>100</v>
      </c>
      <c r="V31" s="705" t="s">
        <v>18</v>
      </c>
      <c r="W31" s="706">
        <f t="shared" si="14"/>
        <v>100</v>
      </c>
      <c r="X31" s="1354"/>
      <c r="Y31" s="371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2" t="s">
        <v>1696</v>
      </c>
      <c r="Q32" s="1351" t="str">
        <f t="shared" si="11"/>
        <v>建筑类型</v>
      </c>
      <c r="R32" s="705" t="s">
        <v>18</v>
      </c>
      <c r="S32" s="706">
        <f t="shared" si="12"/>
        <v>100</v>
      </c>
      <c r="T32" s="705" t="s">
        <v>18</v>
      </c>
      <c r="U32" s="706">
        <f t="shared" si="13"/>
        <v>100</v>
      </c>
      <c r="V32" s="705" t="s">
        <v>18</v>
      </c>
      <c r="W32" s="706">
        <f t="shared" si="14"/>
        <v>100</v>
      </c>
      <c r="X32" s="1354"/>
      <c r="Y32" s="371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3"/>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3"/>
      <c r="Q34" s="1351" t="str">
        <f t="shared" si="11"/>
        <v>建筑结构</v>
      </c>
      <c r="R34" s="705" t="s">
        <v>18</v>
      </c>
      <c r="S34" s="706">
        <f t="shared" si="12"/>
        <v>100</v>
      </c>
      <c r="T34" s="705" t="s">
        <v>18</v>
      </c>
      <c r="U34" s="706">
        <f t="shared" si="13"/>
        <v>100</v>
      </c>
      <c r="V34" s="705" t="s">
        <v>18</v>
      </c>
      <c r="W34" s="706">
        <f t="shared" si="14"/>
        <v>100</v>
      </c>
      <c r="X34" s="1354"/>
      <c r="Y34" s="371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3"/>
      <c r="Q35" s="1351" t="str">
        <f t="shared" si="11"/>
        <v>建筑品质</v>
      </c>
      <c r="R35" s="705" t="s">
        <v>18</v>
      </c>
      <c r="S35" s="706">
        <f t="shared" si="12"/>
        <v>100</v>
      </c>
      <c r="T35" s="705" t="s">
        <v>18</v>
      </c>
      <c r="U35" s="706">
        <f t="shared" si="13"/>
        <v>100</v>
      </c>
      <c r="V35" s="705" t="s">
        <v>18</v>
      </c>
      <c r="W35" s="706">
        <f t="shared" si="14"/>
        <v>100</v>
      </c>
      <c r="X35" s="1354"/>
      <c r="Y35" s="371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3"/>
      <c r="Q36" s="1351" t="str">
        <f t="shared" si="11"/>
        <v>公共部分装修</v>
      </c>
      <c r="R36" s="705" t="s">
        <v>18</v>
      </c>
      <c r="S36" s="706">
        <f t="shared" si="12"/>
        <v>100</v>
      </c>
      <c r="T36" s="705" t="s">
        <v>18</v>
      </c>
      <c r="U36" s="706">
        <f t="shared" si="13"/>
        <v>100</v>
      </c>
      <c r="V36" s="705" t="s">
        <v>18</v>
      </c>
      <c r="W36" s="706">
        <f t="shared" si="14"/>
        <v>100</v>
      </c>
      <c r="X36" s="1354"/>
      <c r="Y36" s="371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3"/>
      <c r="Q37" s="1342"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3" t="s">
        <v>1696</v>
      </c>
      <c r="Q38" s="1351" t="str">
        <f t="shared" si="11"/>
        <v>物业管理</v>
      </c>
      <c r="R38" s="705" t="s">
        <v>18</v>
      </c>
      <c r="S38" s="706">
        <f t="shared" si="12"/>
        <v>100</v>
      </c>
      <c r="T38" s="705" t="s">
        <v>18</v>
      </c>
      <c r="U38" s="706">
        <f t="shared" si="13"/>
        <v>100</v>
      </c>
      <c r="V38" s="705" t="s">
        <v>18</v>
      </c>
      <c r="W38" s="706">
        <f t="shared" si="14"/>
        <v>100</v>
      </c>
      <c r="X38" s="1354"/>
      <c r="Y38" s="371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3"/>
      <c r="Q39" s="1351" t="str">
        <f t="shared" si="11"/>
        <v>市政基础设施</v>
      </c>
      <c r="R39" s="705" t="s">
        <v>18</v>
      </c>
      <c r="S39" s="706">
        <f t="shared" si="12"/>
        <v>100</v>
      </c>
      <c r="T39" s="705" t="s">
        <v>18</v>
      </c>
      <c r="U39" s="706">
        <f t="shared" si="13"/>
        <v>100</v>
      </c>
      <c r="V39" s="705" t="s">
        <v>18</v>
      </c>
      <c r="W39" s="706">
        <f t="shared" si="14"/>
        <v>100</v>
      </c>
      <c r="X39" s="1354"/>
      <c r="Y39" s="371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3"/>
      <c r="Q40" s="1351" t="str">
        <f t="shared" si="11"/>
        <v>房型</v>
      </c>
      <c r="R40" s="705" t="s">
        <v>18</v>
      </c>
      <c r="S40" s="706">
        <f t="shared" si="12"/>
        <v>100</v>
      </c>
      <c r="T40" s="705" t="s">
        <v>18</v>
      </c>
      <c r="U40" s="706">
        <f t="shared" si="13"/>
        <v>100</v>
      </c>
      <c r="V40" s="705" t="s">
        <v>18</v>
      </c>
      <c r="W40" s="706">
        <f t="shared" si="14"/>
        <v>100</v>
      </c>
      <c r="X40" s="1354"/>
      <c r="Y40" s="371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3"/>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3"/>
      <c r="Q42" s="1351" t="str">
        <f t="shared" si="11"/>
        <v>内部装修</v>
      </c>
      <c r="R42" s="705" t="s">
        <v>18</v>
      </c>
      <c r="S42" s="706">
        <f t="shared" si="12"/>
        <v>100</v>
      </c>
      <c r="T42" s="705" t="s">
        <v>18</v>
      </c>
      <c r="U42" s="706">
        <f t="shared" si="13"/>
        <v>100</v>
      </c>
      <c r="V42" s="705" t="s">
        <v>18</v>
      </c>
      <c r="W42" s="706">
        <f t="shared" si="14"/>
        <v>100</v>
      </c>
      <c r="X42" s="1354"/>
      <c r="Y42" s="371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3"/>
      <c r="Q43" s="1351" t="str">
        <f t="shared" si="11"/>
        <v>内部装修维护情况</v>
      </c>
      <c r="R43" s="705" t="s">
        <v>18</v>
      </c>
      <c r="S43" s="706">
        <f t="shared" si="12"/>
        <v>100</v>
      </c>
      <c r="T43" s="705" t="s">
        <v>18</v>
      </c>
      <c r="U43" s="706">
        <f t="shared" si="13"/>
        <v>100</v>
      </c>
      <c r="V43" s="705" t="s">
        <v>18</v>
      </c>
      <c r="W43" s="706">
        <f t="shared" si="14"/>
        <v>100</v>
      </c>
      <c r="X43" s="1354"/>
      <c r="Y43" s="371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3"/>
      <c r="Q44" s="1342">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3"/>
      <c r="Q45" s="1351">
        <f t="shared" si="11"/>
        <v>111</v>
      </c>
      <c r="R45" s="705" t="s">
        <v>18</v>
      </c>
      <c r="S45" s="706">
        <f t="shared" si="12"/>
        <v>100</v>
      </c>
      <c r="T45" s="705" t="s">
        <v>18</v>
      </c>
      <c r="U45" s="706">
        <f t="shared" si="13"/>
        <v>100</v>
      </c>
      <c r="V45" s="705" t="s">
        <v>18</v>
      </c>
      <c r="W45" s="706">
        <f t="shared" si="14"/>
        <v>100</v>
      </c>
      <c r="X45" s="1354"/>
      <c r="Y45" s="371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4"/>
      <c r="Q46" s="1351">
        <f t="shared" si="11"/>
        <v>111</v>
      </c>
      <c r="R46" s="705" t="s">
        <v>17</v>
      </c>
      <c r="S46" s="706">
        <f t="shared" si="12"/>
        <v>100</v>
      </c>
      <c r="T46" s="705" t="s">
        <v>17</v>
      </c>
      <c r="U46" s="706">
        <f t="shared" si="13"/>
        <v>100</v>
      </c>
      <c r="V46" s="705" t="s">
        <v>17</v>
      </c>
      <c r="W46" s="706">
        <f t="shared" si="14"/>
        <v>100</v>
      </c>
      <c r="X46" s="1354"/>
      <c r="Y46" s="3765"/>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5" t="str">
        <f>A47</f>
        <v>成交单价（元/平方米）</v>
      </c>
      <c r="Q47" s="3695"/>
      <c r="R47" s="3761">
        <f>E47</f>
        <v>0</v>
      </c>
      <c r="S47" s="3761"/>
      <c r="T47" s="3761">
        <f>G47</f>
        <v>0</v>
      </c>
      <c r="U47" s="3761"/>
      <c r="V47" s="3761">
        <f>I47</f>
        <v>0</v>
      </c>
      <c r="W47" s="3761"/>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5" t="str">
        <f>A48</f>
        <v>比较价值（元/平方米）</v>
      </c>
      <c r="Q48" s="3695"/>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30" t="str">
        <f>A49</f>
        <v>估价对象XX用房的比较价值（楼面单价，元/平方米）</v>
      </c>
      <c r="Q49" s="3731"/>
      <c r="R49" s="3760" t="e">
        <f>IF(F1="售价",ROUND(IF(D48="简单平均",AVERAGE(R48:V48),R48*F48+T48*H48+V48*J48),0),ROUND(IF(D48="简单平均",AVERAGE(R48:V48),R48*F48+T48*H48+V48*J48),1))</f>
        <v>#DIV/0!</v>
      </c>
      <c r="S49" s="3760"/>
      <c r="T49" s="3760"/>
      <c r="U49" s="3760"/>
      <c r="V49" s="3760"/>
      <c r="W49" s="376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8862.14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2" t="s">
        <v>1770</v>
      </c>
      <c r="D4" s="3718"/>
      <c r="E4" s="3719" t="s">
        <v>1771</v>
      </c>
      <c r="F4" s="3720"/>
      <c r="G4" s="3692" t="s">
        <v>1772</v>
      </c>
      <c r="H4" s="3718"/>
      <c r="I4" s="3692" t="s">
        <v>1773</v>
      </c>
      <c r="J4" s="3718"/>
      <c r="K4" s="559" t="s">
        <v>1774</v>
      </c>
      <c r="L4" s="2714"/>
      <c r="M4" s="2715"/>
      <c r="N4" s="2715"/>
      <c r="O4" s="2715"/>
      <c r="P4" s="3721" t="s">
        <v>1775</v>
      </c>
      <c r="Q4" s="3722"/>
      <c r="R4" s="3698" t="s">
        <v>1771</v>
      </c>
      <c r="S4" s="3699"/>
      <c r="T4" s="3698" t="s">
        <v>1772</v>
      </c>
      <c r="U4" s="3699"/>
      <c r="V4" s="3711" t="s">
        <v>1773</v>
      </c>
      <c r="W4" s="3711"/>
      <c r="X4" s="1354"/>
      <c r="Y4" s="3698" t="s">
        <v>1775</v>
      </c>
      <c r="Z4" s="3699"/>
      <c r="AA4" s="3715" t="s">
        <v>1771</v>
      </c>
      <c r="AB4" s="3711" t="s">
        <v>1772</v>
      </c>
      <c r="AC4" s="3715" t="s">
        <v>1773</v>
      </c>
    </row>
    <row r="5" spans="1:29" ht="15">
      <c r="A5" s="358"/>
      <c r="B5" s="359"/>
      <c r="C5" s="3702" t="s">
        <v>1673</v>
      </c>
      <c r="D5" s="3703"/>
      <c r="E5" s="3727" t="s">
        <v>1674</v>
      </c>
      <c r="F5" s="3728"/>
      <c r="G5" s="3702" t="s">
        <v>1675</v>
      </c>
      <c r="H5" s="3703"/>
      <c r="I5" s="3702" t="s">
        <v>1676</v>
      </c>
      <c r="J5" s="3703"/>
      <c r="K5" s="559"/>
      <c r="L5" s="2714"/>
      <c r="M5" s="2715"/>
      <c r="N5" s="2715"/>
      <c r="O5" s="2715"/>
      <c r="P5" s="3723"/>
      <c r="Q5" s="3724"/>
      <c r="R5" s="3700"/>
      <c r="S5" s="3701"/>
      <c r="T5" s="3700"/>
      <c r="U5" s="3701"/>
      <c r="V5" s="3711"/>
      <c r="W5" s="3711"/>
      <c r="X5" s="1354"/>
      <c r="Y5" s="3700"/>
      <c r="Z5" s="3701"/>
      <c r="AA5" s="3716"/>
      <c r="AB5" s="3711"/>
      <c r="AC5" s="3716"/>
    </row>
    <row r="6" spans="1:29" ht="15.75" thickBot="1">
      <c r="A6" s="360"/>
      <c r="B6" s="361"/>
      <c r="C6" s="3768" t="s">
        <v>1677</v>
      </c>
      <c r="D6" s="3769"/>
      <c r="E6" s="3770" t="s">
        <v>1677</v>
      </c>
      <c r="F6" s="3771"/>
      <c r="G6" s="3768" t="s">
        <v>1677</v>
      </c>
      <c r="H6" s="3769"/>
      <c r="I6" s="3768" t="s">
        <v>1677</v>
      </c>
      <c r="J6" s="3769"/>
      <c r="K6" s="559" t="s">
        <v>1678</v>
      </c>
      <c r="L6" s="2714"/>
      <c r="M6" s="2715"/>
      <c r="N6" s="2715"/>
      <c r="O6" s="2715"/>
      <c r="P6" s="3725"/>
      <c r="Q6" s="3726"/>
      <c r="R6" s="3700"/>
      <c r="S6" s="3701"/>
      <c r="T6" s="3709"/>
      <c r="U6" s="3710"/>
      <c r="V6" s="3711"/>
      <c r="W6" s="3711"/>
      <c r="X6" s="1354"/>
      <c r="Y6" s="3709"/>
      <c r="Z6" s="3710"/>
      <c r="AA6" s="3717"/>
      <c r="AB6" s="3711"/>
      <c r="AC6" s="3717"/>
    </row>
    <row r="7" spans="1:29" s="108" customFormat="1" ht="15.75" thickBot="1">
      <c r="A7" s="362" t="s">
        <v>1679</v>
      </c>
      <c r="B7" s="363"/>
      <c r="C7" s="364">
        <f>'数据-取费表'!B2</f>
        <v>45763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6" t="s">
        <v>1680</v>
      </c>
      <c r="Q7" s="370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4" t="s">
        <v>1686</v>
      </c>
      <c r="Q9" s="1342"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2"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4"/>
      <c r="Q11" s="1342"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2">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2">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2">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6" t="s">
        <v>1691</v>
      </c>
      <c r="Q15" s="1351" t="str">
        <f t="shared" si="6"/>
        <v>商业繁华度</v>
      </c>
      <c r="R15" s="705" t="s">
        <v>14</v>
      </c>
      <c r="S15" s="706">
        <f t="shared" si="0"/>
        <v>100</v>
      </c>
      <c r="T15" s="705" t="s">
        <v>14</v>
      </c>
      <c r="U15" s="706">
        <f t="shared" si="1"/>
        <v>100</v>
      </c>
      <c r="V15" s="705" t="s">
        <v>14</v>
      </c>
      <c r="W15" s="706">
        <f t="shared" si="2"/>
        <v>100</v>
      </c>
      <c r="X15" s="1354"/>
      <c r="Y15" s="371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7"/>
      <c r="Q16" s="1351"/>
      <c r="R16" s="705"/>
      <c r="S16" s="706"/>
      <c r="T16" s="705"/>
      <c r="U16" s="706"/>
      <c r="V16" s="705"/>
      <c r="W16" s="706"/>
      <c r="X16" s="1354"/>
      <c r="Y16" s="371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7"/>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7"/>
      <c r="Q18" s="1351"/>
      <c r="R18" s="705"/>
      <c r="S18" s="706"/>
      <c r="T18" s="705"/>
      <c r="U18" s="706"/>
      <c r="V18" s="705"/>
      <c r="W18" s="706"/>
      <c r="X18" s="1354"/>
      <c r="Y18" s="371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7"/>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7"/>
      <c r="Q20" s="1351"/>
      <c r="R20" s="705"/>
      <c r="S20" s="706"/>
      <c r="T20" s="705"/>
      <c r="U20" s="706"/>
      <c r="V20" s="705"/>
      <c r="W20" s="706"/>
      <c r="X20" s="1354"/>
      <c r="Y20" s="3713"/>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7"/>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7"/>
      <c r="Q22" s="1351"/>
      <c r="R22" s="705"/>
      <c r="S22" s="706"/>
      <c r="T22" s="705"/>
      <c r="U22" s="706"/>
      <c r="V22" s="705"/>
      <c r="W22" s="706"/>
      <c r="X22" s="1354"/>
      <c r="Y22" s="371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7"/>
      <c r="Q23" s="1351" t="str">
        <f>B23</f>
        <v>自然及人文环境</v>
      </c>
      <c r="R23" s="705" t="s">
        <v>14</v>
      </c>
      <c r="S23" s="706">
        <f>F23</f>
        <v>100</v>
      </c>
      <c r="T23" s="705" t="s">
        <v>14</v>
      </c>
      <c r="U23" s="706">
        <f>H23</f>
        <v>100</v>
      </c>
      <c r="V23" s="705" t="s">
        <v>14</v>
      </c>
      <c r="W23" s="706">
        <f>J23</f>
        <v>100</v>
      </c>
      <c r="X23" s="1354"/>
      <c r="Y23" s="371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7"/>
      <c r="Q24" s="1351"/>
      <c r="R24" s="705"/>
      <c r="S24" s="706"/>
      <c r="T24" s="705"/>
      <c r="U24" s="706"/>
      <c r="V24" s="705"/>
      <c r="W24" s="706"/>
      <c r="X24" s="1354"/>
      <c r="Y24" s="371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7"/>
      <c r="Q25" s="1351" t="str">
        <f t="shared" ref="Q25:Q46" si="11">B25</f>
        <v>临街状况</v>
      </c>
      <c r="R25" s="705" t="s">
        <v>14</v>
      </c>
      <c r="S25" s="706">
        <f>F25</f>
        <v>100</v>
      </c>
      <c r="T25" s="705" t="s">
        <v>14</v>
      </c>
      <c r="U25" s="706">
        <f>H25</f>
        <v>100</v>
      </c>
      <c r="V25" s="705" t="s">
        <v>14</v>
      </c>
      <c r="W25" s="706">
        <f>J25</f>
        <v>100</v>
      </c>
      <c r="X25" s="1354"/>
      <c r="Y25" s="371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7"/>
      <c r="Q26" s="1351" t="str">
        <f t="shared" si="11"/>
        <v>平面位置/可视性</v>
      </c>
      <c r="R26" s="705" t="s">
        <v>14</v>
      </c>
      <c r="S26" s="706">
        <f>F26</f>
        <v>100</v>
      </c>
      <c r="T26" s="705" t="s">
        <v>14</v>
      </c>
      <c r="U26" s="706">
        <f>H26</f>
        <v>100</v>
      </c>
      <c r="V26" s="705" t="s">
        <v>14</v>
      </c>
      <c r="W26" s="706">
        <f>J26</f>
        <v>100</v>
      </c>
      <c r="X26" s="1354"/>
      <c r="Y26" s="371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7"/>
      <c r="Q27" s="1342" t="str">
        <f t="shared" si="11"/>
        <v>人流量</v>
      </c>
      <c r="R27" s="701" t="s">
        <v>14</v>
      </c>
      <c r="S27" s="702">
        <f>F27</f>
        <v>100</v>
      </c>
      <c r="T27" s="701" t="s">
        <v>14</v>
      </c>
      <c r="U27" s="702">
        <f>H27</f>
        <v>100</v>
      </c>
      <c r="V27" s="701" t="s">
        <v>14</v>
      </c>
      <c r="W27" s="702">
        <f>J27</f>
        <v>100</v>
      </c>
      <c r="X27" s="703"/>
      <c r="Y27" s="371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7"/>
      <c r="Q29" s="1351">
        <f t="shared" si="11"/>
        <v>111</v>
      </c>
      <c r="R29" s="705" t="s">
        <v>14</v>
      </c>
      <c r="S29" s="706">
        <f t="shared" si="12"/>
        <v>100</v>
      </c>
      <c r="T29" s="705" t="s">
        <v>14</v>
      </c>
      <c r="U29" s="706">
        <f t="shared" si="13"/>
        <v>100</v>
      </c>
      <c r="V29" s="705" t="s">
        <v>14</v>
      </c>
      <c r="W29" s="706">
        <f t="shared" si="14"/>
        <v>100</v>
      </c>
      <c r="X29" s="1354"/>
      <c r="Y29" s="371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7"/>
      <c r="Q30" s="1351">
        <f t="shared" si="11"/>
        <v>111</v>
      </c>
      <c r="R30" s="705" t="s">
        <v>14</v>
      </c>
      <c r="S30" s="706">
        <f t="shared" si="12"/>
        <v>100</v>
      </c>
      <c r="T30" s="705" t="s">
        <v>14</v>
      </c>
      <c r="U30" s="706">
        <f t="shared" si="13"/>
        <v>100</v>
      </c>
      <c r="V30" s="705" t="s">
        <v>14</v>
      </c>
      <c r="W30" s="706">
        <f t="shared" si="14"/>
        <v>100</v>
      </c>
      <c r="X30" s="1354"/>
      <c r="Y30" s="371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7"/>
      <c r="Q31" s="1351">
        <f t="shared" si="11"/>
        <v>111</v>
      </c>
      <c r="R31" s="705" t="s">
        <v>14</v>
      </c>
      <c r="S31" s="706">
        <f t="shared" si="12"/>
        <v>100</v>
      </c>
      <c r="T31" s="705" t="s">
        <v>14</v>
      </c>
      <c r="U31" s="706">
        <f t="shared" si="13"/>
        <v>100</v>
      </c>
      <c r="V31" s="705" t="s">
        <v>14</v>
      </c>
      <c r="W31" s="706">
        <f t="shared" si="14"/>
        <v>100</v>
      </c>
      <c r="X31" s="1354"/>
      <c r="Y31" s="371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2" t="s">
        <v>1696</v>
      </c>
      <c r="Q32" s="1351" t="str">
        <f t="shared" si="11"/>
        <v>商业类型</v>
      </c>
      <c r="R32" s="705" t="s">
        <v>14</v>
      </c>
      <c r="S32" s="706">
        <f t="shared" si="12"/>
        <v>100</v>
      </c>
      <c r="T32" s="705" t="s">
        <v>14</v>
      </c>
      <c r="U32" s="706">
        <f t="shared" si="13"/>
        <v>100</v>
      </c>
      <c r="V32" s="705" t="s">
        <v>14</v>
      </c>
      <c r="W32" s="706">
        <f t="shared" si="14"/>
        <v>100</v>
      </c>
      <c r="X32" s="1354"/>
      <c r="Y32" s="371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3"/>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3"/>
      <c r="Q34" s="1351" t="str">
        <f t="shared" si="11"/>
        <v>建筑结构</v>
      </c>
      <c r="R34" s="705" t="s">
        <v>14</v>
      </c>
      <c r="S34" s="706">
        <f t="shared" si="12"/>
        <v>100</v>
      </c>
      <c r="T34" s="705" t="s">
        <v>14</v>
      </c>
      <c r="U34" s="706">
        <f t="shared" si="13"/>
        <v>100</v>
      </c>
      <c r="V34" s="705" t="s">
        <v>14</v>
      </c>
      <c r="W34" s="706">
        <f t="shared" si="14"/>
        <v>100</v>
      </c>
      <c r="X34" s="1354"/>
      <c r="Y34" s="371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3"/>
      <c r="Q35" s="1351" t="str">
        <f t="shared" si="11"/>
        <v>公共部分装修</v>
      </c>
      <c r="R35" s="705" t="s">
        <v>14</v>
      </c>
      <c r="S35" s="706">
        <f t="shared" si="12"/>
        <v>100</v>
      </c>
      <c r="T35" s="705" t="s">
        <v>14</v>
      </c>
      <c r="U35" s="706">
        <f t="shared" si="13"/>
        <v>100</v>
      </c>
      <c r="V35" s="705" t="s">
        <v>14</v>
      </c>
      <c r="W35" s="706">
        <f t="shared" si="14"/>
        <v>100</v>
      </c>
      <c r="X35" s="1354"/>
      <c r="Y35" s="371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3"/>
      <c r="Q36" s="1351" t="str">
        <f t="shared" si="11"/>
        <v>成新度</v>
      </c>
      <c r="R36" s="705" t="s">
        <v>14</v>
      </c>
      <c r="S36" s="706" t="e">
        <f t="shared" si="12"/>
        <v>#N/A</v>
      </c>
      <c r="T36" s="705" t="s">
        <v>14</v>
      </c>
      <c r="U36" s="706" t="e">
        <f t="shared" si="13"/>
        <v>#N/A</v>
      </c>
      <c r="V36" s="705" t="s">
        <v>14</v>
      </c>
      <c r="W36" s="706" t="e">
        <f t="shared" si="14"/>
        <v>#N/A</v>
      </c>
      <c r="X36" s="1354"/>
      <c r="Y36" s="371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3"/>
      <c r="Q37" s="1342"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3" t="s">
        <v>1696</v>
      </c>
      <c r="Q38" s="1351" t="str">
        <f t="shared" si="11"/>
        <v>业态</v>
      </c>
      <c r="R38" s="705" t="s">
        <v>14</v>
      </c>
      <c r="S38" s="706">
        <f t="shared" si="12"/>
        <v>100</v>
      </c>
      <c r="T38" s="705" t="s">
        <v>14</v>
      </c>
      <c r="U38" s="706">
        <f t="shared" si="13"/>
        <v>100</v>
      </c>
      <c r="V38" s="705" t="s">
        <v>14</v>
      </c>
      <c r="W38" s="706">
        <f t="shared" si="14"/>
        <v>100</v>
      </c>
      <c r="X38" s="1354"/>
      <c r="Y38" s="371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3"/>
      <c r="Q39" s="1351" t="str">
        <f t="shared" si="11"/>
        <v>层高</v>
      </c>
      <c r="R39" s="705" t="s">
        <v>14</v>
      </c>
      <c r="S39" s="706">
        <f t="shared" si="12"/>
        <v>100</v>
      </c>
      <c r="T39" s="705" t="s">
        <v>14</v>
      </c>
      <c r="U39" s="706">
        <f t="shared" si="13"/>
        <v>100</v>
      </c>
      <c r="V39" s="705" t="s">
        <v>14</v>
      </c>
      <c r="W39" s="706">
        <f t="shared" si="14"/>
        <v>100</v>
      </c>
      <c r="X39" s="1354"/>
      <c r="Y39" s="371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3"/>
      <c r="Q40" s="1351" t="str">
        <f t="shared" si="11"/>
        <v>单套建筑面积</v>
      </c>
      <c r="R40" s="705" t="s">
        <v>14</v>
      </c>
      <c r="S40" s="706">
        <f t="shared" si="12"/>
        <v>100</v>
      </c>
      <c r="T40" s="705" t="s">
        <v>14</v>
      </c>
      <c r="U40" s="706">
        <f t="shared" si="13"/>
        <v>100</v>
      </c>
      <c r="V40" s="705" t="s">
        <v>14</v>
      </c>
      <c r="W40" s="706">
        <f t="shared" si="14"/>
        <v>100</v>
      </c>
      <c r="X40" s="1354"/>
      <c r="Y40" s="371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3"/>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3"/>
      <c r="Q42" s="1351" t="str">
        <f t="shared" si="11"/>
        <v>内部装修</v>
      </c>
      <c r="R42" s="705" t="s">
        <v>14</v>
      </c>
      <c r="S42" s="706">
        <f t="shared" si="12"/>
        <v>100</v>
      </c>
      <c r="T42" s="705" t="s">
        <v>14</v>
      </c>
      <c r="U42" s="706">
        <f t="shared" si="13"/>
        <v>100</v>
      </c>
      <c r="V42" s="705" t="s">
        <v>14</v>
      </c>
      <c r="W42" s="706">
        <f t="shared" si="14"/>
        <v>100</v>
      </c>
      <c r="X42" s="1354"/>
      <c r="Y42" s="371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3"/>
      <c r="Q43" s="1351" t="str">
        <f t="shared" si="11"/>
        <v>内部装修维护情况</v>
      </c>
      <c r="R43" s="705" t="s">
        <v>14</v>
      </c>
      <c r="S43" s="706">
        <f t="shared" si="12"/>
        <v>100</v>
      </c>
      <c r="T43" s="705" t="s">
        <v>14</v>
      </c>
      <c r="U43" s="706">
        <f t="shared" si="13"/>
        <v>100</v>
      </c>
      <c r="V43" s="705" t="s">
        <v>14</v>
      </c>
      <c r="W43" s="706">
        <f t="shared" si="14"/>
        <v>100</v>
      </c>
      <c r="X43" s="1354"/>
      <c r="Y43" s="371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3"/>
      <c r="Q44" s="1342">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3"/>
      <c r="Q45" s="1351">
        <f t="shared" si="11"/>
        <v>111</v>
      </c>
      <c r="R45" s="705" t="s">
        <v>14</v>
      </c>
      <c r="S45" s="706">
        <f t="shared" si="12"/>
        <v>100</v>
      </c>
      <c r="T45" s="705" t="s">
        <v>14</v>
      </c>
      <c r="U45" s="706">
        <f t="shared" si="13"/>
        <v>100</v>
      </c>
      <c r="V45" s="705" t="s">
        <v>14</v>
      </c>
      <c r="W45" s="706">
        <f t="shared" si="14"/>
        <v>100</v>
      </c>
      <c r="X45" s="1354"/>
      <c r="Y45" s="371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4"/>
      <c r="Q46" s="1351">
        <f t="shared" si="11"/>
        <v>111</v>
      </c>
      <c r="R46" s="705" t="s">
        <v>14</v>
      </c>
      <c r="S46" s="706">
        <f t="shared" si="12"/>
        <v>100</v>
      </c>
      <c r="T46" s="705" t="s">
        <v>14</v>
      </c>
      <c r="U46" s="706">
        <f t="shared" si="13"/>
        <v>100</v>
      </c>
      <c r="V46" s="705" t="s">
        <v>14</v>
      </c>
      <c r="W46" s="706">
        <f t="shared" si="14"/>
        <v>100</v>
      </c>
      <c r="X46" s="1354"/>
      <c r="Y46" s="376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5" t="str">
        <f>A47</f>
        <v>成交单价（元/平方米）</v>
      </c>
      <c r="Q47" s="3695"/>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5" t="str">
        <f>A48</f>
        <v>比较价值（元/平方米）</v>
      </c>
      <c r="Q48" s="3695"/>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0" t="str">
        <f>A49</f>
        <v>估价对象XX用房的比较价值（楼面单价，元/平方米）</v>
      </c>
      <c r="Q49" s="3731"/>
      <c r="R49" s="3760" t="e">
        <f>IF(F1="售价",ROUND(IF(D48="简单平均",AVERAGE(R48:V48),R48*F48+T48*H48+V48*J48),0),ROUND(IF(D48="简单平均",AVERAGE(R48:V48),R48*F48+T48*H48+V48*J48),1))</f>
        <v>#DIV/0!</v>
      </c>
      <c r="S49" s="3760"/>
      <c r="T49" s="3760"/>
      <c r="U49" s="3760"/>
      <c r="V49" s="3760"/>
      <c r="W49" s="376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8862.14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2" t="s">
        <v>1770</v>
      </c>
      <c r="D4" s="3718"/>
      <c r="E4" s="3719" t="s">
        <v>1771</v>
      </c>
      <c r="F4" s="3720"/>
      <c r="G4" s="3692" t="s">
        <v>1772</v>
      </c>
      <c r="H4" s="3718"/>
      <c r="I4" s="3692" t="s">
        <v>1773</v>
      </c>
      <c r="J4" s="3718"/>
      <c r="K4" s="559" t="s">
        <v>1774</v>
      </c>
      <c r="L4" s="2714"/>
      <c r="M4" s="2715"/>
      <c r="N4" s="2715"/>
      <c r="O4" s="2715"/>
      <c r="P4" s="3778" t="s">
        <v>1775</v>
      </c>
      <c r="Q4" s="3779"/>
      <c r="R4" s="3782" t="s">
        <v>1771</v>
      </c>
      <c r="S4" s="3783"/>
      <c r="T4" s="3782" t="s">
        <v>1772</v>
      </c>
      <c r="U4" s="3783"/>
      <c r="V4" s="3784" t="s">
        <v>1773</v>
      </c>
      <c r="W4" s="3784"/>
      <c r="X4" s="1957"/>
      <c r="Y4" s="3782" t="s">
        <v>1775</v>
      </c>
      <c r="Z4" s="3783"/>
      <c r="AA4" s="3786" t="s">
        <v>1771</v>
      </c>
      <c r="AB4" s="3786" t="s">
        <v>1772</v>
      </c>
      <c r="AC4" s="3775" t="s">
        <v>1773</v>
      </c>
    </row>
    <row r="5" spans="1:29" ht="15">
      <c r="A5" s="358"/>
      <c r="B5" s="359"/>
      <c r="C5" s="3702" t="s">
        <v>1673</v>
      </c>
      <c r="D5" s="3703"/>
      <c r="E5" s="3727" t="s">
        <v>1674</v>
      </c>
      <c r="F5" s="3728"/>
      <c r="G5" s="3702" t="s">
        <v>1675</v>
      </c>
      <c r="H5" s="3703"/>
      <c r="I5" s="3702" t="s">
        <v>1676</v>
      </c>
      <c r="J5" s="3703"/>
      <c r="K5" s="559"/>
      <c r="L5" s="2714"/>
      <c r="M5" s="2715"/>
      <c r="N5" s="2715"/>
      <c r="O5" s="2715"/>
      <c r="P5" s="3780"/>
      <c r="Q5" s="3724"/>
      <c r="R5" s="3700"/>
      <c r="S5" s="3701"/>
      <c r="T5" s="3700"/>
      <c r="U5" s="3701"/>
      <c r="V5" s="3711"/>
      <c r="W5" s="3711"/>
      <c r="X5" s="1354"/>
      <c r="Y5" s="3700"/>
      <c r="Z5" s="3701"/>
      <c r="AA5" s="3716"/>
      <c r="AB5" s="3716"/>
      <c r="AC5" s="3776"/>
    </row>
    <row r="6" spans="1:29" ht="15.75" thickBot="1">
      <c r="A6" s="360"/>
      <c r="B6" s="361"/>
      <c r="C6" s="3768" t="s">
        <v>1677</v>
      </c>
      <c r="D6" s="3769"/>
      <c r="E6" s="3770" t="s">
        <v>1677</v>
      </c>
      <c r="F6" s="3771"/>
      <c r="G6" s="3768" t="s">
        <v>1677</v>
      </c>
      <c r="H6" s="3769"/>
      <c r="I6" s="3768" t="s">
        <v>1677</v>
      </c>
      <c r="J6" s="3769"/>
      <c r="K6" s="559" t="s">
        <v>1678</v>
      </c>
      <c r="L6" s="2714"/>
      <c r="M6" s="2715"/>
      <c r="N6" s="2715"/>
      <c r="O6" s="2715"/>
      <c r="P6" s="3781"/>
      <c r="Q6" s="3726"/>
      <c r="R6" s="3700"/>
      <c r="S6" s="3701"/>
      <c r="T6" s="3709"/>
      <c r="U6" s="3710"/>
      <c r="V6" s="3711"/>
      <c r="W6" s="3711"/>
      <c r="X6" s="1354"/>
      <c r="Y6" s="3709"/>
      <c r="Z6" s="3710"/>
      <c r="AA6" s="3717"/>
      <c r="AB6" s="3717"/>
      <c r="AC6" s="3777"/>
    </row>
    <row r="7" spans="1:29" s="108" customFormat="1" ht="15.75" thickBot="1">
      <c r="A7" s="362" t="s">
        <v>1679</v>
      </c>
      <c r="B7" s="363"/>
      <c r="C7" s="364">
        <f>'数据-取费表'!B2</f>
        <v>45763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5" t="s">
        <v>1680</v>
      </c>
      <c r="Q7" s="370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5"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4" t="s">
        <v>1686</v>
      </c>
      <c r="Q9" s="1342"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2"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2"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4"/>
      <c r="Q12" s="1342">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4"/>
      <c r="Q13" s="1342">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4"/>
      <c r="Q14" s="1342">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6" t="s">
        <v>1691</v>
      </c>
      <c r="Q15" s="1351" t="str">
        <f t="shared" si="6"/>
        <v>办公集聚程度</v>
      </c>
      <c r="R15" s="705" t="s">
        <v>14</v>
      </c>
      <c r="S15" s="706">
        <f t="shared" si="0"/>
        <v>100</v>
      </c>
      <c r="T15" s="705" t="s">
        <v>14</v>
      </c>
      <c r="U15" s="706">
        <f t="shared" si="1"/>
        <v>100</v>
      </c>
      <c r="V15" s="705" t="s">
        <v>14</v>
      </c>
      <c r="W15" s="706">
        <f t="shared" si="2"/>
        <v>100</v>
      </c>
      <c r="X15" s="1354"/>
      <c r="Y15" s="371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7"/>
      <c r="Q16" s="1351"/>
      <c r="R16" s="705"/>
      <c r="S16" s="706"/>
      <c r="T16" s="705"/>
      <c r="U16" s="706"/>
      <c r="V16" s="705"/>
      <c r="W16" s="706"/>
      <c r="X16" s="1354"/>
      <c r="Y16" s="371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7"/>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7"/>
      <c r="Q18" s="1351"/>
      <c r="R18" s="705"/>
      <c r="S18" s="706"/>
      <c r="T18" s="705"/>
      <c r="U18" s="706"/>
      <c r="V18" s="705"/>
      <c r="W18" s="706"/>
      <c r="X18" s="1354"/>
      <c r="Y18" s="371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7"/>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7"/>
      <c r="Q20" s="1351"/>
      <c r="R20" s="705"/>
      <c r="S20" s="706"/>
      <c r="T20" s="705"/>
      <c r="U20" s="706"/>
      <c r="V20" s="705"/>
      <c r="W20" s="706"/>
      <c r="X20" s="1354"/>
      <c r="Y20" s="371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7"/>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7"/>
      <c r="Q22" s="1351"/>
      <c r="R22" s="705"/>
      <c r="S22" s="706"/>
      <c r="T22" s="705"/>
      <c r="U22" s="706"/>
      <c r="V22" s="705"/>
      <c r="W22" s="706"/>
      <c r="X22" s="1354"/>
      <c r="Y22" s="371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7"/>
      <c r="Q23" s="1351" t="str">
        <f>B23</f>
        <v>环境质量</v>
      </c>
      <c r="R23" s="705" t="s">
        <v>14</v>
      </c>
      <c r="S23" s="706">
        <f>F23</f>
        <v>100</v>
      </c>
      <c r="T23" s="705" t="s">
        <v>14</v>
      </c>
      <c r="U23" s="706">
        <f>H23</f>
        <v>100</v>
      </c>
      <c r="V23" s="705" t="s">
        <v>14</v>
      </c>
      <c r="W23" s="706">
        <f>J23</f>
        <v>100</v>
      </c>
      <c r="X23" s="1354"/>
      <c r="Y23" s="371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7"/>
      <c r="Q24" s="1351"/>
      <c r="R24" s="705"/>
      <c r="S24" s="706"/>
      <c r="T24" s="705"/>
      <c r="U24" s="706"/>
      <c r="V24" s="705"/>
      <c r="W24" s="706"/>
      <c r="X24" s="1354"/>
      <c r="Y24" s="371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7"/>
      <c r="Q25" s="1351" t="str">
        <f>B25</f>
        <v>毗邻道路的类型与等级</v>
      </c>
      <c r="R25" s="705" t="s">
        <v>14</v>
      </c>
      <c r="S25" s="706">
        <f>F25</f>
        <v>100</v>
      </c>
      <c r="T25" s="705" t="s">
        <v>14</v>
      </c>
      <c r="U25" s="706">
        <f>H25</f>
        <v>100</v>
      </c>
      <c r="V25" s="705" t="s">
        <v>14</v>
      </c>
      <c r="W25" s="706">
        <f>J25</f>
        <v>100</v>
      </c>
      <c r="X25" s="1354"/>
      <c r="Y25" s="371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7"/>
      <c r="Q26" s="1351"/>
      <c r="R26" s="705"/>
      <c r="S26" s="706"/>
      <c r="T26" s="705"/>
      <c r="U26" s="706"/>
      <c r="V26" s="705"/>
      <c r="W26" s="706"/>
      <c r="X26" s="1354"/>
      <c r="Y26" s="3713"/>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7"/>
      <c r="Q27" s="1351" t="str">
        <f t="shared" ref="Q27:Q47" si="11">B27</f>
        <v>楼层</v>
      </c>
      <c r="R27" s="705" t="s">
        <v>14</v>
      </c>
      <c r="S27" s="706">
        <f>F27</f>
        <v>100</v>
      </c>
      <c r="T27" s="705" t="s">
        <v>14</v>
      </c>
      <c r="U27" s="706">
        <f>H27</f>
        <v>100</v>
      </c>
      <c r="V27" s="705" t="s">
        <v>14</v>
      </c>
      <c r="W27" s="706">
        <f>J27</f>
        <v>100</v>
      </c>
      <c r="X27" s="1354"/>
      <c r="Y27" s="371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7"/>
      <c r="Q28" s="1342" t="str">
        <f t="shared" si="11"/>
        <v>朝向</v>
      </c>
      <c r="R28" s="701" t="s">
        <v>14</v>
      </c>
      <c r="S28" s="702">
        <f>F28</f>
        <v>100</v>
      </c>
      <c r="T28" s="701" t="s">
        <v>14</v>
      </c>
      <c r="U28" s="702">
        <f>H28</f>
        <v>100</v>
      </c>
      <c r="V28" s="701" t="s">
        <v>14</v>
      </c>
      <c r="W28" s="702">
        <f>J28</f>
        <v>100</v>
      </c>
      <c r="X28" s="703"/>
      <c r="Y28" s="371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7"/>
      <c r="Q29" s="1351">
        <f t="shared" si="11"/>
        <v>111</v>
      </c>
      <c r="R29" s="705" t="s">
        <v>14</v>
      </c>
      <c r="S29" s="706">
        <f t="shared" ref="S29:S47" si="12">F29</f>
        <v>100</v>
      </c>
      <c r="T29" s="705" t="s">
        <v>14</v>
      </c>
      <c r="U29" s="706">
        <f t="shared" ref="U29:U47" si="13">H29</f>
        <v>100</v>
      </c>
      <c r="V29" s="705" t="s">
        <v>14</v>
      </c>
      <c r="W29" s="706">
        <f t="shared" ref="W29:W47" si="14">J29</f>
        <v>100</v>
      </c>
      <c r="X29" s="1354"/>
      <c r="Y29" s="371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7"/>
      <c r="Q30" s="1351">
        <f t="shared" si="11"/>
        <v>111</v>
      </c>
      <c r="R30" s="705" t="s">
        <v>14</v>
      </c>
      <c r="S30" s="706">
        <f t="shared" si="12"/>
        <v>100</v>
      </c>
      <c r="T30" s="705" t="s">
        <v>14</v>
      </c>
      <c r="U30" s="706">
        <f t="shared" si="13"/>
        <v>100</v>
      </c>
      <c r="V30" s="705" t="s">
        <v>14</v>
      </c>
      <c r="W30" s="706">
        <f t="shared" si="14"/>
        <v>100</v>
      </c>
      <c r="X30" s="1354"/>
      <c r="Y30" s="371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7"/>
      <c r="Q31" s="1351">
        <f t="shared" si="11"/>
        <v>111</v>
      </c>
      <c r="R31" s="705" t="s">
        <v>14</v>
      </c>
      <c r="S31" s="706">
        <f t="shared" si="12"/>
        <v>100</v>
      </c>
      <c r="T31" s="705" t="s">
        <v>14</v>
      </c>
      <c r="U31" s="706">
        <f t="shared" si="13"/>
        <v>100</v>
      </c>
      <c r="V31" s="705" t="s">
        <v>14</v>
      </c>
      <c r="W31" s="706">
        <f t="shared" si="14"/>
        <v>100</v>
      </c>
      <c r="X31" s="1354"/>
      <c r="Y31" s="371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7"/>
      <c r="Q32" s="1351">
        <f t="shared" si="11"/>
        <v>111</v>
      </c>
      <c r="R32" s="705" t="s">
        <v>14</v>
      </c>
      <c r="S32" s="706">
        <f t="shared" si="12"/>
        <v>100</v>
      </c>
      <c r="T32" s="705" t="s">
        <v>14</v>
      </c>
      <c r="U32" s="706">
        <f t="shared" si="13"/>
        <v>100</v>
      </c>
      <c r="V32" s="705" t="s">
        <v>14</v>
      </c>
      <c r="W32" s="706">
        <f t="shared" si="14"/>
        <v>100</v>
      </c>
      <c r="X32" s="1354"/>
      <c r="Y32" s="371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2" t="s">
        <v>1696</v>
      </c>
      <c r="Q33" s="1351" t="str">
        <f t="shared" si="11"/>
        <v>建筑类型</v>
      </c>
      <c r="R33" s="705" t="s">
        <v>14</v>
      </c>
      <c r="S33" s="706">
        <f t="shared" si="12"/>
        <v>100</v>
      </c>
      <c r="T33" s="705" t="s">
        <v>14</v>
      </c>
      <c r="U33" s="706">
        <f t="shared" si="13"/>
        <v>100</v>
      </c>
      <c r="V33" s="705" t="s">
        <v>14</v>
      </c>
      <c r="W33" s="706">
        <f t="shared" si="14"/>
        <v>100</v>
      </c>
      <c r="X33" s="1354"/>
      <c r="Y33" s="371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3"/>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3"/>
      <c r="Q35" s="1351" t="str">
        <f t="shared" si="11"/>
        <v>建筑结构</v>
      </c>
      <c r="R35" s="705" t="s">
        <v>14</v>
      </c>
      <c r="S35" s="706">
        <f t="shared" si="12"/>
        <v>100</v>
      </c>
      <c r="T35" s="705" t="s">
        <v>14</v>
      </c>
      <c r="U35" s="706">
        <f t="shared" si="13"/>
        <v>100</v>
      </c>
      <c r="V35" s="705" t="s">
        <v>14</v>
      </c>
      <c r="W35" s="706">
        <f t="shared" si="14"/>
        <v>100</v>
      </c>
      <c r="X35" s="1354"/>
      <c r="Y35" s="371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3"/>
      <c r="Q36" s="1351" t="str">
        <f t="shared" si="11"/>
        <v>公共部分装修</v>
      </c>
      <c r="R36" s="705" t="s">
        <v>14</v>
      </c>
      <c r="S36" s="706">
        <f t="shared" si="12"/>
        <v>100</v>
      </c>
      <c r="T36" s="705" t="s">
        <v>14</v>
      </c>
      <c r="U36" s="706">
        <f t="shared" si="13"/>
        <v>100</v>
      </c>
      <c r="V36" s="705" t="s">
        <v>14</v>
      </c>
      <c r="W36" s="706">
        <f t="shared" si="14"/>
        <v>100</v>
      </c>
      <c r="X36" s="1354"/>
      <c r="Y36" s="371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3"/>
      <c r="Q37" s="1351" t="str">
        <f t="shared" si="11"/>
        <v>成新度</v>
      </c>
      <c r="R37" s="705" t="s">
        <v>14</v>
      </c>
      <c r="S37" s="706" t="e">
        <f t="shared" si="12"/>
        <v>#N/A</v>
      </c>
      <c r="T37" s="705" t="s">
        <v>14</v>
      </c>
      <c r="U37" s="706" t="e">
        <f t="shared" si="13"/>
        <v>#N/A</v>
      </c>
      <c r="V37" s="705" t="s">
        <v>14</v>
      </c>
      <c r="W37" s="706" t="e">
        <f t="shared" si="14"/>
        <v>#N/A</v>
      </c>
      <c r="X37" s="1354"/>
      <c r="Y37" s="371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3"/>
      <c r="Q38" s="1342"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3" t="s">
        <v>1696</v>
      </c>
      <c r="Q39" s="1351" t="str">
        <f t="shared" si="11"/>
        <v>物业管理</v>
      </c>
      <c r="R39" s="705" t="s">
        <v>14</v>
      </c>
      <c r="S39" s="706">
        <f t="shared" si="12"/>
        <v>100</v>
      </c>
      <c r="T39" s="705" t="s">
        <v>14</v>
      </c>
      <c r="U39" s="706">
        <f t="shared" si="13"/>
        <v>100</v>
      </c>
      <c r="V39" s="705" t="s">
        <v>14</v>
      </c>
      <c r="W39" s="706">
        <f t="shared" si="14"/>
        <v>100</v>
      </c>
      <c r="X39" s="1354"/>
      <c r="Y39" s="371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3"/>
      <c r="Q40" s="1351" t="str">
        <f t="shared" si="11"/>
        <v>市政基础设施</v>
      </c>
      <c r="R40" s="705" t="s">
        <v>14</v>
      </c>
      <c r="S40" s="706">
        <f t="shared" si="12"/>
        <v>100</v>
      </c>
      <c r="T40" s="705" t="s">
        <v>14</v>
      </c>
      <c r="U40" s="706">
        <f t="shared" si="13"/>
        <v>100</v>
      </c>
      <c r="V40" s="705" t="s">
        <v>14</v>
      </c>
      <c r="W40" s="706">
        <f t="shared" si="14"/>
        <v>100</v>
      </c>
      <c r="X40" s="1354"/>
      <c r="Y40" s="371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3"/>
      <c r="Q41" s="1351" t="str">
        <f t="shared" si="11"/>
        <v>层高</v>
      </c>
      <c r="R41" s="705" t="s">
        <v>14</v>
      </c>
      <c r="S41" s="706">
        <f t="shared" si="12"/>
        <v>100</v>
      </c>
      <c r="T41" s="705" t="s">
        <v>14</v>
      </c>
      <c r="U41" s="706">
        <f t="shared" si="13"/>
        <v>100</v>
      </c>
      <c r="V41" s="705" t="s">
        <v>14</v>
      </c>
      <c r="W41" s="706">
        <f t="shared" si="14"/>
        <v>100</v>
      </c>
      <c r="X41" s="1354"/>
      <c r="Y41" s="371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3"/>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3"/>
      <c r="Q43" s="1351" t="str">
        <f t="shared" si="11"/>
        <v>内部装修</v>
      </c>
      <c r="R43" s="705" t="s">
        <v>14</v>
      </c>
      <c r="S43" s="706">
        <f t="shared" si="12"/>
        <v>100</v>
      </c>
      <c r="T43" s="705" t="s">
        <v>14</v>
      </c>
      <c r="U43" s="706">
        <f t="shared" si="13"/>
        <v>100</v>
      </c>
      <c r="V43" s="705" t="s">
        <v>14</v>
      </c>
      <c r="W43" s="706">
        <f t="shared" si="14"/>
        <v>100</v>
      </c>
      <c r="X43" s="1354"/>
      <c r="Y43" s="371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3"/>
      <c r="Q44" s="1351" t="str">
        <f t="shared" si="11"/>
        <v>内部装修维护情况</v>
      </c>
      <c r="R44" s="705" t="s">
        <v>14</v>
      </c>
      <c r="S44" s="706">
        <f t="shared" si="12"/>
        <v>100</v>
      </c>
      <c r="T44" s="705" t="s">
        <v>14</v>
      </c>
      <c r="U44" s="706">
        <f t="shared" si="13"/>
        <v>100</v>
      </c>
      <c r="V44" s="705" t="s">
        <v>14</v>
      </c>
      <c r="W44" s="706">
        <f t="shared" si="14"/>
        <v>100</v>
      </c>
      <c r="X44" s="1354"/>
      <c r="Y44" s="371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3"/>
      <c r="Q45" s="1342">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3"/>
      <c r="Q46" s="1351">
        <f t="shared" si="11"/>
        <v>111</v>
      </c>
      <c r="R46" s="705" t="s">
        <v>14</v>
      </c>
      <c r="S46" s="706">
        <f t="shared" si="12"/>
        <v>100</v>
      </c>
      <c r="T46" s="705" t="s">
        <v>14</v>
      </c>
      <c r="U46" s="706">
        <f t="shared" si="13"/>
        <v>100</v>
      </c>
      <c r="V46" s="705" t="s">
        <v>14</v>
      </c>
      <c r="W46" s="706">
        <f t="shared" si="14"/>
        <v>100</v>
      </c>
      <c r="X46" s="1354"/>
      <c r="Y46" s="371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4"/>
      <c r="Q47" s="1351">
        <f t="shared" si="11"/>
        <v>111</v>
      </c>
      <c r="R47" s="705" t="s">
        <v>14</v>
      </c>
      <c r="S47" s="706">
        <f t="shared" si="12"/>
        <v>100</v>
      </c>
      <c r="T47" s="705" t="s">
        <v>14</v>
      </c>
      <c r="U47" s="706">
        <f t="shared" si="13"/>
        <v>100</v>
      </c>
      <c r="V47" s="705" t="s">
        <v>14</v>
      </c>
      <c r="W47" s="706">
        <f t="shared" si="14"/>
        <v>100</v>
      </c>
      <c r="X47" s="1354"/>
      <c r="Y47" s="3765"/>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4" t="str">
        <f>A48</f>
        <v>成交单价（元/平方米）</v>
      </c>
      <c r="Q48" s="3695"/>
      <c r="R48" s="3761">
        <f>E48</f>
        <v>0</v>
      </c>
      <c r="S48" s="3761"/>
      <c r="T48" s="3761">
        <f>G48</f>
        <v>0</v>
      </c>
      <c r="U48" s="3761"/>
      <c r="V48" s="3761">
        <f>I48</f>
        <v>0</v>
      </c>
      <c r="W48" s="3761"/>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4" t="str">
        <f>A49</f>
        <v>比较价值（元/平方米）</v>
      </c>
      <c r="Q49" s="3695"/>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8862.14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718"/>
      <c r="E4" s="3719" t="s">
        <v>1771</v>
      </c>
      <c r="F4" s="3720"/>
      <c r="G4" s="3692" t="s">
        <v>1772</v>
      </c>
      <c r="H4" s="3718"/>
      <c r="I4" s="3692" t="s">
        <v>1773</v>
      </c>
      <c r="J4" s="3718"/>
      <c r="K4" s="559" t="s">
        <v>1774</v>
      </c>
      <c r="L4" s="913"/>
      <c r="M4" s="914"/>
      <c r="N4" s="914"/>
      <c r="O4" s="914"/>
      <c r="P4" s="3721" t="s">
        <v>1775</v>
      </c>
      <c r="Q4" s="3722"/>
      <c r="R4" s="3698" t="s">
        <v>1771</v>
      </c>
      <c r="S4" s="3699"/>
      <c r="T4" s="3698" t="s">
        <v>1772</v>
      </c>
      <c r="U4" s="3699"/>
      <c r="V4" s="3711" t="s">
        <v>1773</v>
      </c>
      <c r="W4" s="3711"/>
      <c r="X4" s="1354"/>
      <c r="Y4" s="3698" t="s">
        <v>1775</v>
      </c>
      <c r="Z4" s="3699"/>
      <c r="AA4" s="3715" t="s">
        <v>1771</v>
      </c>
      <c r="AB4" s="3716" t="s">
        <v>1772</v>
      </c>
      <c r="AC4" s="3715" t="s">
        <v>1773</v>
      </c>
    </row>
    <row r="5" spans="1:29" ht="15">
      <c r="A5" s="358"/>
      <c r="B5" s="359"/>
      <c r="C5" s="3702" t="s">
        <v>1673</v>
      </c>
      <c r="D5" s="3703"/>
      <c r="E5" s="3727" t="s">
        <v>1674</v>
      </c>
      <c r="F5" s="3728"/>
      <c r="G5" s="3702" t="s">
        <v>1675</v>
      </c>
      <c r="H5" s="3703"/>
      <c r="I5" s="3702" t="s">
        <v>1676</v>
      </c>
      <c r="J5" s="3703"/>
      <c r="K5" s="559"/>
      <c r="L5" s="913"/>
      <c r="M5" s="914"/>
      <c r="N5" s="914"/>
      <c r="O5" s="914"/>
      <c r="P5" s="3723"/>
      <c r="Q5" s="3724"/>
      <c r="R5" s="3700"/>
      <c r="S5" s="3701"/>
      <c r="T5" s="3700"/>
      <c r="U5" s="3701"/>
      <c r="V5" s="3711"/>
      <c r="W5" s="3711"/>
      <c r="X5" s="1354"/>
      <c r="Y5" s="3700"/>
      <c r="Z5" s="3701"/>
      <c r="AA5" s="3716"/>
      <c r="AB5" s="3716"/>
      <c r="AC5" s="3716"/>
    </row>
    <row r="6" spans="1:29" ht="15.75" thickBot="1">
      <c r="A6" s="360"/>
      <c r="B6" s="361"/>
      <c r="C6" s="3768" t="s">
        <v>1677</v>
      </c>
      <c r="D6" s="3769"/>
      <c r="E6" s="3770" t="s">
        <v>1677</v>
      </c>
      <c r="F6" s="3771"/>
      <c r="G6" s="3768" t="s">
        <v>1677</v>
      </c>
      <c r="H6" s="3769"/>
      <c r="I6" s="3768" t="s">
        <v>1677</v>
      </c>
      <c r="J6" s="3769"/>
      <c r="K6" s="559" t="s">
        <v>1678</v>
      </c>
      <c r="L6" s="913"/>
      <c r="M6" s="914"/>
      <c r="N6" s="914"/>
      <c r="O6" s="914"/>
      <c r="P6" s="3725"/>
      <c r="Q6" s="3726"/>
      <c r="R6" s="3700"/>
      <c r="S6" s="3701"/>
      <c r="T6" s="3709"/>
      <c r="U6" s="3710"/>
      <c r="V6" s="3711"/>
      <c r="W6" s="3711"/>
      <c r="X6" s="1354"/>
      <c r="Y6" s="3709"/>
      <c r="Z6" s="3710"/>
      <c r="AA6" s="3717"/>
      <c r="AB6" s="3717"/>
      <c r="AC6" s="3717"/>
    </row>
    <row r="7" spans="1:29" s="108" customFormat="1" ht="15.75" thickBot="1">
      <c r="A7" s="362" t="s">
        <v>1679</v>
      </c>
      <c r="B7" s="363"/>
      <c r="C7" s="364">
        <f>'数据-取费表'!B2</f>
        <v>45763</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70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2"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5"/>
      <c r="Q10" s="1342"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2"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5"/>
      <c r="Q12" s="1342">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5"/>
      <c r="Q13" s="1342">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5"/>
      <c r="Q14" s="1342">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1" t="str">
        <f t="shared" si="6"/>
        <v>产业集聚程度</v>
      </c>
      <c r="R15" s="705" t="s">
        <v>14</v>
      </c>
      <c r="S15" s="706">
        <f t="shared" si="0"/>
        <v>100</v>
      </c>
      <c r="T15" s="705" t="s">
        <v>14</v>
      </c>
      <c r="U15" s="706">
        <f t="shared" si="1"/>
        <v>100</v>
      </c>
      <c r="V15" s="705" t="s">
        <v>14</v>
      </c>
      <c r="W15" s="706">
        <f t="shared" si="2"/>
        <v>100</v>
      </c>
      <c r="X15" s="1354"/>
      <c r="Y15" s="371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3"/>
      <c r="Q16" s="1351"/>
      <c r="R16" s="705"/>
      <c r="S16" s="706"/>
      <c r="T16" s="705"/>
      <c r="U16" s="706"/>
      <c r="V16" s="705"/>
      <c r="W16" s="706"/>
      <c r="X16" s="1354"/>
      <c r="Y16" s="371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1" t="str">
        <f>B17</f>
        <v>交通便捷度</v>
      </c>
      <c r="R17" s="705" t="s">
        <v>14</v>
      </c>
      <c r="S17" s="706">
        <f>F17</f>
        <v>100</v>
      </c>
      <c r="T17" s="705" t="s">
        <v>14</v>
      </c>
      <c r="U17" s="706">
        <f>H17</f>
        <v>100</v>
      </c>
      <c r="V17" s="705" t="s">
        <v>14</v>
      </c>
      <c r="W17" s="706">
        <f>J17</f>
        <v>100</v>
      </c>
      <c r="X17" s="1354"/>
      <c r="Y17" s="371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3"/>
      <c r="Q18" s="1351"/>
      <c r="R18" s="705"/>
      <c r="S18" s="706"/>
      <c r="T18" s="705"/>
      <c r="U18" s="706"/>
      <c r="V18" s="705"/>
      <c r="W18" s="706"/>
      <c r="X18" s="1354"/>
      <c r="Y18" s="371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1" t="str">
        <f>B19</f>
        <v>公共配套设施</v>
      </c>
      <c r="R19" s="705" t="s">
        <v>14</v>
      </c>
      <c r="S19" s="706">
        <f>F19</f>
        <v>100</v>
      </c>
      <c r="T19" s="705" t="s">
        <v>14</v>
      </c>
      <c r="U19" s="706">
        <f>H19</f>
        <v>100</v>
      </c>
      <c r="V19" s="705" t="s">
        <v>14</v>
      </c>
      <c r="W19" s="706">
        <f>J19</f>
        <v>100</v>
      </c>
      <c r="X19" s="1354"/>
      <c r="Y19" s="371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3"/>
      <c r="Q20" s="1351"/>
      <c r="R20" s="705"/>
      <c r="S20" s="706"/>
      <c r="T20" s="705"/>
      <c r="U20" s="706"/>
      <c r="V20" s="705"/>
      <c r="W20" s="706"/>
      <c r="X20" s="1354"/>
      <c r="Y20" s="3713"/>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1" t="str">
        <f>B21</f>
        <v>基础设施水平</v>
      </c>
      <c r="R21" s="705" t="s">
        <v>14</v>
      </c>
      <c r="S21" s="706">
        <f>F21</f>
        <v>100</v>
      </c>
      <c r="T21" s="705" t="s">
        <v>14</v>
      </c>
      <c r="U21" s="706">
        <f>H21</f>
        <v>100</v>
      </c>
      <c r="V21" s="705" t="s">
        <v>14</v>
      </c>
      <c r="W21" s="706">
        <f>J21</f>
        <v>100</v>
      </c>
      <c r="X21" s="1354"/>
      <c r="Y21" s="371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3"/>
      <c r="Q22" s="1351"/>
      <c r="R22" s="705"/>
      <c r="S22" s="706"/>
      <c r="T22" s="705"/>
      <c r="U22" s="706"/>
      <c r="V22" s="705"/>
      <c r="W22" s="706"/>
      <c r="X22" s="1354"/>
      <c r="Y22" s="371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1" t="str">
        <f>B23</f>
        <v>环境质量</v>
      </c>
      <c r="R23" s="705" t="s">
        <v>14</v>
      </c>
      <c r="S23" s="706">
        <f>F23</f>
        <v>100</v>
      </c>
      <c r="T23" s="705" t="s">
        <v>14</v>
      </c>
      <c r="U23" s="706">
        <f>H23</f>
        <v>100</v>
      </c>
      <c r="V23" s="705" t="s">
        <v>14</v>
      </c>
      <c r="W23" s="706">
        <f>J23</f>
        <v>100</v>
      </c>
      <c r="X23" s="1354"/>
      <c r="Y23" s="371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3"/>
      <c r="Q24" s="1351"/>
      <c r="R24" s="705"/>
      <c r="S24" s="706"/>
      <c r="T24" s="705"/>
      <c r="U24" s="706"/>
      <c r="V24" s="705"/>
      <c r="W24" s="706"/>
      <c r="X24" s="1354"/>
      <c r="Y24" s="371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1">
        <f>B25</f>
        <v>111</v>
      </c>
      <c r="R25" s="705" t="s">
        <v>14</v>
      </c>
      <c r="S25" s="706">
        <f>F25</f>
        <v>100</v>
      </c>
      <c r="T25" s="705" t="s">
        <v>14</v>
      </c>
      <c r="U25" s="706">
        <f>H25</f>
        <v>100</v>
      </c>
      <c r="V25" s="705" t="s">
        <v>14</v>
      </c>
      <c r="W25" s="706">
        <f>J25</f>
        <v>100</v>
      </c>
      <c r="X25" s="1354"/>
      <c r="Y25" s="371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1">
        <f t="shared" ref="Q26:Q40" si="11">B26</f>
        <v>111</v>
      </c>
      <c r="R26" s="705" t="s">
        <v>14</v>
      </c>
      <c r="S26" s="706">
        <f>F26</f>
        <v>100</v>
      </c>
      <c r="T26" s="705" t="s">
        <v>14</v>
      </c>
      <c r="U26" s="706">
        <f>H26</f>
        <v>100</v>
      </c>
      <c r="V26" s="705" t="s">
        <v>14</v>
      </c>
      <c r="W26" s="706">
        <f>J26</f>
        <v>100</v>
      </c>
      <c r="X26" s="1354"/>
      <c r="Y26" s="371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2">
        <f t="shared" si="11"/>
        <v>111</v>
      </c>
      <c r="R27" s="701" t="s">
        <v>14</v>
      </c>
      <c r="S27" s="702">
        <f>F27</f>
        <v>100</v>
      </c>
      <c r="T27" s="701" t="s">
        <v>14</v>
      </c>
      <c r="U27" s="702">
        <f>H27</f>
        <v>100</v>
      </c>
      <c r="V27" s="701" t="s">
        <v>14</v>
      </c>
      <c r="W27" s="702">
        <f>J27</f>
        <v>100</v>
      </c>
      <c r="X27" s="703"/>
      <c r="Y27" s="371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1">
        <f t="shared" si="11"/>
        <v>111</v>
      </c>
      <c r="R28" s="705" t="s">
        <v>14</v>
      </c>
      <c r="S28" s="706">
        <f t="shared" ref="S28:S40" si="12">F28</f>
        <v>100</v>
      </c>
      <c r="T28" s="705" t="s">
        <v>14</v>
      </c>
      <c r="U28" s="706">
        <f t="shared" ref="U28:U40" si="13">H28</f>
        <v>100</v>
      </c>
      <c r="V28" s="705" t="s">
        <v>14</v>
      </c>
      <c r="W28" s="706">
        <f t="shared" ref="W28:W40" si="14">J28</f>
        <v>100</v>
      </c>
      <c r="X28" s="1354"/>
      <c r="Y28" s="371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9" t="s">
        <v>1696</v>
      </c>
      <c r="Q29" s="1351" t="str">
        <f t="shared" si="11"/>
        <v>建筑类型</v>
      </c>
      <c r="R29" s="705" t="s">
        <v>14</v>
      </c>
      <c r="S29" s="706">
        <f t="shared" si="12"/>
        <v>100</v>
      </c>
      <c r="T29" s="705" t="s">
        <v>14</v>
      </c>
      <c r="U29" s="706">
        <f t="shared" si="13"/>
        <v>100</v>
      </c>
      <c r="V29" s="705" t="s">
        <v>14</v>
      </c>
      <c r="W29" s="706">
        <f t="shared" si="14"/>
        <v>100</v>
      </c>
      <c r="X29" s="1354"/>
      <c r="Y29" s="371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1" t="str">
        <f t="shared" si="11"/>
        <v>建筑结构</v>
      </c>
      <c r="R31" s="705" t="s">
        <v>14</v>
      </c>
      <c r="S31" s="706">
        <f t="shared" si="12"/>
        <v>100</v>
      </c>
      <c r="T31" s="705" t="s">
        <v>14</v>
      </c>
      <c r="U31" s="706">
        <f t="shared" si="13"/>
        <v>100</v>
      </c>
      <c r="V31" s="705" t="s">
        <v>14</v>
      </c>
      <c r="W31" s="706">
        <f t="shared" si="14"/>
        <v>100</v>
      </c>
      <c r="X31" s="1354"/>
      <c r="Y31" s="371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1" t="str">
        <f t="shared" si="11"/>
        <v>公共部分装修</v>
      </c>
      <c r="R32" s="705" t="s">
        <v>14</v>
      </c>
      <c r="S32" s="706">
        <f t="shared" si="12"/>
        <v>100</v>
      </c>
      <c r="T32" s="705" t="s">
        <v>14</v>
      </c>
      <c r="U32" s="706">
        <f t="shared" si="13"/>
        <v>100</v>
      </c>
      <c r="V32" s="705" t="s">
        <v>14</v>
      </c>
      <c r="W32" s="706">
        <f t="shared" si="14"/>
        <v>100</v>
      </c>
      <c r="X32" s="1354"/>
      <c r="Y32" s="371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1" t="str">
        <f t="shared" si="11"/>
        <v>成新度</v>
      </c>
      <c r="R33" s="705" t="s">
        <v>14</v>
      </c>
      <c r="S33" s="706" t="e">
        <f t="shared" si="12"/>
        <v>#N/A</v>
      </c>
      <c r="T33" s="705" t="s">
        <v>14</v>
      </c>
      <c r="U33" s="706" t="e">
        <f t="shared" si="13"/>
        <v>#N/A</v>
      </c>
      <c r="V33" s="705" t="s">
        <v>14</v>
      </c>
      <c r="W33" s="706" t="e">
        <f t="shared" si="14"/>
        <v>#N/A</v>
      </c>
      <c r="X33" s="1354"/>
      <c r="Y33" s="371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2"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1" t="str">
        <f t="shared" si="11"/>
        <v>市政基础设施</v>
      </c>
      <c r="R35" s="705" t="s">
        <v>14</v>
      </c>
      <c r="S35" s="706">
        <f t="shared" si="12"/>
        <v>100</v>
      </c>
      <c r="T35" s="705" t="s">
        <v>14</v>
      </c>
      <c r="U35" s="706">
        <f t="shared" si="13"/>
        <v>100</v>
      </c>
      <c r="V35" s="705" t="s">
        <v>14</v>
      </c>
      <c r="W35" s="706">
        <f t="shared" si="14"/>
        <v>100</v>
      </c>
      <c r="X35" s="1354"/>
      <c r="Y35" s="371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1" t="str">
        <f t="shared" si="11"/>
        <v>内部装修</v>
      </c>
      <c r="R36" s="705" t="s">
        <v>14</v>
      </c>
      <c r="S36" s="706">
        <f t="shared" si="12"/>
        <v>100</v>
      </c>
      <c r="T36" s="705" t="s">
        <v>14</v>
      </c>
      <c r="U36" s="706">
        <f t="shared" si="13"/>
        <v>100</v>
      </c>
      <c r="V36" s="705" t="s">
        <v>14</v>
      </c>
      <c r="W36" s="706">
        <f t="shared" si="14"/>
        <v>100</v>
      </c>
      <c r="X36" s="1354"/>
      <c r="Y36" s="371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1" t="str">
        <f t="shared" si="11"/>
        <v>内部装修状况</v>
      </c>
      <c r="R37" s="705" t="s">
        <v>14</v>
      </c>
      <c r="S37" s="706">
        <f t="shared" si="12"/>
        <v>100</v>
      </c>
      <c r="T37" s="705" t="s">
        <v>14</v>
      </c>
      <c r="U37" s="706">
        <f t="shared" si="13"/>
        <v>100</v>
      </c>
      <c r="V37" s="705" t="s">
        <v>14</v>
      </c>
      <c r="W37" s="706">
        <f t="shared" si="14"/>
        <v>100</v>
      </c>
      <c r="X37" s="1354"/>
      <c r="Y37" s="371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1">
        <f t="shared" si="11"/>
        <v>111</v>
      </c>
      <c r="R39" s="705" t="s">
        <v>14</v>
      </c>
      <c r="S39" s="706">
        <f t="shared" si="12"/>
        <v>100</v>
      </c>
      <c r="T39" s="705" t="s">
        <v>14</v>
      </c>
      <c r="U39" s="706">
        <f t="shared" si="13"/>
        <v>100</v>
      </c>
      <c r="V39" s="705" t="s">
        <v>14</v>
      </c>
      <c r="W39" s="706">
        <f t="shared" si="14"/>
        <v>100</v>
      </c>
      <c r="X39" s="1354"/>
      <c r="Y39" s="371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5"/>
      <c r="Q40" s="1351">
        <f t="shared" si="11"/>
        <v>111</v>
      </c>
      <c r="R40" s="705" t="s">
        <v>14</v>
      </c>
      <c r="S40" s="706">
        <f t="shared" si="12"/>
        <v>100</v>
      </c>
      <c r="T40" s="705" t="s">
        <v>14</v>
      </c>
      <c r="U40" s="706">
        <f t="shared" si="13"/>
        <v>100</v>
      </c>
      <c r="V40" s="705" t="s">
        <v>14</v>
      </c>
      <c r="W40" s="706">
        <f t="shared" si="14"/>
        <v>100</v>
      </c>
      <c r="X40" s="1354"/>
      <c r="Y40" s="376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761">
        <f>E41</f>
        <v>0</v>
      </c>
      <c r="S41" s="3761"/>
      <c r="T41" s="3761">
        <f>G41</f>
        <v>0</v>
      </c>
      <c r="U41" s="3761"/>
      <c r="V41" s="3761">
        <f>I41</f>
        <v>0</v>
      </c>
      <c r="W41" s="3761"/>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5" t="str">
        <f>A42</f>
        <v>比较价值（元/平方米）</v>
      </c>
      <c r="Q42" s="3695"/>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60" t="e">
        <f>IF(F1="售价",ROUND(IF(D42="简单平均",AVERAGE(R42:V42),R42*F42+T42*H42+V42*J42),0),ROUND(IF(D42="简单平均",AVERAGE(R42:V42),R42*F42+T42*H42+V42*J42),1))</f>
        <v>#DIV/0!</v>
      </c>
      <c r="S43" s="3760"/>
      <c r="T43" s="3760"/>
      <c r="U43" s="3760"/>
      <c r="V43" s="3760"/>
      <c r="W43" s="376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2" t="s">
        <v>1770</v>
      </c>
      <c r="D4" s="3718"/>
      <c r="E4" s="3719" t="s">
        <v>1771</v>
      </c>
      <c r="F4" s="3720"/>
      <c r="G4" s="3692" t="s">
        <v>1772</v>
      </c>
      <c r="H4" s="3718"/>
      <c r="I4" s="3692" t="s">
        <v>1773</v>
      </c>
      <c r="J4" s="3718"/>
      <c r="K4" s="559" t="s">
        <v>1774</v>
      </c>
      <c r="L4" s="2714"/>
      <c r="M4" s="2715"/>
      <c r="N4" s="2715"/>
      <c r="O4" s="2715"/>
      <c r="P4" s="3721" t="s">
        <v>1775</v>
      </c>
      <c r="Q4" s="3722"/>
      <c r="R4" s="3698" t="s">
        <v>1771</v>
      </c>
      <c r="S4" s="3699"/>
      <c r="T4" s="3698" t="s">
        <v>1772</v>
      </c>
      <c r="U4" s="3699"/>
      <c r="V4" s="3711" t="s">
        <v>1773</v>
      </c>
      <c r="W4" s="3711"/>
      <c r="X4" s="1354"/>
      <c r="Y4" s="3698" t="s">
        <v>1775</v>
      </c>
      <c r="Z4" s="3699"/>
      <c r="AA4" s="3715" t="s">
        <v>1771</v>
      </c>
      <c r="AB4" s="3716" t="s">
        <v>1772</v>
      </c>
      <c r="AC4" s="3715" t="s">
        <v>1773</v>
      </c>
    </row>
    <row r="5" spans="1:29" ht="15">
      <c r="A5" s="358"/>
      <c r="B5" s="359"/>
      <c r="C5" s="3702" t="s">
        <v>1673</v>
      </c>
      <c r="D5" s="3703"/>
      <c r="E5" s="3727" t="s">
        <v>1674</v>
      </c>
      <c r="F5" s="3728"/>
      <c r="G5" s="3702" t="s">
        <v>1675</v>
      </c>
      <c r="H5" s="3703"/>
      <c r="I5" s="3702" t="s">
        <v>1676</v>
      </c>
      <c r="J5" s="3703"/>
      <c r="K5" s="559"/>
      <c r="L5" s="2714"/>
      <c r="M5" s="2715"/>
      <c r="N5" s="2715"/>
      <c r="O5" s="2715"/>
      <c r="P5" s="3723"/>
      <c r="Q5" s="3724"/>
      <c r="R5" s="3700"/>
      <c r="S5" s="3701"/>
      <c r="T5" s="3700"/>
      <c r="U5" s="3701"/>
      <c r="V5" s="3711"/>
      <c r="W5" s="3711"/>
      <c r="X5" s="1354"/>
      <c r="Y5" s="3700"/>
      <c r="Z5" s="3701"/>
      <c r="AA5" s="3716"/>
      <c r="AB5" s="3716"/>
      <c r="AC5" s="3716"/>
    </row>
    <row r="6" spans="1:29" ht="15.75" thickBot="1">
      <c r="A6" s="360"/>
      <c r="B6" s="361"/>
      <c r="C6" s="3768" t="s">
        <v>1677</v>
      </c>
      <c r="D6" s="3769"/>
      <c r="E6" s="3770" t="s">
        <v>1677</v>
      </c>
      <c r="F6" s="3771"/>
      <c r="G6" s="3768" t="s">
        <v>1677</v>
      </c>
      <c r="H6" s="3769"/>
      <c r="I6" s="3768" t="s">
        <v>1677</v>
      </c>
      <c r="J6" s="3769"/>
      <c r="K6" s="559" t="s">
        <v>1678</v>
      </c>
      <c r="L6" s="2714"/>
      <c r="M6" s="2715"/>
      <c r="N6" s="2715"/>
      <c r="O6" s="2715"/>
      <c r="P6" s="3725"/>
      <c r="Q6" s="3726"/>
      <c r="R6" s="3700"/>
      <c r="S6" s="3701"/>
      <c r="T6" s="3709"/>
      <c r="U6" s="3710"/>
      <c r="V6" s="3711"/>
      <c r="W6" s="3711"/>
      <c r="X6" s="1354"/>
      <c r="Y6" s="3709"/>
      <c r="Z6" s="3710"/>
      <c r="AA6" s="3717"/>
      <c r="AB6" s="3717"/>
      <c r="AC6" s="3717"/>
    </row>
    <row r="7" spans="1:29" s="108" customFormat="1" ht="15.75" thickBot="1">
      <c r="A7" s="362" t="s">
        <v>1679</v>
      </c>
      <c r="B7" s="363"/>
      <c r="C7" s="364">
        <f>'数据-取费表'!B2</f>
        <v>45763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6" t="s">
        <v>1680</v>
      </c>
      <c r="Q7" s="3706"/>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1686</v>
      </c>
      <c r="Q9" s="1342"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2">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2" t="s">
        <v>1691</v>
      </c>
      <c r="Q14" s="1351" t="str">
        <f t="shared" si="6"/>
        <v>交通便捷度</v>
      </c>
      <c r="R14" s="705" t="s">
        <v>14</v>
      </c>
      <c r="S14" s="706">
        <f t="shared" si="0"/>
        <v>100</v>
      </c>
      <c r="T14" s="705" t="s">
        <v>14</v>
      </c>
      <c r="U14" s="706">
        <f t="shared" si="1"/>
        <v>100</v>
      </c>
      <c r="V14" s="705" t="s">
        <v>14</v>
      </c>
      <c r="W14" s="706">
        <f t="shared" si="2"/>
        <v>100</v>
      </c>
      <c r="X14" s="1354"/>
      <c r="Y14" s="371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3"/>
      <c r="Q15" s="1351"/>
      <c r="R15" s="705"/>
      <c r="S15" s="706"/>
      <c r="T15" s="705"/>
      <c r="U15" s="706"/>
      <c r="V15" s="705"/>
      <c r="W15" s="706"/>
      <c r="X15" s="1354"/>
      <c r="Y15" s="371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3"/>
      <c r="Q16" s="1351" t="str">
        <f>B16</f>
        <v>公共配套设施</v>
      </c>
      <c r="R16" s="705" t="s">
        <v>14</v>
      </c>
      <c r="S16" s="706">
        <f>F16</f>
        <v>100</v>
      </c>
      <c r="T16" s="705" t="s">
        <v>14</v>
      </c>
      <c r="U16" s="706">
        <f>H16</f>
        <v>100</v>
      </c>
      <c r="V16" s="705" t="s">
        <v>14</v>
      </c>
      <c r="W16" s="706">
        <f>J16</f>
        <v>100</v>
      </c>
      <c r="X16" s="1354"/>
      <c r="Y16" s="371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3"/>
      <c r="Q17" s="1351"/>
      <c r="R17" s="705"/>
      <c r="S17" s="706"/>
      <c r="T17" s="705"/>
      <c r="U17" s="706"/>
      <c r="V17" s="705"/>
      <c r="W17" s="706"/>
      <c r="X17" s="1354"/>
      <c r="Y17" s="371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3"/>
      <c r="Q18" s="1351" t="str">
        <f>B18</f>
        <v>基础设施水平</v>
      </c>
      <c r="R18" s="705" t="s">
        <v>14</v>
      </c>
      <c r="S18" s="706">
        <f>F18</f>
        <v>100</v>
      </c>
      <c r="T18" s="705" t="s">
        <v>14</v>
      </c>
      <c r="U18" s="706">
        <f>H18</f>
        <v>100</v>
      </c>
      <c r="V18" s="705" t="s">
        <v>14</v>
      </c>
      <c r="W18" s="706">
        <f>J18</f>
        <v>100</v>
      </c>
      <c r="X18" s="1354"/>
      <c r="Y18" s="371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3"/>
      <c r="Q19" s="1351"/>
      <c r="R19" s="705"/>
      <c r="S19" s="706"/>
      <c r="T19" s="705"/>
      <c r="U19" s="706"/>
      <c r="V19" s="705"/>
      <c r="W19" s="706"/>
      <c r="X19" s="1354"/>
      <c r="Y19" s="371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3"/>
      <c r="Q20" s="1351" t="str">
        <f>B20</f>
        <v>自然及人文环境</v>
      </c>
      <c r="R20" s="705" t="s">
        <v>14</v>
      </c>
      <c r="S20" s="706">
        <f>F20</f>
        <v>100</v>
      </c>
      <c r="T20" s="705" t="s">
        <v>14</v>
      </c>
      <c r="U20" s="706">
        <f>H20</f>
        <v>100</v>
      </c>
      <c r="V20" s="705" t="s">
        <v>14</v>
      </c>
      <c r="W20" s="706">
        <f>J20</f>
        <v>100</v>
      </c>
      <c r="X20" s="1354"/>
      <c r="Y20" s="371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3"/>
      <c r="Q21" s="1351"/>
      <c r="R21" s="705"/>
      <c r="S21" s="706"/>
      <c r="T21" s="705"/>
      <c r="U21" s="706"/>
      <c r="V21" s="705"/>
      <c r="W21" s="706"/>
      <c r="X21" s="1354"/>
      <c r="Y21" s="371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3"/>
      <c r="Q22" s="1351" t="str">
        <f>B22</f>
        <v>楼层</v>
      </c>
      <c r="R22" s="705" t="s">
        <v>14</v>
      </c>
      <c r="S22" s="706">
        <f>F22</f>
        <v>100</v>
      </c>
      <c r="T22" s="705" t="s">
        <v>14</v>
      </c>
      <c r="U22" s="706">
        <f>H22</f>
        <v>100</v>
      </c>
      <c r="V22" s="705" t="s">
        <v>14</v>
      </c>
      <c r="W22" s="706">
        <f>J22</f>
        <v>100</v>
      </c>
      <c r="X22" s="1354"/>
      <c r="Y22" s="371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3"/>
      <c r="Q23" s="1351">
        <f>B23</f>
        <v>111</v>
      </c>
      <c r="R23" s="705" t="s">
        <v>14</v>
      </c>
      <c r="S23" s="706">
        <f>F23</f>
        <v>100</v>
      </c>
      <c r="T23" s="705" t="s">
        <v>14</v>
      </c>
      <c r="U23" s="706">
        <f>H23</f>
        <v>100</v>
      </c>
      <c r="V23" s="705" t="s">
        <v>14</v>
      </c>
      <c r="W23" s="706">
        <f>J23</f>
        <v>100</v>
      </c>
      <c r="X23" s="1354"/>
      <c r="Y23" s="371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3"/>
      <c r="Q24" s="1351">
        <f t="shared" ref="Q24:Q36" si="11">B24</f>
        <v>111</v>
      </c>
      <c r="R24" s="705" t="s">
        <v>14</v>
      </c>
      <c r="S24" s="706">
        <f>F24</f>
        <v>100</v>
      </c>
      <c r="T24" s="705" t="s">
        <v>14</v>
      </c>
      <c r="U24" s="706">
        <f>H24</f>
        <v>100</v>
      </c>
      <c r="V24" s="705" t="s">
        <v>14</v>
      </c>
      <c r="W24" s="706">
        <f>J24</f>
        <v>100</v>
      </c>
      <c r="X24" s="1354"/>
      <c r="Y24" s="371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3"/>
      <c r="Q25" s="1342">
        <f t="shared" si="11"/>
        <v>111</v>
      </c>
      <c r="R25" s="701" t="s">
        <v>14</v>
      </c>
      <c r="S25" s="702">
        <f>F25</f>
        <v>100</v>
      </c>
      <c r="T25" s="701" t="s">
        <v>14</v>
      </c>
      <c r="U25" s="702">
        <f>H25</f>
        <v>100</v>
      </c>
      <c r="V25" s="701" t="s">
        <v>14</v>
      </c>
      <c r="W25" s="702">
        <f>J25</f>
        <v>100</v>
      </c>
      <c r="X25" s="703"/>
      <c r="Y25" s="371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4"/>
      <c r="Q28" s="1351" t="str">
        <f t="shared" si="11"/>
        <v>公共部分装修</v>
      </c>
      <c r="R28" s="705" t="s">
        <v>14</v>
      </c>
      <c r="S28" s="706">
        <f t="shared" si="12"/>
        <v>100</v>
      </c>
      <c r="T28" s="705" t="s">
        <v>14</v>
      </c>
      <c r="U28" s="706">
        <f t="shared" si="13"/>
        <v>100</v>
      </c>
      <c r="V28" s="705" t="s">
        <v>14</v>
      </c>
      <c r="W28" s="706">
        <f t="shared" si="14"/>
        <v>100</v>
      </c>
      <c r="X28" s="1354"/>
      <c r="Y28" s="371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4"/>
      <c r="Q29" s="1351" t="str">
        <f t="shared" si="11"/>
        <v>成新率</v>
      </c>
      <c r="R29" s="705" t="s">
        <v>14</v>
      </c>
      <c r="S29" s="706" t="e">
        <f t="shared" si="12"/>
        <v>#N/A</v>
      </c>
      <c r="T29" s="705" t="s">
        <v>14</v>
      </c>
      <c r="U29" s="706" t="e">
        <f t="shared" si="13"/>
        <v>#N/A</v>
      </c>
      <c r="V29" s="705" t="s">
        <v>14</v>
      </c>
      <c r="W29" s="706" t="e">
        <f t="shared" si="14"/>
        <v>#N/A</v>
      </c>
      <c r="X29" s="1354"/>
      <c r="Y29" s="371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4"/>
      <c r="Q30" s="1351" t="str">
        <f t="shared" si="11"/>
        <v>物业等级</v>
      </c>
      <c r="R30" s="705" t="s">
        <v>14</v>
      </c>
      <c r="S30" s="706">
        <f t="shared" si="12"/>
        <v>100</v>
      </c>
      <c r="T30" s="705" t="s">
        <v>14</v>
      </c>
      <c r="U30" s="706">
        <f t="shared" si="13"/>
        <v>100</v>
      </c>
      <c r="V30" s="705" t="s">
        <v>14</v>
      </c>
      <c r="W30" s="706">
        <f t="shared" si="14"/>
        <v>100</v>
      </c>
      <c r="X30" s="1354"/>
      <c r="Y30" s="371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4"/>
      <c r="Q31" s="1342"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4" t="s">
        <v>1696</v>
      </c>
      <c r="Q32" s="1351" t="str">
        <f t="shared" si="11"/>
        <v>车位类型</v>
      </c>
      <c r="R32" s="705" t="s">
        <v>14</v>
      </c>
      <c r="S32" s="706">
        <f t="shared" si="12"/>
        <v>100</v>
      </c>
      <c r="T32" s="705" t="s">
        <v>14</v>
      </c>
      <c r="U32" s="706">
        <f t="shared" si="13"/>
        <v>100</v>
      </c>
      <c r="V32" s="705" t="s">
        <v>14</v>
      </c>
      <c r="W32" s="706">
        <f t="shared" si="14"/>
        <v>100</v>
      </c>
      <c r="X32" s="1354"/>
      <c r="Y32" s="371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4"/>
      <c r="Q33" s="1351" t="str">
        <f t="shared" si="11"/>
        <v>是否直接入户</v>
      </c>
      <c r="R33" s="705" t="s">
        <v>14</v>
      </c>
      <c r="S33" s="706">
        <f t="shared" si="12"/>
        <v>100</v>
      </c>
      <c r="T33" s="705" t="s">
        <v>14</v>
      </c>
      <c r="U33" s="706">
        <f t="shared" si="13"/>
        <v>100</v>
      </c>
      <c r="V33" s="705" t="s">
        <v>14</v>
      </c>
      <c r="W33" s="706">
        <f t="shared" si="14"/>
        <v>100</v>
      </c>
      <c r="X33" s="1354"/>
      <c r="Y33" s="371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4"/>
      <c r="Q34" s="1351">
        <f t="shared" si="11"/>
        <v>111</v>
      </c>
      <c r="R34" s="705" t="s">
        <v>14</v>
      </c>
      <c r="S34" s="706">
        <f t="shared" si="12"/>
        <v>100</v>
      </c>
      <c r="T34" s="705" t="s">
        <v>14</v>
      </c>
      <c r="U34" s="706">
        <f t="shared" si="13"/>
        <v>100</v>
      </c>
      <c r="V34" s="705" t="s">
        <v>14</v>
      </c>
      <c r="W34" s="706">
        <f t="shared" si="14"/>
        <v>100</v>
      </c>
      <c r="X34" s="1354"/>
      <c r="Y34" s="371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4"/>
      <c r="Q36" s="1351">
        <f t="shared" si="11"/>
        <v>111</v>
      </c>
      <c r="R36" s="705" t="s">
        <v>14</v>
      </c>
      <c r="S36" s="706">
        <f t="shared" si="12"/>
        <v>100</v>
      </c>
      <c r="T36" s="705" t="s">
        <v>14</v>
      </c>
      <c r="U36" s="706">
        <f t="shared" si="13"/>
        <v>100</v>
      </c>
      <c r="V36" s="705" t="s">
        <v>14</v>
      </c>
      <c r="W36" s="706">
        <f t="shared" si="14"/>
        <v>100</v>
      </c>
      <c r="X36" s="1354"/>
      <c r="Y36" s="3714"/>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95" t="str">
        <f>A37</f>
        <v>成交单价</v>
      </c>
      <c r="Q37" s="3695"/>
      <c r="R37" s="3761">
        <f>E37</f>
        <v>0</v>
      </c>
      <c r="S37" s="3761"/>
      <c r="T37" s="3761">
        <f>G37</f>
        <v>0</v>
      </c>
      <c r="U37" s="3761"/>
      <c r="V37" s="3761">
        <f>I37</f>
        <v>0</v>
      </c>
      <c r="W37" s="3761"/>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5" t="str">
        <f>A38</f>
        <v>比较价值（元/平方米）</v>
      </c>
      <c r="Q38" s="3695"/>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0" t="str">
        <f>A39</f>
        <v>估价对象XX用房的比较价值（楼面单价，元/平方米）</v>
      </c>
      <c r="Q39" s="3731"/>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2" t="s">
        <v>1770</v>
      </c>
      <c r="D4" s="3718"/>
      <c r="E4" s="3719" t="s">
        <v>1771</v>
      </c>
      <c r="F4" s="3720"/>
      <c r="G4" s="3692" t="s">
        <v>1772</v>
      </c>
      <c r="H4" s="3718"/>
      <c r="I4" s="3692" t="s">
        <v>1773</v>
      </c>
      <c r="J4" s="3718"/>
      <c r="K4" s="559" t="s">
        <v>1774</v>
      </c>
      <c r="L4" s="2714"/>
      <c r="M4" s="2715"/>
      <c r="N4" s="2715"/>
      <c r="O4" s="2715"/>
      <c r="P4" s="3721" t="s">
        <v>1775</v>
      </c>
      <c r="Q4" s="3722"/>
      <c r="R4" s="3698" t="s">
        <v>1771</v>
      </c>
      <c r="S4" s="3699"/>
      <c r="T4" s="3698" t="s">
        <v>1772</v>
      </c>
      <c r="U4" s="3699"/>
      <c r="V4" s="3711" t="s">
        <v>1773</v>
      </c>
      <c r="W4" s="3711"/>
      <c r="X4" s="1354"/>
      <c r="Y4" s="3698" t="s">
        <v>1775</v>
      </c>
      <c r="Z4" s="3699"/>
      <c r="AA4" s="3715" t="s">
        <v>1771</v>
      </c>
      <c r="AB4" s="3716" t="s">
        <v>1772</v>
      </c>
      <c r="AC4" s="3715" t="s">
        <v>1773</v>
      </c>
    </row>
    <row r="5" spans="1:29" ht="15">
      <c r="A5" s="358"/>
      <c r="B5" s="359"/>
      <c r="C5" s="3702" t="s">
        <v>1673</v>
      </c>
      <c r="D5" s="3703"/>
      <c r="E5" s="3727" t="s">
        <v>1674</v>
      </c>
      <c r="F5" s="3728"/>
      <c r="G5" s="3702" t="s">
        <v>1675</v>
      </c>
      <c r="H5" s="3703"/>
      <c r="I5" s="3702" t="s">
        <v>1676</v>
      </c>
      <c r="J5" s="3703"/>
      <c r="K5" s="559"/>
      <c r="L5" s="2714"/>
      <c r="M5" s="2715"/>
      <c r="N5" s="2715"/>
      <c r="O5" s="2715"/>
      <c r="P5" s="3723"/>
      <c r="Q5" s="3724"/>
      <c r="R5" s="3700"/>
      <c r="S5" s="3701"/>
      <c r="T5" s="3700"/>
      <c r="U5" s="3701"/>
      <c r="V5" s="3711"/>
      <c r="W5" s="3711"/>
      <c r="X5" s="1354"/>
      <c r="Y5" s="3700"/>
      <c r="Z5" s="3701"/>
      <c r="AA5" s="3716"/>
      <c r="AB5" s="3716"/>
      <c r="AC5" s="3716"/>
    </row>
    <row r="6" spans="1:29" ht="15.75" thickBot="1">
      <c r="A6" s="360"/>
      <c r="B6" s="361"/>
      <c r="C6" s="3768" t="s">
        <v>1677</v>
      </c>
      <c r="D6" s="3769"/>
      <c r="E6" s="3770" t="s">
        <v>1677</v>
      </c>
      <c r="F6" s="3771"/>
      <c r="G6" s="3768" t="s">
        <v>1677</v>
      </c>
      <c r="H6" s="3769"/>
      <c r="I6" s="3768" t="s">
        <v>1677</v>
      </c>
      <c r="J6" s="3769"/>
      <c r="K6" s="559" t="s">
        <v>1678</v>
      </c>
      <c r="L6" s="2714"/>
      <c r="M6" s="2715"/>
      <c r="N6" s="2715"/>
      <c r="O6" s="2715"/>
      <c r="P6" s="3725"/>
      <c r="Q6" s="3726"/>
      <c r="R6" s="3700"/>
      <c r="S6" s="3701"/>
      <c r="T6" s="3709"/>
      <c r="U6" s="3710"/>
      <c r="V6" s="3711"/>
      <c r="W6" s="3711"/>
      <c r="X6" s="1354"/>
      <c r="Y6" s="3709"/>
      <c r="Z6" s="3710"/>
      <c r="AA6" s="3717"/>
      <c r="AB6" s="3717"/>
      <c r="AC6" s="3717"/>
    </row>
    <row r="7" spans="1:29" s="108" customFormat="1" ht="15.75" thickBot="1">
      <c r="A7" s="362" t="s">
        <v>1679</v>
      </c>
      <c r="B7" s="363"/>
      <c r="C7" s="364">
        <f>'数据-取费表'!B2</f>
        <v>45763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6" t="s">
        <v>1680</v>
      </c>
      <c r="Q7" s="3706"/>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1686</v>
      </c>
      <c r="Q9" s="1342"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2"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2">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2">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2" t="s">
        <v>1691</v>
      </c>
      <c r="Q14" s="1351" t="str">
        <f t="shared" si="6"/>
        <v>交通便捷度</v>
      </c>
      <c r="R14" s="705" t="s">
        <v>14</v>
      </c>
      <c r="S14" s="706">
        <f t="shared" si="0"/>
        <v>100</v>
      </c>
      <c r="T14" s="705" t="s">
        <v>14</v>
      </c>
      <c r="U14" s="706">
        <f t="shared" si="1"/>
        <v>100</v>
      </c>
      <c r="V14" s="705" t="s">
        <v>14</v>
      </c>
      <c r="W14" s="706">
        <f t="shared" si="2"/>
        <v>100</v>
      </c>
      <c r="X14" s="1354"/>
      <c r="Y14" s="371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3"/>
      <c r="Q15" s="1351"/>
      <c r="R15" s="705"/>
      <c r="S15" s="706"/>
      <c r="T15" s="705"/>
      <c r="U15" s="706"/>
      <c r="V15" s="705"/>
      <c r="W15" s="706"/>
      <c r="X15" s="1354"/>
      <c r="Y15" s="371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3"/>
      <c r="Q16" s="1351" t="str">
        <f>B16</f>
        <v>公共配套设施</v>
      </c>
      <c r="R16" s="705" t="s">
        <v>14</v>
      </c>
      <c r="S16" s="706">
        <f>F16</f>
        <v>100</v>
      </c>
      <c r="T16" s="705" t="s">
        <v>14</v>
      </c>
      <c r="U16" s="706">
        <f>H16</f>
        <v>100</v>
      </c>
      <c r="V16" s="705" t="s">
        <v>14</v>
      </c>
      <c r="W16" s="706">
        <f>J16</f>
        <v>100</v>
      </c>
      <c r="X16" s="1354"/>
      <c r="Y16" s="371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3"/>
      <c r="Q17" s="1351"/>
      <c r="R17" s="705"/>
      <c r="S17" s="706"/>
      <c r="T17" s="705"/>
      <c r="U17" s="706"/>
      <c r="V17" s="705"/>
      <c r="W17" s="706"/>
      <c r="X17" s="1354"/>
      <c r="Y17" s="3713"/>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3"/>
      <c r="Q18" s="1351" t="str">
        <f>B18</f>
        <v>基础设施水平</v>
      </c>
      <c r="R18" s="705" t="s">
        <v>14</v>
      </c>
      <c r="S18" s="706">
        <f>F18</f>
        <v>100</v>
      </c>
      <c r="T18" s="705" t="s">
        <v>14</v>
      </c>
      <c r="U18" s="706">
        <f>H18</f>
        <v>100</v>
      </c>
      <c r="V18" s="705" t="s">
        <v>14</v>
      </c>
      <c r="W18" s="706">
        <f>J18</f>
        <v>100</v>
      </c>
      <c r="X18" s="1354"/>
      <c r="Y18" s="371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3"/>
      <c r="Q19" s="1351"/>
      <c r="R19" s="705"/>
      <c r="S19" s="706"/>
      <c r="T19" s="705"/>
      <c r="U19" s="706"/>
      <c r="V19" s="705"/>
      <c r="W19" s="706"/>
      <c r="X19" s="1354"/>
      <c r="Y19" s="371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3"/>
      <c r="Q20" s="1351" t="str">
        <f>B20</f>
        <v>自然及人文环境</v>
      </c>
      <c r="R20" s="705" t="s">
        <v>14</v>
      </c>
      <c r="S20" s="706">
        <f>F20</f>
        <v>100</v>
      </c>
      <c r="T20" s="705" t="s">
        <v>14</v>
      </c>
      <c r="U20" s="706">
        <f>H20</f>
        <v>100</v>
      </c>
      <c r="V20" s="705" t="s">
        <v>14</v>
      </c>
      <c r="W20" s="706">
        <f>J20</f>
        <v>100</v>
      </c>
      <c r="X20" s="1354"/>
      <c r="Y20" s="371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3"/>
      <c r="Q21" s="1351"/>
      <c r="R21" s="705"/>
      <c r="S21" s="706"/>
      <c r="T21" s="705"/>
      <c r="U21" s="706"/>
      <c r="V21" s="705"/>
      <c r="W21" s="706"/>
      <c r="X21" s="1354"/>
      <c r="Y21" s="371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3"/>
      <c r="Q22" s="1351" t="str">
        <f>B22</f>
        <v>楼层</v>
      </c>
      <c r="R22" s="705" t="s">
        <v>14</v>
      </c>
      <c r="S22" s="706">
        <f>F22</f>
        <v>100</v>
      </c>
      <c r="T22" s="705" t="s">
        <v>14</v>
      </c>
      <c r="U22" s="706">
        <f>H22</f>
        <v>100</v>
      </c>
      <c r="V22" s="705" t="s">
        <v>14</v>
      </c>
      <c r="W22" s="706">
        <f>J22</f>
        <v>100</v>
      </c>
      <c r="X22" s="1354"/>
      <c r="Y22" s="371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3"/>
      <c r="Q23" s="1351">
        <f>B23</f>
        <v>111</v>
      </c>
      <c r="R23" s="705" t="s">
        <v>14</v>
      </c>
      <c r="S23" s="706">
        <f>F23</f>
        <v>100</v>
      </c>
      <c r="T23" s="705" t="s">
        <v>14</v>
      </c>
      <c r="U23" s="706">
        <f>H23</f>
        <v>100</v>
      </c>
      <c r="V23" s="705" t="s">
        <v>14</v>
      </c>
      <c r="W23" s="706">
        <f>J23</f>
        <v>100</v>
      </c>
      <c r="X23" s="1354"/>
      <c r="Y23" s="371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3"/>
      <c r="Q24" s="1351">
        <f t="shared" ref="Q24:Q34" si="11">B24</f>
        <v>111</v>
      </c>
      <c r="R24" s="705" t="s">
        <v>14</v>
      </c>
      <c r="S24" s="706">
        <f>F24</f>
        <v>100</v>
      </c>
      <c r="T24" s="705" t="s">
        <v>14</v>
      </c>
      <c r="U24" s="706">
        <f>H24</f>
        <v>100</v>
      </c>
      <c r="V24" s="705" t="s">
        <v>14</v>
      </c>
      <c r="W24" s="706">
        <f>J24</f>
        <v>100</v>
      </c>
      <c r="X24" s="1354"/>
      <c r="Y24" s="371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3"/>
      <c r="Q25" s="1342">
        <f t="shared" si="11"/>
        <v>111</v>
      </c>
      <c r="R25" s="701" t="s">
        <v>14</v>
      </c>
      <c r="S25" s="702">
        <f>F25</f>
        <v>100</v>
      </c>
      <c r="T25" s="701" t="s">
        <v>14</v>
      </c>
      <c r="U25" s="702">
        <f>H25</f>
        <v>100</v>
      </c>
      <c r="V25" s="701" t="s">
        <v>14</v>
      </c>
      <c r="W25" s="702">
        <f>J25</f>
        <v>100</v>
      </c>
      <c r="X25" s="703"/>
      <c r="Y25" s="371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4"/>
      <c r="Q28" s="1351" t="str">
        <f t="shared" si="11"/>
        <v>物业等级</v>
      </c>
      <c r="R28" s="705" t="s">
        <v>14</v>
      </c>
      <c r="S28" s="706">
        <f t="shared" si="12"/>
        <v>100</v>
      </c>
      <c r="T28" s="705" t="s">
        <v>14</v>
      </c>
      <c r="U28" s="706">
        <f t="shared" si="13"/>
        <v>100</v>
      </c>
      <c r="V28" s="705" t="s">
        <v>14</v>
      </c>
      <c r="W28" s="706">
        <f t="shared" si="14"/>
        <v>100</v>
      </c>
      <c r="X28" s="1354"/>
      <c r="Y28" s="371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4"/>
      <c r="Q29" s="1351" t="str">
        <f t="shared" si="11"/>
        <v>有无电梯</v>
      </c>
      <c r="R29" s="705" t="s">
        <v>14</v>
      </c>
      <c r="S29" s="706">
        <f t="shared" si="12"/>
        <v>100</v>
      </c>
      <c r="T29" s="705" t="s">
        <v>14</v>
      </c>
      <c r="U29" s="706">
        <f t="shared" si="13"/>
        <v>100</v>
      </c>
      <c r="V29" s="705" t="s">
        <v>14</v>
      </c>
      <c r="W29" s="706">
        <f t="shared" si="14"/>
        <v>100</v>
      </c>
      <c r="X29" s="1354"/>
      <c r="Y29" s="371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4"/>
      <c r="Q30" s="1351" t="str">
        <f t="shared" si="11"/>
        <v>建筑面积</v>
      </c>
      <c r="R30" s="705" t="s">
        <v>14</v>
      </c>
      <c r="S30" s="706" t="e">
        <f t="shared" si="12"/>
        <v>#N/A</v>
      </c>
      <c r="T30" s="705" t="s">
        <v>14</v>
      </c>
      <c r="U30" s="706" t="e">
        <f t="shared" si="13"/>
        <v>#N/A</v>
      </c>
      <c r="V30" s="705" t="s">
        <v>14</v>
      </c>
      <c r="W30" s="706" t="e">
        <f t="shared" si="14"/>
        <v>#N/A</v>
      </c>
      <c r="X30" s="1354"/>
      <c r="Y30" s="371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4"/>
      <c r="Q31" s="1342"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4" t="s">
        <v>1696</v>
      </c>
      <c r="Q32" s="1351">
        <f t="shared" si="11"/>
        <v>111</v>
      </c>
      <c r="R32" s="705" t="s">
        <v>14</v>
      </c>
      <c r="S32" s="706">
        <f t="shared" si="12"/>
        <v>100</v>
      </c>
      <c r="T32" s="705" t="s">
        <v>14</v>
      </c>
      <c r="U32" s="706">
        <f t="shared" si="13"/>
        <v>100</v>
      </c>
      <c r="V32" s="705" t="s">
        <v>14</v>
      </c>
      <c r="W32" s="706">
        <f t="shared" si="14"/>
        <v>100</v>
      </c>
      <c r="X32" s="1354"/>
      <c r="Y32" s="371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4"/>
      <c r="Q33" s="1351">
        <f t="shared" si="11"/>
        <v>111</v>
      </c>
      <c r="R33" s="705" t="s">
        <v>14</v>
      </c>
      <c r="S33" s="706">
        <f t="shared" si="12"/>
        <v>100</v>
      </c>
      <c r="T33" s="705" t="s">
        <v>14</v>
      </c>
      <c r="U33" s="706">
        <f t="shared" si="13"/>
        <v>100</v>
      </c>
      <c r="V33" s="705" t="s">
        <v>14</v>
      </c>
      <c r="W33" s="706">
        <f t="shared" si="14"/>
        <v>100</v>
      </c>
      <c r="X33" s="1354"/>
      <c r="Y33" s="371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4"/>
      <c r="Q34" s="1351">
        <f t="shared" si="11"/>
        <v>111</v>
      </c>
      <c r="R34" s="705" t="s">
        <v>14</v>
      </c>
      <c r="S34" s="706">
        <f t="shared" si="12"/>
        <v>100</v>
      </c>
      <c r="T34" s="705" t="s">
        <v>14</v>
      </c>
      <c r="U34" s="706">
        <f t="shared" si="13"/>
        <v>100</v>
      </c>
      <c r="V34" s="705" t="s">
        <v>14</v>
      </c>
      <c r="W34" s="706">
        <f t="shared" si="14"/>
        <v>100</v>
      </c>
      <c r="X34" s="1354"/>
      <c r="Y34" s="371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5" t="str">
        <f>A35</f>
        <v>成交单价（元/平方米）</v>
      </c>
      <c r="Q35" s="3695"/>
      <c r="R35" s="3761">
        <f>E35</f>
        <v>0</v>
      </c>
      <c r="S35" s="3761"/>
      <c r="T35" s="3761">
        <f>G35</f>
        <v>0</v>
      </c>
      <c r="U35" s="3761"/>
      <c r="V35" s="3761">
        <f>I35</f>
        <v>0</v>
      </c>
      <c r="W35" s="3761"/>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5" t="str">
        <f>A36</f>
        <v>比较价值（元/平方米）</v>
      </c>
      <c r="Q36" s="3695"/>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0" t="str">
        <f>A37</f>
        <v>估价对象XX用房的比较价值（楼面单价，元/平方米）</v>
      </c>
      <c r="Q37" s="3731"/>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2" t="s">
        <v>1770</v>
      </c>
      <c r="D4" s="3718"/>
      <c r="E4" s="3719" t="s">
        <v>1771</v>
      </c>
      <c r="F4" s="3720"/>
      <c r="G4" s="3692" t="s">
        <v>1772</v>
      </c>
      <c r="H4" s="3718"/>
      <c r="I4" s="3692" t="s">
        <v>1773</v>
      </c>
      <c r="J4" s="3718"/>
      <c r="K4" s="559" t="s">
        <v>1774</v>
      </c>
      <c r="L4" s="2714"/>
      <c r="M4" s="2715"/>
      <c r="N4" s="2715"/>
      <c r="O4" s="2715"/>
      <c r="P4" s="3721" t="s">
        <v>1775</v>
      </c>
      <c r="Q4" s="3722"/>
      <c r="R4" s="3698" t="s">
        <v>1771</v>
      </c>
      <c r="S4" s="3699"/>
      <c r="T4" s="3698" t="s">
        <v>1772</v>
      </c>
      <c r="U4" s="3699"/>
      <c r="V4" s="3711" t="s">
        <v>1773</v>
      </c>
      <c r="W4" s="3711"/>
      <c r="X4" s="1354"/>
      <c r="Y4" s="3698" t="s">
        <v>1775</v>
      </c>
      <c r="Z4" s="3699"/>
      <c r="AA4" s="3715" t="s">
        <v>1771</v>
      </c>
      <c r="AB4" s="3716" t="s">
        <v>1772</v>
      </c>
      <c r="AC4" s="3715" t="s">
        <v>1773</v>
      </c>
    </row>
    <row r="5" spans="1:30" ht="15">
      <c r="A5" s="358"/>
      <c r="B5" s="359"/>
      <c r="C5" s="3702" t="s">
        <v>1673</v>
      </c>
      <c r="D5" s="3703"/>
      <c r="E5" s="3727" t="s">
        <v>1674</v>
      </c>
      <c r="F5" s="3728"/>
      <c r="G5" s="3702" t="s">
        <v>1675</v>
      </c>
      <c r="H5" s="3703"/>
      <c r="I5" s="3702" t="s">
        <v>1676</v>
      </c>
      <c r="J5" s="3703"/>
      <c r="K5" s="559"/>
      <c r="L5" s="2714"/>
      <c r="M5" s="2715"/>
      <c r="N5" s="2715"/>
      <c r="O5" s="2715"/>
      <c r="P5" s="3723"/>
      <c r="Q5" s="3724"/>
      <c r="R5" s="3700"/>
      <c r="S5" s="3701"/>
      <c r="T5" s="3700"/>
      <c r="U5" s="3701"/>
      <c r="V5" s="3711"/>
      <c r="W5" s="3711"/>
      <c r="X5" s="1354"/>
      <c r="Y5" s="3700"/>
      <c r="Z5" s="3701"/>
      <c r="AA5" s="3716"/>
      <c r="AB5" s="3716"/>
      <c r="AC5" s="3716"/>
    </row>
    <row r="6" spans="1:30" ht="15.75" thickBot="1">
      <c r="A6" s="360"/>
      <c r="B6" s="361"/>
      <c r="C6" s="3768" t="s">
        <v>1677</v>
      </c>
      <c r="D6" s="3769"/>
      <c r="E6" s="3770" t="s">
        <v>1677</v>
      </c>
      <c r="F6" s="3771"/>
      <c r="G6" s="3768" t="s">
        <v>1677</v>
      </c>
      <c r="H6" s="3769"/>
      <c r="I6" s="3768" t="s">
        <v>1677</v>
      </c>
      <c r="J6" s="3769"/>
      <c r="K6" s="559" t="s">
        <v>1678</v>
      </c>
      <c r="L6" s="2714"/>
      <c r="M6" s="2715"/>
      <c r="N6" s="2715"/>
      <c r="O6" s="2715"/>
      <c r="P6" s="3725"/>
      <c r="Q6" s="3726"/>
      <c r="R6" s="3700"/>
      <c r="S6" s="3701"/>
      <c r="T6" s="3709"/>
      <c r="U6" s="3710"/>
      <c r="V6" s="3711"/>
      <c r="W6" s="3711"/>
      <c r="X6" s="1354"/>
      <c r="Y6" s="3709"/>
      <c r="Z6" s="3710"/>
      <c r="AA6" s="3717"/>
      <c r="AB6" s="3717"/>
      <c r="AC6" s="3717"/>
    </row>
    <row r="7" spans="1:30" s="108" customFormat="1" ht="15.75" thickBot="1">
      <c r="A7" s="362" t="s">
        <v>1679</v>
      </c>
      <c r="B7" s="363"/>
      <c r="C7" s="364">
        <f>'数据-取费表'!B2</f>
        <v>45763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6" t="s">
        <v>1680</v>
      </c>
      <c r="Q7" s="3706"/>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5" t="s">
        <v>1686</v>
      </c>
      <c r="Q9" s="1342"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695"/>
      <c r="Q10" s="1342" t="str">
        <f t="shared" si="6"/>
        <v>土地使用年限（年）</v>
      </c>
      <c r="R10" s="701" t="s">
        <v>14</v>
      </c>
      <c r="S10" s="702">
        <f t="shared" si="0"/>
        <v>113</v>
      </c>
      <c r="T10" s="701" t="s">
        <v>14</v>
      </c>
      <c r="U10" s="702">
        <f t="shared" si="1"/>
        <v>113</v>
      </c>
      <c r="V10" s="701" t="s">
        <v>14</v>
      </c>
      <c r="W10" s="702">
        <f t="shared" si="2"/>
        <v>113</v>
      </c>
      <c r="X10" s="703"/>
      <c r="Y10" s="3577"/>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5"/>
      <c r="Q11" s="1342"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5"/>
      <c r="Q12" s="1342"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5"/>
      <c r="Q14" s="1342">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2" t="s">
        <v>1691</v>
      </c>
      <c r="Q15" s="1351" t="str">
        <f t="shared" si="6"/>
        <v>居住社区成熟度</v>
      </c>
      <c r="R15" s="705" t="s">
        <v>14</v>
      </c>
      <c r="S15" s="706">
        <f t="shared" si="0"/>
        <v>100</v>
      </c>
      <c r="T15" s="705" t="s">
        <v>14</v>
      </c>
      <c r="U15" s="706">
        <f t="shared" si="1"/>
        <v>100</v>
      </c>
      <c r="V15" s="705" t="s">
        <v>14</v>
      </c>
      <c r="W15" s="706">
        <f t="shared" si="2"/>
        <v>100</v>
      </c>
      <c r="X15" s="1354"/>
      <c r="Y15" s="371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3"/>
      <c r="Q16" s="1351"/>
      <c r="R16" s="705"/>
      <c r="S16" s="706"/>
      <c r="T16" s="705"/>
      <c r="U16" s="706"/>
      <c r="V16" s="705"/>
      <c r="W16" s="706"/>
      <c r="X16" s="1354"/>
      <c r="Y16" s="371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3"/>
      <c r="Q17" s="1351" t="str">
        <f>B17</f>
        <v>商业繁华度</v>
      </c>
      <c r="R17" s="705" t="s">
        <v>14</v>
      </c>
      <c r="S17" s="706">
        <f>F17</f>
        <v>100</v>
      </c>
      <c r="T17" s="705" t="s">
        <v>14</v>
      </c>
      <c r="U17" s="706">
        <f>H17</f>
        <v>100</v>
      </c>
      <c r="V17" s="705" t="s">
        <v>14</v>
      </c>
      <c r="W17" s="706">
        <f>J17</f>
        <v>100</v>
      </c>
      <c r="X17" s="1354"/>
      <c r="Y17" s="371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3"/>
      <c r="Q18" s="1351"/>
      <c r="R18" s="705"/>
      <c r="S18" s="706"/>
      <c r="T18" s="705"/>
      <c r="U18" s="706"/>
      <c r="V18" s="705"/>
      <c r="W18" s="706"/>
      <c r="X18" s="1354"/>
      <c r="Y18" s="371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3"/>
      <c r="Q19" s="1351" t="str">
        <f>B19</f>
        <v>办公集聚程度</v>
      </c>
      <c r="R19" s="705" t="s">
        <v>14</v>
      </c>
      <c r="S19" s="706">
        <f>F19</f>
        <v>100</v>
      </c>
      <c r="T19" s="705" t="s">
        <v>14</v>
      </c>
      <c r="U19" s="706">
        <f>H19</f>
        <v>100</v>
      </c>
      <c r="V19" s="705" t="s">
        <v>14</v>
      </c>
      <c r="W19" s="706">
        <f>J19</f>
        <v>100</v>
      </c>
      <c r="X19" s="1354"/>
      <c r="Y19" s="371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3"/>
      <c r="Q20" s="1351"/>
      <c r="R20" s="705"/>
      <c r="S20" s="706"/>
      <c r="T20" s="705"/>
      <c r="U20" s="706"/>
      <c r="V20" s="705"/>
      <c r="W20" s="706"/>
      <c r="X20" s="1354"/>
      <c r="Y20" s="371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3"/>
      <c r="Q21" s="1351" t="str">
        <f>B21</f>
        <v>交通便捷度</v>
      </c>
      <c r="R21" s="705" t="s">
        <v>14</v>
      </c>
      <c r="S21" s="706">
        <f>F21</f>
        <v>100</v>
      </c>
      <c r="T21" s="705" t="s">
        <v>14</v>
      </c>
      <c r="U21" s="706">
        <f>H21</f>
        <v>100</v>
      </c>
      <c r="V21" s="705" t="s">
        <v>14</v>
      </c>
      <c r="W21" s="706">
        <f>J21</f>
        <v>100</v>
      </c>
      <c r="X21" s="1354"/>
      <c r="Y21" s="3713"/>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13"/>
      <c r="Q22" s="1351"/>
      <c r="R22" s="705"/>
      <c r="S22" s="706"/>
      <c r="T22" s="705"/>
      <c r="U22" s="706"/>
      <c r="V22" s="705"/>
      <c r="W22" s="706"/>
      <c r="X22" s="1354"/>
      <c r="Y22" s="371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3"/>
      <c r="Q23" s="1351" t="str">
        <f t="shared" ref="Q23:Q37" si="8">B23</f>
        <v>区域土地利用方向</v>
      </c>
      <c r="R23" s="705" t="s">
        <v>14</v>
      </c>
      <c r="S23" s="706">
        <f>F23</f>
        <v>100</v>
      </c>
      <c r="T23" s="705" t="s">
        <v>14</v>
      </c>
      <c r="U23" s="706">
        <f>H23</f>
        <v>100</v>
      </c>
      <c r="V23" s="705" t="s">
        <v>14</v>
      </c>
      <c r="W23" s="706">
        <f>J23</f>
        <v>100</v>
      </c>
      <c r="X23" s="1354"/>
      <c r="Y23" s="371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13"/>
      <c r="Q24" s="1351"/>
      <c r="R24" s="705"/>
      <c r="S24" s="706"/>
      <c r="T24" s="705"/>
      <c r="U24" s="706"/>
      <c r="V24" s="705"/>
      <c r="W24" s="706"/>
      <c r="X24" s="1354"/>
      <c r="Y24" s="3713"/>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3"/>
      <c r="Q25" s="1351" t="str">
        <f t="shared" si="8"/>
        <v>自然及人文环境状况</v>
      </c>
      <c r="R25" s="705" t="s">
        <v>14</v>
      </c>
      <c r="S25" s="706">
        <f>F25</f>
        <v>100</v>
      </c>
      <c r="T25" s="705" t="s">
        <v>14</v>
      </c>
      <c r="U25" s="706">
        <f>H25</f>
        <v>100</v>
      </c>
      <c r="V25" s="705" t="s">
        <v>14</v>
      </c>
      <c r="W25" s="706">
        <f>J25</f>
        <v>100</v>
      </c>
      <c r="X25" s="1354"/>
      <c r="Y25" s="371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3"/>
      <c r="Q26" s="1351"/>
      <c r="R26" s="705"/>
      <c r="S26" s="706"/>
      <c r="T26" s="705"/>
      <c r="U26" s="706"/>
      <c r="V26" s="705"/>
      <c r="W26" s="706"/>
      <c r="X26" s="1354"/>
      <c r="Y26" s="3713"/>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3"/>
      <c r="Q27" s="1342" t="str">
        <f t="shared" si="8"/>
        <v>公共配套设施</v>
      </c>
      <c r="R27" s="701" t="s">
        <v>14</v>
      </c>
      <c r="S27" s="702">
        <f>F27</f>
        <v>100</v>
      </c>
      <c r="T27" s="701" t="s">
        <v>14</v>
      </c>
      <c r="U27" s="702">
        <f>H27</f>
        <v>100</v>
      </c>
      <c r="V27" s="701" t="s">
        <v>14</v>
      </c>
      <c r="W27" s="702">
        <f>J27</f>
        <v>100</v>
      </c>
      <c r="X27" s="703"/>
      <c r="Y27" s="371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3"/>
      <c r="Q28" s="1342"/>
      <c r="R28" s="701"/>
      <c r="S28" s="702"/>
      <c r="T28" s="701"/>
      <c r="U28" s="702"/>
      <c r="V28" s="701"/>
      <c r="W28" s="702"/>
      <c r="X28" s="703"/>
      <c r="Y28" s="3713"/>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3"/>
      <c r="Q29" s="1342"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3"/>
      <c r="Q30" s="1342"/>
      <c r="R30" s="701"/>
      <c r="S30" s="702"/>
      <c r="T30" s="701"/>
      <c r="U30" s="702"/>
      <c r="V30" s="701"/>
      <c r="W30" s="702"/>
      <c r="X30" s="703"/>
      <c r="Y30" s="371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3"/>
      <c r="Q32" s="1351" t="str">
        <f t="shared" si="8"/>
        <v>毗邻道路的类型与等级</v>
      </c>
      <c r="R32" s="705" t="s">
        <v>14</v>
      </c>
      <c r="S32" s="706">
        <f t="shared" si="10"/>
        <v>100</v>
      </c>
      <c r="T32" s="705" t="s">
        <v>14</v>
      </c>
      <c r="U32" s="706">
        <f t="shared" si="11"/>
        <v>100</v>
      </c>
      <c r="V32" s="705" t="s">
        <v>14</v>
      </c>
      <c r="W32" s="706">
        <f t="shared" si="12"/>
        <v>100</v>
      </c>
      <c r="X32" s="1354"/>
      <c r="Y32" s="371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3"/>
      <c r="Q33" s="1351"/>
      <c r="R33" s="705"/>
      <c r="S33" s="706"/>
      <c r="T33" s="705"/>
      <c r="U33" s="706"/>
      <c r="V33" s="705"/>
      <c r="W33" s="706"/>
      <c r="X33" s="1354"/>
      <c r="Y33" s="371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3"/>
      <c r="Q34" s="1351" t="str">
        <f t="shared" si="8"/>
        <v>土地级别</v>
      </c>
      <c r="R34" s="705" t="s">
        <v>14</v>
      </c>
      <c r="S34" s="706">
        <f t="shared" si="10"/>
        <v>100</v>
      </c>
      <c r="T34" s="705" t="s">
        <v>14</v>
      </c>
      <c r="U34" s="706">
        <f t="shared" si="11"/>
        <v>100</v>
      </c>
      <c r="V34" s="705" t="s">
        <v>14</v>
      </c>
      <c r="W34" s="706">
        <f t="shared" si="12"/>
        <v>100</v>
      </c>
      <c r="X34" s="1354"/>
      <c r="Y34" s="371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3"/>
      <c r="Q35" s="1351">
        <f t="shared" si="8"/>
        <v>111</v>
      </c>
      <c r="R35" s="705" t="s">
        <v>14</v>
      </c>
      <c r="S35" s="706">
        <f t="shared" si="10"/>
        <v>100</v>
      </c>
      <c r="T35" s="705" t="s">
        <v>14</v>
      </c>
      <c r="U35" s="706">
        <f t="shared" si="11"/>
        <v>100</v>
      </c>
      <c r="V35" s="705" t="s">
        <v>14</v>
      </c>
      <c r="W35" s="706">
        <f t="shared" si="12"/>
        <v>100</v>
      </c>
      <c r="X35" s="1354"/>
      <c r="Y35" s="371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1">
        <f t="shared" si="8"/>
        <v>111</v>
      </c>
      <c r="R36" s="705" t="s">
        <v>14</v>
      </c>
      <c r="S36" s="706">
        <f t="shared" si="10"/>
        <v>100</v>
      </c>
      <c r="T36" s="705" t="s">
        <v>14</v>
      </c>
      <c r="U36" s="706">
        <f t="shared" si="11"/>
        <v>100</v>
      </c>
      <c r="V36" s="705" t="s">
        <v>14</v>
      </c>
      <c r="W36" s="706">
        <f t="shared" si="12"/>
        <v>100</v>
      </c>
      <c r="X36" s="1354"/>
      <c r="Y36" s="371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4"/>
      <c r="Q37" s="1351">
        <f t="shared" si="8"/>
        <v>111</v>
      </c>
      <c r="R37" s="708" t="s">
        <v>14</v>
      </c>
      <c r="S37" s="709">
        <f t="shared" si="10"/>
        <v>100</v>
      </c>
      <c r="T37" s="708" t="s">
        <v>14</v>
      </c>
      <c r="U37" s="709">
        <f t="shared" si="11"/>
        <v>100</v>
      </c>
      <c r="V37" s="708" t="s">
        <v>14</v>
      </c>
      <c r="W37" s="709">
        <f t="shared" si="12"/>
        <v>100</v>
      </c>
      <c r="X37" s="710"/>
      <c r="Y37" s="371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4"/>
      <c r="Q38" s="1351" t="str">
        <f>B38</f>
        <v>宗地面积</v>
      </c>
      <c r="R38" s="705" t="s">
        <v>14</v>
      </c>
      <c r="S38" s="706" t="e">
        <f t="shared" si="10"/>
        <v>#N/A</v>
      </c>
      <c r="T38" s="705" t="s">
        <v>14</v>
      </c>
      <c r="U38" s="706" t="e">
        <f t="shared" si="11"/>
        <v>#N/A</v>
      </c>
      <c r="V38" s="705" t="s">
        <v>14</v>
      </c>
      <c r="W38" s="706" t="e">
        <f t="shared" si="12"/>
        <v>#N/A</v>
      </c>
      <c r="X38" s="1354"/>
      <c r="Y38" s="371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4"/>
      <c r="Q39" s="1351" t="str">
        <f t="shared" ref="Q39:Q45" si="14">B39</f>
        <v>宗地形状</v>
      </c>
      <c r="R39" s="705" t="s">
        <v>14</v>
      </c>
      <c r="S39" s="706">
        <f t="shared" si="10"/>
        <v>100</v>
      </c>
      <c r="T39" s="705" t="s">
        <v>14</v>
      </c>
      <c r="U39" s="706">
        <f t="shared" si="11"/>
        <v>100</v>
      </c>
      <c r="V39" s="705" t="s">
        <v>14</v>
      </c>
      <c r="W39" s="706">
        <f t="shared" si="12"/>
        <v>100</v>
      </c>
      <c r="X39" s="1354"/>
      <c r="Y39" s="371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4"/>
      <c r="Q40" s="1351" t="str">
        <f t="shared" si="14"/>
        <v>临街宽度及深度</v>
      </c>
      <c r="R40" s="705" t="s">
        <v>14</v>
      </c>
      <c r="S40" s="706">
        <f t="shared" si="10"/>
        <v>100</v>
      </c>
      <c r="T40" s="705" t="s">
        <v>14</v>
      </c>
      <c r="U40" s="706">
        <f t="shared" si="11"/>
        <v>100</v>
      </c>
      <c r="V40" s="705" t="s">
        <v>14</v>
      </c>
      <c r="W40" s="706">
        <f t="shared" si="12"/>
        <v>100</v>
      </c>
      <c r="X40" s="1354"/>
      <c r="Y40" s="371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4"/>
      <c r="Q41" s="1351"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4" t="s">
        <v>1696</v>
      </c>
      <c r="Q42" s="1351" t="str">
        <f t="shared" si="14"/>
        <v>工程地质条件</v>
      </c>
      <c r="R42" s="705" t="s">
        <v>14</v>
      </c>
      <c r="S42" s="706">
        <f t="shared" si="10"/>
        <v>100</v>
      </c>
      <c r="T42" s="705" t="s">
        <v>14</v>
      </c>
      <c r="U42" s="706">
        <f t="shared" si="11"/>
        <v>100</v>
      </c>
      <c r="V42" s="705" t="s">
        <v>14</v>
      </c>
      <c r="W42" s="706">
        <f t="shared" si="12"/>
        <v>100</v>
      </c>
      <c r="X42" s="1354"/>
      <c r="Y42" s="371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4"/>
      <c r="Q43" s="1351">
        <f t="shared" si="14"/>
        <v>111</v>
      </c>
      <c r="R43" s="705" t="s">
        <v>14</v>
      </c>
      <c r="S43" s="706">
        <f t="shared" si="10"/>
        <v>100</v>
      </c>
      <c r="T43" s="705" t="s">
        <v>14</v>
      </c>
      <c r="U43" s="706">
        <f t="shared" si="11"/>
        <v>100</v>
      </c>
      <c r="V43" s="705" t="s">
        <v>14</v>
      </c>
      <c r="W43" s="706">
        <f t="shared" si="12"/>
        <v>100</v>
      </c>
      <c r="X43" s="1354"/>
      <c r="Y43" s="371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4"/>
      <c r="Q44" s="1351">
        <f t="shared" si="14"/>
        <v>111</v>
      </c>
      <c r="R44" s="705" t="s">
        <v>14</v>
      </c>
      <c r="S44" s="706">
        <f t="shared" si="10"/>
        <v>100</v>
      </c>
      <c r="T44" s="705" t="s">
        <v>14</v>
      </c>
      <c r="U44" s="706">
        <f t="shared" si="11"/>
        <v>100</v>
      </c>
      <c r="V44" s="705" t="s">
        <v>14</v>
      </c>
      <c r="W44" s="706">
        <f t="shared" si="12"/>
        <v>100</v>
      </c>
      <c r="X44" s="1354"/>
      <c r="Y44" s="3714"/>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4"/>
      <c r="Q45" s="1351">
        <f t="shared" si="14"/>
        <v>111</v>
      </c>
      <c r="R45" s="708" t="s">
        <v>14</v>
      </c>
      <c r="S45" s="709">
        <f t="shared" si="10"/>
        <v>100</v>
      </c>
      <c r="T45" s="708" t="s">
        <v>14</v>
      </c>
      <c r="U45" s="709">
        <f t="shared" si="11"/>
        <v>100</v>
      </c>
      <c r="V45" s="708" t="s">
        <v>14</v>
      </c>
      <c r="W45" s="709">
        <f t="shared" si="12"/>
        <v>100</v>
      </c>
      <c r="X45" s="710"/>
      <c r="Y45" s="3714"/>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95" t="str">
        <f>A46</f>
        <v>成交单价</v>
      </c>
      <c r="Q46" s="3695"/>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5" t="str">
        <f>A47</f>
        <v>比较价值（元/平方米）</v>
      </c>
      <c r="Q47" s="369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0" t="str">
        <f>A48</f>
        <v>估价对象XX用房的比较价值（楼面单价，元/平方米）</v>
      </c>
      <c r="Q48" s="3731"/>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2" t="s">
        <v>1887</v>
      </c>
      <c r="H55" s="369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7385.119999999999</v>
      </c>
      <c r="F56" s="886" t="e">
        <f t="shared" ref="F56:F64" si="15">ROUND(B56*E56/10000,0)</f>
        <v>#DIV/0!</v>
      </c>
      <c r="G56" s="3694"/>
      <c r="H56" s="369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7385.119999999999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1024</v>
      </c>
      <c r="C2" s="2144" t="s">
        <v>2074</v>
      </c>
      <c r="D2" s="2144" t="s">
        <v>2075</v>
      </c>
      <c r="E2" s="2611">
        <f ca="1">SUMIF(E6:E13,"&lt;&gt;#ref!",E6:E13)</f>
        <v>7385.119999999999</v>
      </c>
      <c r="F2" s="2792"/>
      <c r="G2" s="2792"/>
      <c r="H2" s="2792"/>
      <c r="I2" s="2792"/>
      <c r="J2" s="2792"/>
      <c r="K2" s="2792"/>
      <c r="L2" s="2792"/>
      <c r="M2" s="2792"/>
      <c r="N2" s="2792"/>
      <c r="O2" s="2792"/>
      <c r="P2" s="2792"/>
    </row>
    <row r="3" spans="1:16" ht="15.75">
      <c r="A3" s="2144" t="s">
        <v>2076</v>
      </c>
      <c r="B3" s="2601">
        <f ca="1">ROUND(B2*10000/E2,0)</f>
        <v>1387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1024</v>
      </c>
      <c r="C6" s="2144" t="s">
        <v>2074</v>
      </c>
      <c r="D6" s="2792"/>
      <c r="E6" s="2611">
        <f ca="1">SUMIF(INDIRECT("'"&amp;A6&amp;"'"&amp;"!C:C"),"建筑面积",INDIRECT("'"&amp;A6&amp;"'"&amp;"!D:D"))</f>
        <v>7385.119999999999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3" t="s">
        <v>2607</v>
      </c>
      <c r="B20" s="3798" t="s">
        <v>2628</v>
      </c>
      <c r="C20" s="3102" t="s">
        <v>2439</v>
      </c>
      <c r="D20" s="3103"/>
      <c r="E20" s="3104">
        <v>1</v>
      </c>
      <c r="F20" s="3105" t="s">
        <v>2440</v>
      </c>
      <c r="G20" s="3105"/>
    </row>
    <row r="21" spans="1:13" ht="19.5" customHeight="1">
      <c r="A21" s="3804"/>
      <c r="B21" s="3797"/>
      <c r="C21" s="3106" t="s">
        <v>2441</v>
      </c>
      <c r="D21" s="3107"/>
      <c r="E21" s="3108">
        <v>1</v>
      </c>
      <c r="F21" s="3105" t="s">
        <v>2442</v>
      </c>
      <c r="G21" s="3105"/>
    </row>
    <row r="22" spans="1:13" ht="19.5" customHeight="1">
      <c r="A22" s="3804"/>
      <c r="B22" s="3797"/>
      <c r="C22" s="3106" t="s">
        <v>2443</v>
      </c>
      <c r="D22" s="3107"/>
      <c r="E22" s="3108">
        <v>0.9</v>
      </c>
      <c r="F22" s="3105" t="s">
        <v>2444</v>
      </c>
      <c r="G22" s="3105"/>
    </row>
    <row r="23" spans="1:13" ht="19.5" customHeight="1">
      <c r="A23" s="3804"/>
      <c r="B23" s="3797"/>
      <c r="C23" s="3106" t="s">
        <v>2445</v>
      </c>
      <c r="D23" s="3107"/>
      <c r="E23" s="3108">
        <v>0.9</v>
      </c>
      <c r="F23" s="3105" t="s">
        <v>2446</v>
      </c>
      <c r="G23" s="3105"/>
    </row>
    <row r="24" spans="1:13" ht="19.5" customHeight="1">
      <c r="A24" s="3804"/>
      <c r="B24" s="3797"/>
      <c r="C24" s="3106" t="s">
        <v>2447</v>
      </c>
      <c r="D24" s="3107"/>
      <c r="E24" s="3108">
        <v>0.8</v>
      </c>
      <c r="F24" s="3105" t="s">
        <v>2448</v>
      </c>
      <c r="G24" s="3105"/>
    </row>
    <row r="25" spans="1:13" ht="19.5" customHeight="1" thickBot="1">
      <c r="A25" s="3805"/>
      <c r="B25" s="379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00" t="s">
        <v>2631</v>
      </c>
      <c r="B27" s="3798" t="s">
        <v>2612</v>
      </c>
      <c r="C27" s="3102" t="s">
        <v>2452</v>
      </c>
      <c r="D27" s="3103"/>
      <c r="E27" s="3104">
        <v>1</v>
      </c>
      <c r="F27" s="3105" t="s">
        <v>2453</v>
      </c>
      <c r="G27" s="3105"/>
    </row>
    <row r="28" spans="1:13" ht="19.5" customHeight="1">
      <c r="A28" s="3801"/>
      <c r="B28" s="3797"/>
      <c r="C28" s="3106" t="s">
        <v>2454</v>
      </c>
      <c r="D28" s="3107"/>
      <c r="E28" s="3108">
        <v>1</v>
      </c>
      <c r="F28" s="3105" t="s">
        <v>2455</v>
      </c>
      <c r="G28" s="3105"/>
    </row>
    <row r="29" spans="1:13" ht="19.5" customHeight="1">
      <c r="A29" s="3801"/>
      <c r="B29" s="3797"/>
      <c r="C29" s="3106" t="s">
        <v>2456</v>
      </c>
      <c r="D29" s="3107"/>
      <c r="E29" s="3108">
        <v>0.8</v>
      </c>
      <c r="F29" s="3105" t="s">
        <v>2457</v>
      </c>
      <c r="G29" s="3105"/>
    </row>
    <row r="30" spans="1:13" ht="19.5" customHeight="1">
      <c r="A30" s="3801"/>
      <c r="B30" s="3797"/>
      <c r="C30" s="3106" t="s">
        <v>2458</v>
      </c>
      <c r="D30" s="3107"/>
      <c r="E30" s="3108">
        <v>0.8</v>
      </c>
      <c r="F30" s="3105" t="s">
        <v>2459</v>
      </c>
      <c r="G30" s="3105"/>
    </row>
    <row r="31" spans="1:13" ht="19.5" customHeight="1">
      <c r="A31" s="3801"/>
      <c r="B31" s="3797"/>
      <c r="C31" s="3106" t="s">
        <v>2460</v>
      </c>
      <c r="D31" s="3107"/>
      <c r="E31" s="3108">
        <v>0.8</v>
      </c>
      <c r="F31" s="3105" t="s">
        <v>2461</v>
      </c>
      <c r="G31" s="3105"/>
    </row>
    <row r="32" spans="1:13" ht="19.5" customHeight="1">
      <c r="A32" s="3801"/>
      <c r="B32" s="3797"/>
      <c r="C32" s="3106" t="s">
        <v>2462</v>
      </c>
      <c r="D32" s="3107"/>
      <c r="E32" s="3108">
        <v>0.7</v>
      </c>
      <c r="F32" s="3105" t="s">
        <v>2463</v>
      </c>
      <c r="G32" s="3105"/>
    </row>
    <row r="33" spans="1:7" ht="19.5" customHeight="1">
      <c r="A33" s="3801"/>
      <c r="B33" s="3797"/>
      <c r="C33" s="3106" t="s">
        <v>2464</v>
      </c>
      <c r="D33" s="3107"/>
      <c r="E33" s="3108">
        <v>0.8</v>
      </c>
      <c r="F33" s="3105" t="s">
        <v>2465</v>
      </c>
      <c r="G33" s="3105"/>
    </row>
    <row r="34" spans="1:7" ht="19.5" customHeight="1">
      <c r="A34" s="3801"/>
      <c r="B34" s="3797"/>
      <c r="C34" s="3106" t="s">
        <v>2466</v>
      </c>
      <c r="D34" s="3107"/>
      <c r="E34" s="3108">
        <v>0.6</v>
      </c>
      <c r="F34" s="3105" t="s">
        <v>2467</v>
      </c>
      <c r="G34" s="3105"/>
    </row>
    <row r="35" spans="1:7" ht="19.5" customHeight="1">
      <c r="A35" s="3801"/>
      <c r="B35" s="3797"/>
      <c r="C35" s="3106" t="s">
        <v>2468</v>
      </c>
      <c r="D35" s="3107"/>
      <c r="E35" s="3108">
        <v>0.2</v>
      </c>
      <c r="F35" s="3105" t="s">
        <v>2469</v>
      </c>
      <c r="G35" s="3105"/>
    </row>
    <row r="36" spans="1:7" ht="19.5" customHeight="1">
      <c r="A36" s="3801"/>
      <c r="B36" s="3797"/>
      <c r="C36" s="3106" t="s">
        <v>2470</v>
      </c>
      <c r="D36" s="3107"/>
      <c r="E36" s="3108">
        <v>0.2</v>
      </c>
      <c r="F36" s="3105" t="s">
        <v>2471</v>
      </c>
      <c r="G36" s="3105"/>
    </row>
    <row r="37" spans="1:7" ht="19.5" customHeight="1">
      <c r="A37" s="3801"/>
      <c r="B37" s="3795" t="s">
        <v>2632</v>
      </c>
      <c r="C37" s="3106" t="s">
        <v>2472</v>
      </c>
      <c r="D37" s="3107"/>
      <c r="E37" s="3108">
        <v>0.6</v>
      </c>
      <c r="F37" s="3105" t="s">
        <v>2473</v>
      </c>
      <c r="G37" s="3105"/>
    </row>
    <row r="38" spans="1:7" ht="19.5" customHeight="1">
      <c r="A38" s="3801"/>
      <c r="B38" s="3797"/>
      <c r="C38" s="3106" t="s">
        <v>2474</v>
      </c>
      <c r="D38" s="3107"/>
      <c r="E38" s="3108">
        <v>0.6</v>
      </c>
      <c r="F38" s="3105" t="s">
        <v>2475</v>
      </c>
      <c r="G38" s="3105"/>
    </row>
    <row r="39" spans="1:7" ht="19.5" customHeight="1" thickBot="1">
      <c r="A39" s="3802"/>
      <c r="B39" s="379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3" t="s">
        <v>2610</v>
      </c>
      <c r="B41" s="3798" t="s">
        <v>2634</v>
      </c>
      <c r="C41" s="3102" t="s">
        <v>2479</v>
      </c>
      <c r="D41" s="3103"/>
      <c r="E41" s="3104">
        <v>1</v>
      </c>
      <c r="F41" s="3105" t="s">
        <v>2480</v>
      </c>
      <c r="G41" s="3105"/>
    </row>
    <row r="42" spans="1:7" ht="19.5" customHeight="1">
      <c r="A42" s="3804"/>
      <c r="B42" s="3797"/>
      <c r="C42" s="3106" t="s">
        <v>2481</v>
      </c>
      <c r="D42" s="3107"/>
      <c r="E42" s="3108">
        <v>1</v>
      </c>
      <c r="F42" s="3105" t="s">
        <v>2482</v>
      </c>
      <c r="G42" s="3105"/>
    </row>
    <row r="43" spans="1:7" ht="19.5" customHeight="1">
      <c r="A43" s="3804"/>
      <c r="B43" s="3796"/>
      <c r="C43" s="3106" t="s">
        <v>2483</v>
      </c>
      <c r="D43" s="3107"/>
      <c r="E43" s="3108">
        <v>1.5</v>
      </c>
      <c r="F43" s="3105" t="s">
        <v>2484</v>
      </c>
      <c r="G43" s="3105"/>
    </row>
    <row r="44" spans="1:7" ht="19.5" customHeight="1">
      <c r="A44" s="3804"/>
      <c r="B44" s="3117" t="s">
        <v>2635</v>
      </c>
      <c r="C44" s="3106" t="s">
        <v>2636</v>
      </c>
      <c r="D44" s="3107"/>
      <c r="E44" s="3108">
        <v>2</v>
      </c>
      <c r="F44" s="3105" t="s">
        <v>2485</v>
      </c>
      <c r="G44" s="3105"/>
    </row>
    <row r="45" spans="1:7" ht="19.5" customHeight="1">
      <c r="A45" s="3804"/>
      <c r="B45" s="3795" t="s">
        <v>2637</v>
      </c>
      <c r="C45" s="3106" t="s">
        <v>2486</v>
      </c>
      <c r="D45" s="3107"/>
      <c r="E45" s="3108">
        <v>1</v>
      </c>
      <c r="F45" s="3105" t="s">
        <v>2487</v>
      </c>
      <c r="G45" s="3105"/>
    </row>
    <row r="46" spans="1:7" ht="19.5" customHeight="1">
      <c r="A46" s="3804"/>
      <c r="B46" s="3797"/>
      <c r="C46" s="3106" t="s">
        <v>2488</v>
      </c>
      <c r="D46" s="3107"/>
      <c r="E46" s="3108">
        <v>1</v>
      </c>
      <c r="F46" s="3105" t="s">
        <v>2489</v>
      </c>
      <c r="G46" s="3105"/>
    </row>
    <row r="47" spans="1:7" ht="19.5" customHeight="1">
      <c r="A47" s="3804"/>
      <c r="B47" s="3797"/>
      <c r="C47" s="3106" t="s">
        <v>2490</v>
      </c>
      <c r="D47" s="3107"/>
      <c r="E47" s="3108">
        <v>1</v>
      </c>
      <c r="F47" s="3105" t="s">
        <v>2491</v>
      </c>
      <c r="G47" s="3105"/>
    </row>
    <row r="48" spans="1:7" ht="19.5" customHeight="1">
      <c r="A48" s="3804"/>
      <c r="B48" s="3797"/>
      <c r="C48" s="3106" t="s">
        <v>2492</v>
      </c>
      <c r="D48" s="3107"/>
      <c r="E48" s="3108">
        <v>1</v>
      </c>
      <c r="F48" s="3105" t="s">
        <v>2493</v>
      </c>
      <c r="G48" s="3105"/>
    </row>
    <row r="49" spans="1:7" ht="19.5" customHeight="1">
      <c r="A49" s="3804"/>
      <c r="B49" s="3797"/>
      <c r="C49" s="3106" t="s">
        <v>2494</v>
      </c>
      <c r="D49" s="3107"/>
      <c r="E49" s="3108">
        <v>1</v>
      </c>
      <c r="F49" s="3105" t="s">
        <v>2495</v>
      </c>
      <c r="G49" s="3105"/>
    </row>
    <row r="50" spans="1:7" ht="19.5" customHeight="1">
      <c r="A50" s="3804"/>
      <c r="B50" s="3797"/>
      <c r="C50" s="3106" t="s">
        <v>2496</v>
      </c>
      <c r="D50" s="3107"/>
      <c r="E50" s="3108">
        <v>1</v>
      </c>
      <c r="F50" s="3105" t="s">
        <v>2497</v>
      </c>
      <c r="G50" s="3105"/>
    </row>
    <row r="51" spans="1:7" ht="19.5" customHeight="1" thickBot="1">
      <c r="A51" s="3805"/>
      <c r="B51" s="379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5" t="s">
        <v>2651</v>
      </c>
      <c r="C73" s="3091" t="s">
        <v>2652</v>
      </c>
      <c r="D73" s="3091" t="s">
        <v>2653</v>
      </c>
      <c r="E73" s="3117">
        <v>0.2</v>
      </c>
      <c r="F73" s="3117">
        <v>25</v>
      </c>
    </row>
    <row r="74" spans="1:7" ht="24">
      <c r="A74" s="3117">
        <v>2</v>
      </c>
      <c r="B74" s="3797"/>
      <c r="C74" s="3091" t="s">
        <v>2654</v>
      </c>
      <c r="D74" s="3091" t="s">
        <v>2655</v>
      </c>
      <c r="E74" s="3117">
        <v>0.2</v>
      </c>
      <c r="F74" s="3117">
        <v>25</v>
      </c>
    </row>
    <row r="75" spans="1:7" ht="24">
      <c r="A75" s="3117">
        <v>3</v>
      </c>
      <c r="B75" s="3797"/>
      <c r="C75" s="3091" t="s">
        <v>2656</v>
      </c>
      <c r="D75" s="3091" t="s">
        <v>2657</v>
      </c>
      <c r="E75" s="3117">
        <v>0.2</v>
      </c>
      <c r="F75" s="3117">
        <v>25</v>
      </c>
    </row>
    <row r="76" spans="1:7" ht="13.5">
      <c r="A76" s="3117">
        <v>4</v>
      </c>
      <c r="B76" s="3797"/>
      <c r="C76" s="3091" t="s">
        <v>2658</v>
      </c>
      <c r="D76" s="3091" t="s">
        <v>2659</v>
      </c>
      <c r="E76" s="3117">
        <v>0.15</v>
      </c>
      <c r="F76" s="3117">
        <v>20</v>
      </c>
    </row>
    <row r="77" spans="1:7" ht="24">
      <c r="A77" s="3117">
        <v>5</v>
      </c>
      <c r="B77" s="3797"/>
      <c r="C77" s="3091" t="s">
        <v>2660</v>
      </c>
      <c r="D77" s="3091" t="s">
        <v>2661</v>
      </c>
      <c r="E77" s="3117">
        <v>0.15</v>
      </c>
      <c r="F77" s="3117">
        <v>20</v>
      </c>
    </row>
    <row r="78" spans="1:7" ht="24">
      <c r="A78" s="3117">
        <v>6</v>
      </c>
      <c r="B78" s="3797"/>
      <c r="C78" s="3091" t="s">
        <v>2662</v>
      </c>
      <c r="D78" s="3091" t="s">
        <v>2663</v>
      </c>
      <c r="E78" s="3117">
        <v>0.15</v>
      </c>
      <c r="F78" s="3117">
        <v>20</v>
      </c>
    </row>
    <row r="79" spans="1:7" ht="24">
      <c r="A79" s="3117">
        <v>7</v>
      </c>
      <c r="B79" s="3797"/>
      <c r="C79" s="3091" t="s">
        <v>2664</v>
      </c>
      <c r="D79" s="3091" t="s">
        <v>2665</v>
      </c>
      <c r="E79" s="3117">
        <v>0.15</v>
      </c>
      <c r="F79" s="3117">
        <v>20</v>
      </c>
    </row>
    <row r="80" spans="1:7" ht="24">
      <c r="A80" s="3117">
        <v>8</v>
      </c>
      <c r="B80" s="3797"/>
      <c r="C80" s="3091" t="s">
        <v>2666</v>
      </c>
      <c r="D80" s="3091" t="s">
        <v>2667</v>
      </c>
      <c r="E80" s="3117">
        <v>0.1</v>
      </c>
      <c r="F80" s="3117">
        <v>15</v>
      </c>
    </row>
    <row r="81" spans="1:6" ht="24">
      <c r="A81" s="3117">
        <v>9</v>
      </c>
      <c r="B81" s="3797"/>
      <c r="C81" s="3091" t="s">
        <v>2668</v>
      </c>
      <c r="D81" s="3091" t="s">
        <v>2669</v>
      </c>
      <c r="E81" s="3117">
        <v>0.1</v>
      </c>
      <c r="F81" s="3117">
        <v>15</v>
      </c>
    </row>
    <row r="82" spans="1:6" ht="24">
      <c r="A82" s="3117">
        <v>10</v>
      </c>
      <c r="B82" s="3797"/>
      <c r="C82" s="3091" t="s">
        <v>2670</v>
      </c>
      <c r="D82" s="3091" t="s">
        <v>2671</v>
      </c>
      <c r="E82" s="3117">
        <v>0.1</v>
      </c>
      <c r="F82" s="3117">
        <v>15</v>
      </c>
    </row>
    <row r="83" spans="1:6" ht="24">
      <c r="A83" s="3117">
        <v>11</v>
      </c>
      <c r="B83" s="3797"/>
      <c r="C83" s="3091" t="s">
        <v>2672</v>
      </c>
      <c r="D83" s="3091" t="s">
        <v>2673</v>
      </c>
      <c r="E83" s="3117">
        <v>0.1</v>
      </c>
      <c r="F83" s="3117">
        <v>15</v>
      </c>
    </row>
    <row r="84" spans="1:6" ht="24">
      <c r="A84" s="3117">
        <v>12</v>
      </c>
      <c r="B84" s="3797"/>
      <c r="C84" s="3091" t="s">
        <v>2674</v>
      </c>
      <c r="D84" s="3091" t="s">
        <v>2675</v>
      </c>
      <c r="E84" s="3117">
        <v>0.1</v>
      </c>
      <c r="F84" s="3117">
        <v>15</v>
      </c>
    </row>
    <row r="85" spans="1:6" ht="13.5">
      <c r="A85" s="3117">
        <v>13</v>
      </c>
      <c r="B85" s="3797"/>
      <c r="C85" s="3091" t="s">
        <v>2676</v>
      </c>
      <c r="D85" s="3091" t="s">
        <v>2677</v>
      </c>
      <c r="E85" s="3117">
        <v>0.1</v>
      </c>
      <c r="F85" s="3117">
        <v>15</v>
      </c>
    </row>
    <row r="86" spans="1:6" ht="13.5">
      <c r="A86" s="3117">
        <v>14</v>
      </c>
      <c r="B86" s="3797"/>
      <c r="C86" s="3091" t="s">
        <v>2678</v>
      </c>
      <c r="D86" s="3091" t="s">
        <v>2679</v>
      </c>
      <c r="E86" s="3117">
        <v>0.1</v>
      </c>
      <c r="F86" s="3117">
        <v>15</v>
      </c>
    </row>
    <row r="87" spans="1:6" ht="13.5">
      <c r="A87" s="3117">
        <v>15</v>
      </c>
      <c r="B87" s="3797"/>
      <c r="C87" s="3091" t="s">
        <v>2680</v>
      </c>
      <c r="D87" s="3091" t="s">
        <v>2681</v>
      </c>
      <c r="E87" s="3117">
        <v>0.1</v>
      </c>
      <c r="F87" s="3117">
        <v>15</v>
      </c>
    </row>
    <row r="88" spans="1:6" ht="24">
      <c r="A88" s="3117">
        <v>16</v>
      </c>
      <c r="B88" s="3797"/>
      <c r="C88" s="3091" t="s">
        <v>2682</v>
      </c>
      <c r="D88" s="3091" t="s">
        <v>2683</v>
      </c>
      <c r="E88" s="3117">
        <v>0.1</v>
      </c>
      <c r="F88" s="3117">
        <v>15</v>
      </c>
    </row>
    <row r="89" spans="1:6" ht="24">
      <c r="A89" s="3117">
        <v>17</v>
      </c>
      <c r="B89" s="3796"/>
      <c r="C89" s="3091" t="s">
        <v>2684</v>
      </c>
      <c r="D89" s="3091" t="s">
        <v>2685</v>
      </c>
      <c r="E89" s="3117">
        <v>0.1</v>
      </c>
      <c r="F89" s="3117">
        <v>15</v>
      </c>
    </row>
    <row r="90" spans="1:6" ht="13.5">
      <c r="A90" s="3117">
        <v>18</v>
      </c>
      <c r="B90" s="3795" t="s">
        <v>2686</v>
      </c>
      <c r="C90" s="3091" t="s">
        <v>2687</v>
      </c>
      <c r="D90" s="3091" t="s">
        <v>2688</v>
      </c>
      <c r="E90" s="3117">
        <v>0.2</v>
      </c>
      <c r="F90" s="3117">
        <v>25</v>
      </c>
    </row>
    <row r="91" spans="1:6" ht="24">
      <c r="A91" s="3117">
        <v>19</v>
      </c>
      <c r="B91" s="3797"/>
      <c r="C91" s="3091" t="s">
        <v>2689</v>
      </c>
      <c r="D91" s="3091" t="s">
        <v>2690</v>
      </c>
      <c r="E91" s="3117">
        <v>0.2</v>
      </c>
      <c r="F91" s="3117">
        <v>25</v>
      </c>
    </row>
    <row r="92" spans="1:6" ht="13.5">
      <c r="A92" s="3117">
        <v>20</v>
      </c>
      <c r="B92" s="3797"/>
      <c r="C92" s="3091" t="s">
        <v>2691</v>
      </c>
      <c r="D92" s="3091" t="s">
        <v>2692</v>
      </c>
      <c r="E92" s="3117">
        <v>0.15</v>
      </c>
      <c r="F92" s="3117">
        <v>20</v>
      </c>
    </row>
    <row r="93" spans="1:6" ht="13.5">
      <c r="A93" s="3117">
        <v>21</v>
      </c>
      <c r="B93" s="3797"/>
      <c r="C93" s="3091" t="s">
        <v>2693</v>
      </c>
      <c r="D93" s="3091" t="s">
        <v>2694</v>
      </c>
      <c r="E93" s="3117">
        <v>0.15</v>
      </c>
      <c r="F93" s="3117">
        <v>20</v>
      </c>
    </row>
    <row r="94" spans="1:6" ht="13.5">
      <c r="A94" s="3117">
        <v>22</v>
      </c>
      <c r="B94" s="3797"/>
      <c r="C94" s="3091" t="s">
        <v>2695</v>
      </c>
      <c r="D94" s="3091" t="s">
        <v>2696</v>
      </c>
      <c r="E94" s="3117">
        <v>0.15</v>
      </c>
      <c r="F94" s="3117">
        <v>20</v>
      </c>
    </row>
    <row r="95" spans="1:6" ht="36">
      <c r="A95" s="3117">
        <v>23</v>
      </c>
      <c r="B95" s="3797"/>
      <c r="C95" s="3091" t="s">
        <v>2697</v>
      </c>
      <c r="D95" s="3091" t="s">
        <v>2698</v>
      </c>
      <c r="E95" s="3117">
        <v>0.15</v>
      </c>
      <c r="F95" s="3117">
        <v>20</v>
      </c>
    </row>
    <row r="96" spans="1:6" ht="13.5">
      <c r="A96" s="3117">
        <v>24</v>
      </c>
      <c r="B96" s="3797"/>
      <c r="C96" s="3091" t="s">
        <v>2699</v>
      </c>
      <c r="D96" s="3091" t="s">
        <v>2700</v>
      </c>
      <c r="E96" s="3117">
        <v>0.1</v>
      </c>
      <c r="F96" s="3117">
        <v>15</v>
      </c>
    </row>
    <row r="97" spans="1:6" ht="13.5">
      <c r="A97" s="3117">
        <v>25</v>
      </c>
      <c r="B97" s="3797"/>
      <c r="C97" s="3091" t="s">
        <v>2701</v>
      </c>
      <c r="D97" s="3091" t="s">
        <v>2702</v>
      </c>
      <c r="E97" s="3117">
        <v>0.1</v>
      </c>
      <c r="F97" s="3117">
        <v>15</v>
      </c>
    </row>
    <row r="98" spans="1:6" ht="24">
      <c r="A98" s="3117">
        <v>26</v>
      </c>
      <c r="B98" s="3797"/>
      <c r="C98" s="3091" t="s">
        <v>2703</v>
      </c>
      <c r="D98" s="3091" t="s">
        <v>2704</v>
      </c>
      <c r="E98" s="3117">
        <v>0.1</v>
      </c>
      <c r="F98" s="3117">
        <v>15</v>
      </c>
    </row>
    <row r="99" spans="1:6" ht="24">
      <c r="A99" s="3117">
        <v>27</v>
      </c>
      <c r="B99" s="3797"/>
      <c r="C99" s="3091" t="s">
        <v>2705</v>
      </c>
      <c r="D99" s="3091" t="s">
        <v>2706</v>
      </c>
      <c r="E99" s="3117">
        <v>0.1</v>
      </c>
      <c r="F99" s="3117">
        <v>15</v>
      </c>
    </row>
    <row r="100" spans="1:6" ht="13.5">
      <c r="A100" s="3117">
        <v>28</v>
      </c>
      <c r="B100" s="3797"/>
      <c r="C100" s="3091" t="s">
        <v>2707</v>
      </c>
      <c r="D100" s="3091" t="s">
        <v>2708</v>
      </c>
      <c r="E100" s="3117">
        <v>0.1</v>
      </c>
      <c r="F100" s="3117">
        <v>15</v>
      </c>
    </row>
    <row r="101" spans="1:6" ht="13.5">
      <c r="A101" s="3117">
        <v>29</v>
      </c>
      <c r="B101" s="3797"/>
      <c r="C101" s="3091" t="s">
        <v>2709</v>
      </c>
      <c r="D101" s="3091" t="s">
        <v>2710</v>
      </c>
      <c r="E101" s="3117">
        <v>0.1</v>
      </c>
      <c r="F101" s="3117">
        <v>15</v>
      </c>
    </row>
    <row r="102" spans="1:6" ht="13.5">
      <c r="A102" s="3117">
        <v>30</v>
      </c>
      <c r="B102" s="3797"/>
      <c r="C102" s="3091" t="s">
        <v>2711</v>
      </c>
      <c r="D102" s="3091" t="s">
        <v>2712</v>
      </c>
      <c r="E102" s="3117">
        <v>0.1</v>
      </c>
      <c r="F102" s="3117">
        <v>15</v>
      </c>
    </row>
    <row r="103" spans="1:6" ht="24">
      <c r="A103" s="3117">
        <v>31</v>
      </c>
      <c r="B103" s="3797"/>
      <c r="C103" s="3091" t="s">
        <v>2713</v>
      </c>
      <c r="D103" s="3091" t="s">
        <v>2714</v>
      </c>
      <c r="E103" s="3117">
        <v>0.1</v>
      </c>
      <c r="F103" s="3117">
        <v>15</v>
      </c>
    </row>
    <row r="104" spans="1:6" ht="24">
      <c r="A104" s="3117">
        <v>32</v>
      </c>
      <c r="B104" s="3797"/>
      <c r="C104" s="3091" t="s">
        <v>2715</v>
      </c>
      <c r="D104" s="3091" t="s">
        <v>2716</v>
      </c>
      <c r="E104" s="3117">
        <v>0.1</v>
      </c>
      <c r="F104" s="3117">
        <v>15</v>
      </c>
    </row>
    <row r="105" spans="1:6" ht="24">
      <c r="A105" s="3117">
        <v>33</v>
      </c>
      <c r="B105" s="3797"/>
      <c r="C105" s="3091" t="s">
        <v>2717</v>
      </c>
      <c r="D105" s="3091" t="s">
        <v>2718</v>
      </c>
      <c r="E105" s="3117">
        <v>0.1</v>
      </c>
      <c r="F105" s="3117">
        <v>15</v>
      </c>
    </row>
    <row r="106" spans="1:6" ht="24">
      <c r="A106" s="3117">
        <v>34</v>
      </c>
      <c r="B106" s="3796"/>
      <c r="C106" s="3091" t="s">
        <v>2719</v>
      </c>
      <c r="D106" s="3091" t="s">
        <v>2720</v>
      </c>
      <c r="E106" s="3117">
        <v>0.1</v>
      </c>
      <c r="F106" s="3117">
        <v>15</v>
      </c>
    </row>
    <row r="107" spans="1:6" ht="24">
      <c r="A107" s="3117">
        <v>35</v>
      </c>
      <c r="B107" s="3795" t="s">
        <v>2721</v>
      </c>
      <c r="C107" s="3117" t="s">
        <v>2722</v>
      </c>
      <c r="D107" s="3091" t="s">
        <v>2723</v>
      </c>
      <c r="E107" s="3117">
        <v>0.15</v>
      </c>
      <c r="F107" s="3117">
        <v>20</v>
      </c>
    </row>
    <row r="108" spans="1:6" ht="13.5">
      <c r="A108" s="3117">
        <v>36</v>
      </c>
      <c r="B108" s="3797"/>
      <c r="C108" s="3117" t="s">
        <v>2724</v>
      </c>
      <c r="D108" s="3091" t="s">
        <v>2725</v>
      </c>
      <c r="E108" s="3117">
        <v>0.15</v>
      </c>
      <c r="F108" s="3117">
        <v>20</v>
      </c>
    </row>
    <row r="109" spans="1:6" ht="13.5">
      <c r="A109" s="3117">
        <v>37</v>
      </c>
      <c r="B109" s="3797"/>
      <c r="C109" s="3117" t="s">
        <v>2726</v>
      </c>
      <c r="D109" s="3091" t="s">
        <v>2727</v>
      </c>
      <c r="E109" s="3117">
        <v>0.15</v>
      </c>
      <c r="F109" s="3117">
        <v>20</v>
      </c>
    </row>
    <row r="110" spans="1:6" ht="13.5">
      <c r="A110" s="3117">
        <v>38</v>
      </c>
      <c r="B110" s="3797"/>
      <c r="C110" s="3117" t="s">
        <v>2728</v>
      </c>
      <c r="D110" s="3091" t="s">
        <v>2729</v>
      </c>
      <c r="E110" s="3117">
        <v>0.1</v>
      </c>
      <c r="F110" s="3117">
        <v>15</v>
      </c>
    </row>
    <row r="111" spans="1:6" ht="24">
      <c r="A111" s="3117">
        <v>39</v>
      </c>
      <c r="B111" s="3797"/>
      <c r="C111" s="3117" t="s">
        <v>2730</v>
      </c>
      <c r="D111" s="3091" t="s">
        <v>2731</v>
      </c>
      <c r="E111" s="3117">
        <v>0.1</v>
      </c>
      <c r="F111" s="3117">
        <v>15</v>
      </c>
    </row>
    <row r="112" spans="1:6" ht="24">
      <c r="A112" s="3117">
        <v>40</v>
      </c>
      <c r="B112" s="3796"/>
      <c r="C112" s="3117" t="s">
        <v>2732</v>
      </c>
      <c r="D112" s="3091" t="s">
        <v>2733</v>
      </c>
      <c r="E112" s="3117">
        <v>0.1</v>
      </c>
      <c r="F112" s="3117">
        <v>15</v>
      </c>
    </row>
    <row r="113" spans="1:6" ht="13.5">
      <c r="A113" s="3117">
        <v>41</v>
      </c>
      <c r="B113" s="3794" t="s">
        <v>2734</v>
      </c>
      <c r="C113" s="3117" t="s">
        <v>2735</v>
      </c>
      <c r="D113" s="3091" t="s">
        <v>2736</v>
      </c>
      <c r="E113" s="3117">
        <v>0.1</v>
      </c>
      <c r="F113" s="3117">
        <v>15</v>
      </c>
    </row>
    <row r="114" spans="1:6" ht="13.5">
      <c r="A114" s="3117">
        <v>42</v>
      </c>
      <c r="B114" s="3794"/>
      <c r="C114" s="3117" t="s">
        <v>2737</v>
      </c>
      <c r="D114" s="3091" t="s">
        <v>2738</v>
      </c>
      <c r="E114" s="3117">
        <v>0.1</v>
      </c>
      <c r="F114" s="3117">
        <v>15</v>
      </c>
    </row>
    <row r="115" spans="1:6" ht="24">
      <c r="A115" s="3117">
        <v>43</v>
      </c>
      <c r="B115" s="3794"/>
      <c r="C115" s="3117" t="s">
        <v>2739</v>
      </c>
      <c r="D115" s="3091" t="s">
        <v>2740</v>
      </c>
      <c r="E115" s="3117">
        <v>0.1</v>
      </c>
      <c r="F115" s="3117">
        <v>15</v>
      </c>
    </row>
    <row r="116" spans="1:6" ht="13.5">
      <c r="A116" s="3117">
        <v>44</v>
      </c>
      <c r="B116" s="3795" t="s">
        <v>2741</v>
      </c>
      <c r="C116" s="3117" t="s">
        <v>2742</v>
      </c>
      <c r="D116" s="3091" t="s">
        <v>2743</v>
      </c>
      <c r="E116" s="3117">
        <v>0.1</v>
      </c>
      <c r="F116" s="3117">
        <v>15</v>
      </c>
    </row>
    <row r="117" spans="1:6" ht="24">
      <c r="A117" s="3117">
        <v>45</v>
      </c>
      <c r="B117" s="3796"/>
      <c r="C117" s="3091" t="s">
        <v>2744</v>
      </c>
      <c r="D117" s="3091" t="s">
        <v>2745</v>
      </c>
      <c r="E117" s="3117">
        <v>0.1</v>
      </c>
      <c r="F117" s="3117">
        <v>15</v>
      </c>
    </row>
    <row r="118" spans="1:6" ht="24">
      <c r="A118" s="3117">
        <v>46</v>
      </c>
      <c r="B118" s="3795" t="s">
        <v>2746</v>
      </c>
      <c r="C118" s="3117" t="s">
        <v>2747</v>
      </c>
      <c r="D118" s="3091" t="s">
        <v>2748</v>
      </c>
      <c r="E118" s="3117">
        <v>0.1</v>
      </c>
      <c r="F118" s="3117">
        <v>15</v>
      </c>
    </row>
    <row r="119" spans="1:6" ht="24">
      <c r="A119" s="3117">
        <v>47</v>
      </c>
      <c r="B119" s="3796"/>
      <c r="C119" s="3117" t="s">
        <v>2749</v>
      </c>
      <c r="D119" s="3091" t="s">
        <v>2750</v>
      </c>
      <c r="E119" s="3117">
        <v>0.1</v>
      </c>
      <c r="F119" s="3117">
        <v>15</v>
      </c>
    </row>
    <row r="120" spans="1:6" ht="13.5">
      <c r="A120" s="3117">
        <v>48</v>
      </c>
      <c r="B120" s="3795" t="s">
        <v>2751</v>
      </c>
      <c r="C120" s="3117" t="s">
        <v>2752</v>
      </c>
      <c r="D120" s="3091" t="s">
        <v>2753</v>
      </c>
      <c r="E120" s="3117">
        <v>0.1</v>
      </c>
      <c r="F120" s="3117">
        <v>15</v>
      </c>
    </row>
    <row r="121" spans="1:6" ht="13.5">
      <c r="A121" s="3117">
        <v>49</v>
      </c>
      <c r="B121" s="3796"/>
      <c r="C121" s="3117" t="s">
        <v>2754</v>
      </c>
      <c r="D121" s="3091" t="s">
        <v>2755</v>
      </c>
      <c r="E121" s="3117">
        <v>0.1</v>
      </c>
      <c r="F121" s="3117">
        <v>15</v>
      </c>
    </row>
    <row r="122" spans="1:6" ht="24">
      <c r="A122" s="3117">
        <v>50</v>
      </c>
      <c r="B122" s="3794" t="s">
        <v>2756</v>
      </c>
      <c r="C122" s="3117" t="s">
        <v>2757</v>
      </c>
      <c r="D122" s="3091" t="s">
        <v>2758</v>
      </c>
      <c r="E122" s="3117">
        <v>0.1</v>
      </c>
      <c r="F122" s="3117">
        <v>15</v>
      </c>
    </row>
    <row r="123" spans="1:6" ht="24">
      <c r="A123" s="3117">
        <v>51</v>
      </c>
      <c r="B123" s="3794"/>
      <c r="C123" s="3117" t="s">
        <v>2759</v>
      </c>
      <c r="D123" s="3091" t="s">
        <v>2760</v>
      </c>
      <c r="E123" s="3117">
        <v>0.1</v>
      </c>
      <c r="F123" s="3117">
        <v>15</v>
      </c>
    </row>
    <row r="124" spans="1:6" ht="24">
      <c r="A124" s="3117">
        <v>52</v>
      </c>
      <c r="B124" s="3794" t="s">
        <v>2761</v>
      </c>
      <c r="C124" s="3117" t="s">
        <v>2762</v>
      </c>
      <c r="D124" s="3091" t="s">
        <v>2763</v>
      </c>
      <c r="E124" s="3117">
        <v>0.1</v>
      </c>
      <c r="F124" s="3117">
        <v>15</v>
      </c>
    </row>
    <row r="125" spans="1:6" ht="24">
      <c r="A125" s="3117">
        <v>53</v>
      </c>
      <c r="B125" s="379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4" t="s">
        <v>2769</v>
      </c>
      <c r="C127" s="3117" t="s">
        <v>2770</v>
      </c>
      <c r="D127" s="3091" t="s">
        <v>2771</v>
      </c>
      <c r="E127" s="3117">
        <v>0.1</v>
      </c>
      <c r="F127" s="3117">
        <v>15</v>
      </c>
    </row>
    <row r="128" spans="1:6" ht="13.5">
      <c r="A128" s="3117">
        <v>56</v>
      </c>
      <c r="B128" s="3794"/>
      <c r="C128" s="3117" t="s">
        <v>2772</v>
      </c>
      <c r="D128" s="3091" t="s">
        <v>2773</v>
      </c>
      <c r="E128" s="3117">
        <v>0.1</v>
      </c>
      <c r="F128" s="3117">
        <v>15</v>
      </c>
    </row>
    <row r="129" spans="1:6" ht="24">
      <c r="A129" s="3117">
        <v>57</v>
      </c>
      <c r="B129" s="3794"/>
      <c r="C129" s="3117" t="s">
        <v>2774</v>
      </c>
      <c r="D129" s="3091" t="s">
        <v>2775</v>
      </c>
      <c r="E129" s="3117">
        <v>0.1</v>
      </c>
      <c r="F129" s="3117">
        <v>15</v>
      </c>
    </row>
    <row r="130" spans="1:6" ht="24">
      <c r="A130" s="3117">
        <v>58</v>
      </c>
      <c r="B130" s="3794" t="s">
        <v>2776</v>
      </c>
      <c r="C130" s="3117" t="s">
        <v>2777</v>
      </c>
      <c r="D130" s="3091" t="s">
        <v>2778</v>
      </c>
      <c r="E130" s="3117">
        <v>0.1</v>
      </c>
      <c r="F130" s="3117">
        <v>15</v>
      </c>
    </row>
    <row r="131" spans="1:6" ht="13.5">
      <c r="A131" s="3117">
        <v>59</v>
      </c>
      <c r="B131" s="3794"/>
      <c r="C131" s="3117" t="s">
        <v>2779</v>
      </c>
      <c r="D131" s="3091" t="s">
        <v>2780</v>
      </c>
      <c r="E131" s="3117">
        <v>0.1</v>
      </c>
      <c r="F131" s="3117">
        <v>15</v>
      </c>
    </row>
    <row r="132" spans="1:6" ht="13.5">
      <c r="A132" s="3117">
        <v>60</v>
      </c>
      <c r="B132" s="3795" t="s">
        <v>2781</v>
      </c>
      <c r="C132" s="3117" t="s">
        <v>2782</v>
      </c>
      <c r="D132" s="3091" t="s">
        <v>2783</v>
      </c>
      <c r="E132" s="3117">
        <v>0.1</v>
      </c>
      <c r="F132" s="3117">
        <v>15</v>
      </c>
    </row>
    <row r="133" spans="1:6" ht="13.5">
      <c r="A133" s="3117">
        <v>61</v>
      </c>
      <c r="B133" s="3796"/>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4" t="s">
        <v>2789</v>
      </c>
      <c r="C135" s="3117" t="s">
        <v>2790</v>
      </c>
      <c r="D135" s="3091" t="s">
        <v>2791</v>
      </c>
      <c r="E135" s="3117">
        <v>0.1</v>
      </c>
      <c r="F135" s="3117">
        <v>15</v>
      </c>
    </row>
    <row r="136" spans="1:6" ht="13.5">
      <c r="A136" s="3117">
        <v>64</v>
      </c>
      <c r="B136" s="379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50">
        <f ca="1">结果表!H101</f>
        <v>5629</v>
      </c>
      <c r="E5" s="1490"/>
    </row>
    <row r="6" spans="1:5" ht="15.75">
      <c r="A6" s="1490"/>
      <c r="B6" s="3489"/>
      <c r="C6" s="1493" t="s">
        <v>911</v>
      </c>
      <c r="D6" s="850" t="str">
        <f ca="1">NUMBERSTRING(INT(D5*10000),2)&amp;"元整"</f>
        <v>伍仟陆佰贰拾玖万元整</v>
      </c>
      <c r="E6" s="1490"/>
    </row>
    <row r="7" spans="1:5" ht="15.75">
      <c r="A7" s="1490"/>
      <c r="B7" s="3494"/>
      <c r="C7" s="1494" t="s">
        <v>912</v>
      </c>
      <c r="D7" s="851">
        <f ca="1">结果表!H102</f>
        <v>6352</v>
      </c>
      <c r="E7" s="1490"/>
    </row>
    <row r="8" spans="1:5" ht="15.75">
      <c r="A8" s="1490"/>
      <c r="B8" s="3495" t="str">
        <f>结果表!E103</f>
        <v>2.估价师知悉的法定优先受偿款</v>
      </c>
      <c r="C8" s="1495" t="s">
        <v>913</v>
      </c>
      <c r="D8" s="851">
        <f>结果表!H103</f>
        <v>0</v>
      </c>
      <c r="E8" s="1490"/>
    </row>
    <row r="9" spans="1:5" ht="15.75">
      <c r="A9" s="1490"/>
      <c r="B9" s="349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8" t="str">
        <f>结果表!E107</f>
        <v>3.房地产抵押价值</v>
      </c>
      <c r="C13" s="1498" t="s">
        <v>910</v>
      </c>
      <c r="D13" s="853">
        <f ca="1">结果表!H107</f>
        <v>5629</v>
      </c>
      <c r="E13" s="1490"/>
    </row>
    <row r="14" spans="1:5" ht="15.75">
      <c r="A14" s="1490"/>
      <c r="B14" s="3489"/>
      <c r="C14" s="1493" t="s">
        <v>911</v>
      </c>
      <c r="D14" s="850" t="str">
        <f ca="1">NUMBERSTRING(INT(D13*10000),2)&amp;"元整"</f>
        <v>伍仟陆佰贰拾玖万元整</v>
      </c>
      <c r="E14" s="1490"/>
    </row>
    <row r="15" spans="1:5" ht="15">
      <c r="A15" s="1490"/>
      <c r="B15" s="3494"/>
      <c r="C15" s="1494" t="s">
        <v>921</v>
      </c>
      <c r="D15" s="859">
        <f ca="1">结果表!H108</f>
        <v>6352</v>
      </c>
      <c r="E15" s="1490"/>
    </row>
    <row r="16" spans="1:5" ht="15">
      <c r="A16" s="1490"/>
      <c r="B16" s="3495" t="str">
        <f>结果表!E109</f>
        <v>——</v>
      </c>
      <c r="C16" s="1498" t="s">
        <v>922</v>
      </c>
      <c r="D16" s="1499" t="str">
        <f>结果表!H109</f>
        <v>——</v>
      </c>
      <c r="E16" s="1490"/>
    </row>
    <row r="17" spans="1:5" ht="15.75">
      <c r="A17" s="1490"/>
      <c r="B17" s="3496"/>
      <c r="C17" s="1493" t="s">
        <v>923</v>
      </c>
      <c r="D17" s="850" t="e">
        <f>NUMBERSTRING(INT(D16*10000),2)&amp;"元整"</f>
        <v>#VALUE!</v>
      </c>
      <c r="E17" s="1490"/>
    </row>
    <row r="18" spans="1:5" ht="15">
      <c r="A18" s="1490"/>
      <c r="B18" s="3497"/>
      <c r="C18" s="1494" t="s">
        <v>912</v>
      </c>
      <c r="D18" s="859" t="str">
        <f>结果表!H110</f>
        <v>——</v>
      </c>
      <c r="E18" s="1490"/>
    </row>
    <row r="19" spans="1:5" ht="15.75">
      <c r="A19" s="1490"/>
      <c r="B19" s="3488" t="str">
        <f>结果表!E111</f>
        <v>——</v>
      </c>
      <c r="C19" s="1498" t="s">
        <v>910</v>
      </c>
      <c r="D19" s="851" t="str">
        <f>结果表!H111</f>
        <v>——</v>
      </c>
      <c r="E19" s="1490"/>
    </row>
    <row r="20" spans="1:5" ht="15.75">
      <c r="A20" s="1490"/>
      <c r="B20" s="3489"/>
      <c r="C20" s="1493" t="s">
        <v>923</v>
      </c>
      <c r="D20" s="850" t="e">
        <f>NUMBERSTRING(INT(D19*10000),2)&amp;"元整"</f>
        <v>#VALUE!</v>
      </c>
      <c r="E20" s="1490"/>
    </row>
    <row r="21" spans="1:5" ht="15.75" thickBot="1">
      <c r="A21" s="1490"/>
      <c r="B21" s="349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1.0512999999999999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30791</v>
      </c>
      <c r="C2" s="2" t="s">
        <v>106</v>
      </c>
      <c r="D2" s="199"/>
      <c r="E2" s="199"/>
      <c r="F2" s="199"/>
      <c r="G2" s="199"/>
    </row>
    <row r="3" spans="1:7" s="200" customFormat="1" ht="18" customHeight="1" thickBot="1">
      <c r="A3" s="203" t="s">
        <v>58</v>
      </c>
      <c r="B3" s="204">
        <f ca="1">ROUND(B2*10000/'数据-汇总表'!E3,0)</f>
        <v>34744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177</v>
      </c>
      <c r="D10" s="845">
        <f>'数据-汇总表'!E6</f>
        <v>8862.14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177</v>
      </c>
      <c r="D19" s="849">
        <f>'数据-汇总表'!E3</f>
        <v>8862.14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3368</v>
      </c>
      <c r="D34" s="217"/>
      <c r="E34" s="220"/>
      <c r="F34" s="257">
        <f>IF('数据-取费表'!B24=0,1,'数据-取费表'!N16)</f>
        <v>1</v>
      </c>
      <c r="G34" s="219" t="s">
        <v>89</v>
      </c>
    </row>
    <row r="35" spans="1:7" ht="13.5" customHeight="1">
      <c r="A35" s="780" t="s">
        <v>351</v>
      </c>
      <c r="B35" s="215" t="s">
        <v>33</v>
      </c>
      <c r="C35" s="220">
        <f>ROUND(C34*F35,0)</f>
        <v>168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177</v>
      </c>
      <c r="D37" s="217">
        <f>'数据-汇总表'!E3</f>
        <v>8862.14</v>
      </c>
      <c r="E37" s="249">
        <f>'数据-取费表'!B35</f>
        <v>200</v>
      </c>
      <c r="F37" s="259"/>
      <c r="G37" s="261" t="s">
        <v>92</v>
      </c>
    </row>
    <row r="38" spans="1:7" ht="13.5" customHeight="1">
      <c r="A38" s="780" t="s">
        <v>354</v>
      </c>
      <c r="B38" s="215" t="s">
        <v>36</v>
      </c>
      <c r="C38" s="220">
        <f>ROUND(C34*F38,0)</f>
        <v>67</v>
      </c>
      <c r="D38" s="220"/>
      <c r="E38" s="220"/>
      <c r="F38" s="259">
        <f>'数据-取费表'!B36</f>
        <v>0.02</v>
      </c>
      <c r="G38" s="219" t="s">
        <v>90</v>
      </c>
    </row>
    <row r="39" spans="1:7" s="214" customFormat="1" ht="13.5" customHeight="1">
      <c r="A39" s="777" t="s">
        <v>338</v>
      </c>
      <c r="B39" s="210" t="s">
        <v>77</v>
      </c>
      <c r="C39" s="232">
        <f>ROUND(C33*F20,0)</f>
        <v>76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117</v>
      </c>
      <c r="D42" s="238"/>
      <c r="E42" s="238"/>
      <c r="F42" s="239"/>
      <c r="G42" s="3670" t="s">
        <v>94</v>
      </c>
    </row>
    <row r="43" spans="1:7" ht="13.5" customHeight="1">
      <c r="A43" s="780" t="s">
        <v>347</v>
      </c>
      <c r="B43" s="215" t="s">
        <v>426</v>
      </c>
      <c r="C43" s="238">
        <f ca="1">ROUND(IF('数据-取费表'!B22&lt;=1,C39*F22*'数据-取费表'!B21/2,C39*(POWER((1+F22),'数据-取费表'!B21/2)-1)),0)</f>
        <v>2</v>
      </c>
      <c r="D43" s="238"/>
      <c r="E43" s="238"/>
      <c r="F43" s="239"/>
      <c r="G43" s="3671"/>
    </row>
    <row r="44" spans="1:7" ht="13.5" customHeight="1">
      <c r="A44" s="780" t="s">
        <v>348</v>
      </c>
      <c r="B44" s="215" t="s">
        <v>428</v>
      </c>
      <c r="C44" s="238">
        <f ca="1">ROUND(IF('数据-取费表'!B22&lt;=1,C40*F22*'数据-取费表'!B21/2,C40*(POWER((1+F22),'数据-取费表'!B21/2)-1)),4)</f>
        <v>5.9999999999999995E-4</v>
      </c>
      <c r="D44" s="238"/>
      <c r="E44" s="238"/>
      <c r="F44" s="239"/>
      <c r="G44" s="3672"/>
    </row>
    <row r="45" spans="1:7" s="214" customFormat="1" ht="13.5" customHeight="1">
      <c r="A45" s="777" t="s">
        <v>341</v>
      </c>
      <c r="B45" s="244" t="s">
        <v>85</v>
      </c>
      <c r="C45" s="245">
        <f>C46</f>
        <v>386</v>
      </c>
      <c r="D45" s="235">
        <f>C47</f>
        <v>2E-3</v>
      </c>
      <c r="E45" s="236" t="s">
        <v>102</v>
      </c>
      <c r="F45" s="246"/>
      <c r="G45" s="247" t="s">
        <v>434</v>
      </c>
    </row>
    <row r="46" spans="1:7" s="214" customFormat="1" ht="13.5" customHeight="1">
      <c r="A46" s="780" t="s">
        <v>349</v>
      </c>
      <c r="B46" s="248" t="s">
        <v>427</v>
      </c>
      <c r="C46" s="249">
        <f>ROUND((C33+C39)*F27,0)</f>
        <v>386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4714</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4148</v>
      </c>
      <c r="D51" s="232"/>
      <c r="E51" s="232"/>
      <c r="F51" s="264"/>
      <c r="G51" s="234" t="s">
        <v>37</v>
      </c>
    </row>
    <row r="52" spans="1:7" s="208" customFormat="1" ht="16.5" thickBot="1">
      <c r="A52" s="265" t="s">
        <v>38</v>
      </c>
      <c r="B52" s="266"/>
      <c r="C52" s="267">
        <f ca="1">C31+C51</f>
        <v>30791</v>
      </c>
      <c r="D52" s="266"/>
      <c r="E52" s="266"/>
      <c r="F52" s="266"/>
      <c r="G52" s="268"/>
    </row>
    <row r="55" spans="1:7" ht="15">
      <c r="B55" s="270" t="s">
        <v>39</v>
      </c>
      <c r="C55" s="271"/>
    </row>
    <row r="56" spans="1:7">
      <c r="B56" s="273" t="s">
        <v>40</v>
      </c>
      <c r="C56" s="274">
        <f ca="1">ROUND(C51/C52,3)</f>
        <v>0.13500000000000001</v>
      </c>
    </row>
    <row r="57" spans="1:7">
      <c r="B57" s="273" t="s">
        <v>41</v>
      </c>
      <c r="C57" s="275">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6" t="s">
        <v>3181</v>
      </c>
      <c r="B1" s="380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7" t="s">
        <v>3232</v>
      </c>
      <c r="B1" s="3807"/>
      <c r="C1" s="3807"/>
      <c r="D1" s="3807"/>
      <c r="E1" s="3807"/>
      <c r="F1" s="380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8:H20"/>
    </sheetView>
  </sheetViews>
  <sheetFormatPr defaultRowHeight="13.5"/>
  <cols>
    <col min="1" max="1" width="13.875" customWidth="1"/>
    <col min="11" max="17" width="0" hidden="1" customWidth="1"/>
    <col min="25" max="30" width="0" hidden="1" customWidth="1"/>
  </cols>
  <sheetData>
    <row r="1" spans="1:44">
      <c r="A1" s="3220">
        <f>基准地价修正!G23</f>
        <v>45763</v>
      </c>
      <c r="B1" s="3209" t="s">
        <v>3378</v>
      </c>
      <c r="C1" s="3210"/>
      <c r="D1" s="3210"/>
      <c r="E1" s="3210"/>
      <c r="F1" s="3210"/>
      <c r="G1" s="3210"/>
      <c r="H1" s="3210"/>
      <c r="I1" s="3210"/>
      <c r="J1" s="3164"/>
      <c r="K1" s="3210" t="s">
        <v>454</v>
      </c>
      <c r="L1" s="3210"/>
      <c r="M1" s="3210"/>
      <c r="N1" s="3210"/>
      <c r="O1" s="3210"/>
      <c r="P1" s="3210"/>
      <c r="Q1" s="3164"/>
      <c r="R1" s="3809" t="s">
        <v>456</v>
      </c>
      <c r="S1" s="3810"/>
      <c r="T1" s="3810"/>
      <c r="U1" s="3810"/>
      <c r="V1" s="3810"/>
      <c r="W1" s="3810"/>
      <c r="X1" s="3164"/>
      <c r="Y1" s="3809" t="s">
        <v>457</v>
      </c>
      <c r="Z1" s="3810"/>
      <c r="AA1" s="3810"/>
      <c r="AB1" s="3810"/>
      <c r="AC1" s="3810"/>
      <c r="AD1" s="3810"/>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9" t="s">
        <v>2827</v>
      </c>
      <c r="S29" s="3810"/>
      <c r="T29" s="3810"/>
      <c r="U29" s="3810"/>
      <c r="V29" s="3810"/>
      <c r="W29" s="3810"/>
      <c r="X29" s="3164"/>
      <c r="Y29" s="3809" t="s">
        <v>2828</v>
      </c>
      <c r="Z29" s="3810"/>
      <c r="AA29" s="3810"/>
      <c r="AB29" s="3810"/>
      <c r="AC29" s="3810"/>
      <c r="AD29" s="3810"/>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4" t="s">
        <v>2839</v>
      </c>
      <c r="B1" s="3824"/>
      <c r="C1" s="3824"/>
      <c r="D1" s="3824"/>
      <c r="E1" s="3824"/>
      <c r="F1" s="3824"/>
      <c r="G1" s="382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
  <sheetViews>
    <sheetView workbookViewId="0">
      <selection activeCell="A2" sqref="A2"/>
    </sheetView>
  </sheetViews>
  <sheetFormatPr defaultRowHeight="13.5"/>
  <sheetData>
    <row r="6" spans="5:5">
      <c r="E6" s="3468"/>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8" workbookViewId="0">
      <selection activeCell="M156" sqref="M15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45">
      <c r="A4" s="1504" t="str">
        <f>项目基本情况!S2</f>
        <v>北京市顺义区仁和园二街4号院6号楼-1至5层101工业用房房地产</v>
      </c>
      <c r="B4" s="854">
        <f>项目基本情况!C17</f>
        <v>8862.14</v>
      </c>
      <c r="C4" s="854">
        <f>项目基本情况!C18</f>
        <v>3565.51</v>
      </c>
      <c r="D4" s="854">
        <f ca="1">结果表!D118</f>
        <v>1554</v>
      </c>
      <c r="E4" s="854">
        <f ca="1">结果表!E118</f>
        <v>1754</v>
      </c>
      <c r="F4" s="854">
        <f ca="1">结果表!F118</f>
        <v>4075</v>
      </c>
      <c r="G4" s="854">
        <f ca="1">结果表!G118</f>
        <v>4598</v>
      </c>
      <c r="H4" s="854">
        <f ca="1">结果表!H118</f>
        <v>5629</v>
      </c>
      <c r="I4" s="854">
        <f ca="1">结果表!I118</f>
        <v>6352</v>
      </c>
    </row>
    <row r="5" spans="1:9" ht="30" customHeight="1">
      <c r="A5" s="3501" t="s">
        <v>927</v>
      </c>
      <c r="B5" s="3501"/>
      <c r="C5" s="3501"/>
      <c r="D5" s="3501" t="str">
        <f ca="1">结果表!D119</f>
        <v>壹仟伍佰伍拾肆万元整</v>
      </c>
      <c r="E5" s="3501"/>
      <c r="F5" s="3501" t="str">
        <f ca="1">结果表!F119</f>
        <v>肆仟零柒拾伍万元整</v>
      </c>
      <c r="G5" s="3501"/>
      <c r="H5" s="3501" t="str">
        <f ca="1">结果表!H119</f>
        <v>伍仟陆佰贰拾玖万元整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5629</v>
      </c>
      <c r="E8" s="3500"/>
      <c r="F8" s="3500"/>
      <c r="G8" s="3500"/>
      <c r="H8" s="3500"/>
      <c r="I8" s="3500"/>
    </row>
    <row r="9" spans="1:9" ht="15">
      <c r="A9" s="3501" t="s">
        <v>927</v>
      </c>
      <c r="B9" s="3501"/>
      <c r="C9" s="3501"/>
      <c r="D9" s="3501" t="str">
        <f ca="1">结果表!D123</f>
        <v>伍仟陆佰贰拾玖万元整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
      </c>
      <c r="B12" s="3500"/>
      <c r="C12" s="3500"/>
      <c r="D12" s="3500" t="str">
        <f>结果表!D126</f>
        <v>——</v>
      </c>
      <c r="E12" s="3500"/>
      <c r="F12" s="3500"/>
      <c r="G12" s="3500"/>
      <c r="H12" s="3500"/>
      <c r="I12" s="3500"/>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3" t="s">
        <v>949</v>
      </c>
      <c r="B1" s="3513"/>
      <c r="C1" s="3513"/>
      <c r="D1" s="3513"/>
    </row>
    <row r="2" spans="1:4" ht="18">
      <c r="A2" s="3514" t="s">
        <v>933</v>
      </c>
      <c r="B2" s="3514"/>
      <c r="C2" s="3514"/>
      <c r="D2" s="351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4" t="s">
        <v>939</v>
      </c>
      <c r="B6" s="3514"/>
      <c r="C6" s="3514"/>
      <c r="D6" s="351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45765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租赁台账</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2025-04-18T08:42:54Z</dcterms:modified>
</cp:coreProperties>
</file>