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询价\敏实土地-门麒-广发\"/>
    </mc:Choice>
  </mc:AlternateContent>
  <xr:revisionPtr revIDLastSave="0" documentId="13_ncr:1_{8FBC42C2-BCA2-4BDA-9C55-2EBF13701444}" xr6:coauthVersionLast="47" xr6:coauthVersionMax="47" xr10:uidLastSave="{00000000-0000-0000-0000-000000000000}"/>
  <bookViews>
    <workbookView xWindow="8736" yWindow="0" windowWidth="12804" windowHeight="12132" tabRatio="854"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 sheetId="15" r:id="rId22"/>
    <sheet name="比较法-办公" sheetId="34" state="hidden" r:id="rId23"/>
    <sheet name="比较法-商业" sheetId="33" state="hidden" r:id="rId24"/>
    <sheet name="收益法 (元)" sheetId="67" state="hidden" r:id="rId25"/>
    <sheet name="收益法-酒店模型" sheetId="77" state="hidden" r:id="rId26"/>
    <sheet name="收益法（汇总）" sheetId="70" state="hidden" r:id="rId27"/>
    <sheet name="比较法-住宅" sheetId="21" state="hidden" r:id="rId28"/>
    <sheet name="典型户型修正" sheetId="3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元)" sheetId="69"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7"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9">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C14" i="74" l="1"/>
  <c r="J49" i="15"/>
  <c r="B29" i="1"/>
  <c r="D33" i="43"/>
  <c r="F19" i="6" l="1"/>
  <c r="O24" i="1"/>
  <c r="O25" i="1"/>
  <c r="O26" i="1"/>
  <c r="O23" i="1"/>
  <c r="M26" i="1"/>
  <c r="I16" i="3"/>
  <c r="E89" i="33"/>
  <c r="F89" i="33" s="1"/>
  <c r="G89" i="33" s="1"/>
  <c r="D89" i="33"/>
  <c r="E104" i="33"/>
  <c r="F104" i="33" s="1"/>
  <c r="D104" i="33"/>
  <c r="I36" i="33"/>
  <c r="G36" i="33"/>
  <c r="E36" i="33"/>
  <c r="O27" i="1" l="1"/>
  <c r="P27" i="1" s="1"/>
  <c r="O97" i="33" l="1"/>
  <c r="O98" i="33"/>
  <c r="O99" i="33"/>
  <c r="C33" i="33"/>
  <c r="O100" i="33"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B71" i="71"/>
  <c r="B70" i="71" s="1"/>
  <c r="Q70" i="71"/>
  <c r="P70" i="71"/>
  <c r="O70" i="71"/>
  <c r="N70" i="71"/>
  <c r="Q69" i="71"/>
  <c r="P69" i="71"/>
  <c r="O69" i="71"/>
  <c r="N69" i="71"/>
  <c r="D69" i="71"/>
  <c r="F68" i="71"/>
  <c r="V68" i="71" s="1"/>
  <c r="E68" i="71"/>
  <c r="C68" i="71"/>
  <c r="D68" i="71" s="1"/>
  <c r="B68" i="71"/>
  <c r="S68" i="71" s="1"/>
  <c r="Q67" i="71"/>
  <c r="F67" i="71"/>
  <c r="B67" i="71"/>
  <c r="F66" i="71"/>
  <c r="Q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E58" i="71"/>
  <c r="E59" i="71" s="1"/>
  <c r="E60" i="71" s="1"/>
  <c r="U60" i="71" s="1"/>
  <c r="C58" i="71"/>
  <c r="C59" i="71" s="1"/>
  <c r="Q57" i="71"/>
  <c r="F58" i="71" s="1"/>
  <c r="F59" i="71" s="1"/>
  <c r="P57" i="71"/>
  <c r="O57" i="7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F50" i="71"/>
  <c r="F51" i="71" s="1"/>
  <c r="F52" i="71" s="1"/>
  <c r="V52" i="71" s="1"/>
  <c r="E50" i="71"/>
  <c r="E51" i="71" s="1"/>
  <c r="Q49" i="71"/>
  <c r="P49" i="7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E43"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AA38" i="71"/>
  <c r="Q38" i="71"/>
  <c r="P38" i="71"/>
  <c r="O38" i="71"/>
  <c r="N38" i="71"/>
  <c r="AH37" i="71"/>
  <c r="AG37" i="71"/>
  <c r="AE37" i="71"/>
  <c r="AF37" i="71" s="1"/>
  <c r="AD37" i="71"/>
  <c r="Q37" i="71"/>
  <c r="F38" i="71" s="1"/>
  <c r="F39" i="71" s="1"/>
  <c r="F40" i="71" s="1"/>
  <c r="V40" i="71" s="1"/>
  <c r="P37" i="71"/>
  <c r="O37" i="71"/>
  <c r="N37" i="71"/>
  <c r="B38" i="71" s="1"/>
  <c r="B39" i="71" s="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F32" i="71" s="1"/>
  <c r="V32" i="71" s="1"/>
  <c r="P29" i="71"/>
  <c r="O29" i="71"/>
  <c r="C30" i="71" s="1"/>
  <c r="C31" i="71" s="1"/>
  <c r="N29" i="71"/>
  <c r="B30" i="71" s="1"/>
  <c r="D29" i="71"/>
  <c r="AH28" i="71"/>
  <c r="AG28" i="71"/>
  <c r="AE28" i="71"/>
  <c r="AF28" i="71" s="1"/>
  <c r="AD28" i="71"/>
  <c r="Q28" i="71"/>
  <c r="P28" i="71"/>
  <c r="O28" i="71"/>
  <c r="N28" i="71"/>
  <c r="B28" i="71" s="1"/>
  <c r="S28" i="71" s="1"/>
  <c r="F28" i="71"/>
  <c r="F27" i="71" s="1"/>
  <c r="F26" i="71" s="1"/>
  <c r="E28" i="71"/>
  <c r="V28" i="71" s="1"/>
  <c r="AH27" i="71"/>
  <c r="AG27" i="71"/>
  <c r="AF27" i="71"/>
  <c r="AE27" i="7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U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I49" i="79"/>
  <c r="AB48" i="79"/>
  <c r="AA48" i="79"/>
  <c r="Z48" i="79"/>
  <c r="N48" i="79"/>
  <c r="U48" i="79" s="1"/>
  <c r="AI48" i="79" s="1"/>
  <c r="M48" i="79"/>
  <c r="P48" i="79" s="1"/>
  <c r="L48" i="79"/>
  <c r="I48" i="79"/>
  <c r="AB47" i="79"/>
  <c r="AA47" i="79"/>
  <c r="Z47" i="79"/>
  <c r="N47" i="79"/>
  <c r="M47" i="79"/>
  <c r="L47" i="79"/>
  <c r="I47" i="79"/>
  <c r="AB46" i="79"/>
  <c r="AA46" i="79"/>
  <c r="Z46" i="79"/>
  <c r="N46" i="79"/>
  <c r="M46" i="79"/>
  <c r="P46" i="79" s="1"/>
  <c r="L46" i="79"/>
  <c r="I46" i="79"/>
  <c r="AB45" i="79"/>
  <c r="AA45" i="79"/>
  <c r="Z45" i="79"/>
  <c r="N45" i="79"/>
  <c r="U45" i="79" s="1"/>
  <c r="AI45" i="79" s="1"/>
  <c r="M45" i="79"/>
  <c r="P45" i="79" s="1"/>
  <c r="L45" i="79"/>
  <c r="I45" i="79"/>
  <c r="N44" i="79"/>
  <c r="M44" i="79"/>
  <c r="P44" i="79" s="1"/>
  <c r="L44" i="79"/>
  <c r="I44" i="79"/>
  <c r="N43" i="79"/>
  <c r="M43" i="79"/>
  <c r="L43" i="79"/>
  <c r="I43" i="79"/>
  <c r="N42" i="79"/>
  <c r="U42" i="79" s="1"/>
  <c r="AI42" i="79" s="1"/>
  <c r="M42" i="79"/>
  <c r="P42" i="79" s="1"/>
  <c r="L42" i="79"/>
  <c r="I42" i="79"/>
  <c r="N41" i="79"/>
  <c r="M41" i="79"/>
  <c r="L41" i="79"/>
  <c r="I41" i="79"/>
  <c r="N40" i="79"/>
  <c r="M40" i="79"/>
  <c r="P40" i="79" s="1"/>
  <c r="L40" i="79"/>
  <c r="I40" i="79"/>
  <c r="AB39" i="79"/>
  <c r="AA39" i="79"/>
  <c r="Z39" i="79"/>
  <c r="N39" i="79"/>
  <c r="M39" i="79"/>
  <c r="P39" i="79" s="1"/>
  <c r="L39" i="79"/>
  <c r="I39" i="79"/>
  <c r="AD39" i="79" s="1"/>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P34" i="79"/>
  <c r="AO34" i="79"/>
  <c r="AO36" i="79" s="1"/>
  <c r="AO37" i="79" s="1"/>
  <c r="AO38" i="79" s="1"/>
  <c r="AO39" i="79" s="1"/>
  <c r="AO40" i="79" s="1"/>
  <c r="AO41" i="79" s="1"/>
  <c r="AO42" i="79" s="1"/>
  <c r="AO43" i="79" s="1"/>
  <c r="AO44" i="79" s="1"/>
  <c r="AO45" i="79" s="1"/>
  <c r="AO46" i="79" s="1"/>
  <c r="AO47" i="79" s="1"/>
  <c r="AO48" i="79" s="1"/>
  <c r="AO49" i="79" s="1"/>
  <c r="AO50" i="79" s="1"/>
  <c r="AO51" i="79" s="1"/>
  <c r="AO52" i="79" s="1"/>
  <c r="AN34" i="79"/>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6" i="79" s="1"/>
  <c r="AR37" i="79" s="1"/>
  <c r="AR38" i="79" s="1"/>
  <c r="AR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M22" i="79"/>
  <c r="P22" i="79" s="1"/>
  <c r="L22" i="79"/>
  <c r="K22" i="79"/>
  <c r="I22" i="79"/>
  <c r="AD21" i="79"/>
  <c r="AC21" i="79"/>
  <c r="AB21" i="79"/>
  <c r="AA21" i="79"/>
  <c r="Z21" i="79"/>
  <c r="Y21" i="79"/>
  <c r="R21" i="79"/>
  <c r="AF21" i="79" s="1"/>
  <c r="O21" i="79"/>
  <c r="N21" i="79"/>
  <c r="U21" i="79" s="1"/>
  <c r="AI21" i="79" s="1"/>
  <c r="M21" i="79"/>
  <c r="L21" i="79"/>
  <c r="S21" i="79" s="1"/>
  <c r="AG21" i="79" s="1"/>
  <c r="K21" i="79"/>
  <c r="I21" i="79"/>
  <c r="AC20" i="79"/>
  <c r="AB20" i="79"/>
  <c r="AA20" i="79"/>
  <c r="AD20" i="79" s="1"/>
  <c r="Z20" i="79"/>
  <c r="Y20" i="79"/>
  <c r="O20" i="79"/>
  <c r="N20" i="79"/>
  <c r="M20" i="79"/>
  <c r="P20" i="79" s="1"/>
  <c r="L20" i="79"/>
  <c r="K20" i="79"/>
  <c r="R20" i="79" s="1"/>
  <c r="AF20" i="79" s="1"/>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D17" i="79"/>
  <c r="AC17" i="79"/>
  <c r="AB17" i="79"/>
  <c r="AA17" i="79"/>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U13" i="79"/>
  <c r="AI13" i="79" s="1"/>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Q6" i="79"/>
  <c r="AQ8" i="79" s="1"/>
  <c r="AQ9" i="79" s="1"/>
  <c r="AQ10" i="79" s="1"/>
  <c r="AQ11" i="79" s="1"/>
  <c r="AQ12" i="79" s="1"/>
  <c r="AQ13" i="79" s="1"/>
  <c r="AQ14" i="79" s="1"/>
  <c r="AQ15" i="79" s="1"/>
  <c r="AQ16" i="79" s="1"/>
  <c r="AQ17" i="79" s="1"/>
  <c r="AQ18" i="79" s="1"/>
  <c r="AQ19" i="79" s="1"/>
  <c r="AQ20" i="79" s="1"/>
  <c r="AQ21" i="79" s="1"/>
  <c r="AQ22" i="79" s="1"/>
  <c r="AQ23" i="79" s="1"/>
  <c r="AQ24" i="79" s="1"/>
  <c r="AP6" i="79"/>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8" i="79" s="1"/>
  <c r="AN9" i="79" s="1"/>
  <c r="AN10" i="79" s="1"/>
  <c r="AN11" i="79" s="1"/>
  <c r="AN12" i="79" s="1"/>
  <c r="AN13" i="79" s="1"/>
  <c r="AN14" i="79" s="1"/>
  <c r="AN15" i="79" s="1"/>
  <c r="AN16" i="79" s="1"/>
  <c r="AN17" i="79" s="1"/>
  <c r="AN18" i="79" s="1"/>
  <c r="AN19" i="79" s="1"/>
  <c r="AN20" i="79" s="1"/>
  <c r="AN21" i="79" s="1"/>
  <c r="AN22" i="79" s="1"/>
  <c r="AN23" i="79" s="1"/>
  <c r="AN24" i="79" s="1"/>
  <c r="AM6" i="79"/>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L6" i="79"/>
  <c r="K6" i="79"/>
  <c r="I6" i="79"/>
  <c r="AC5" i="79"/>
  <c r="AB5" i="79"/>
  <c r="AA5" i="79"/>
  <c r="AD5" i="79" s="1"/>
  <c r="Z5" i="79"/>
  <c r="Y5" i="79"/>
  <c r="O5" i="79"/>
  <c r="N5" i="79"/>
  <c r="M5" i="79"/>
  <c r="L5" i="79"/>
  <c r="K5" i="79"/>
  <c r="I5" i="79"/>
  <c r="AR6" i="79" s="1"/>
  <c r="AR8"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N98" i="43"/>
  <c r="M98" i="43"/>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M86" i="43"/>
  <c r="N86" i="43" s="1"/>
  <c r="K86" i="43"/>
  <c r="J86" i="43" s="1"/>
  <c r="D86" i="43"/>
  <c r="B86" i="43"/>
  <c r="M85" i="43"/>
  <c r="N85" i="43" s="1"/>
  <c r="K85" i="43"/>
  <c r="J85" i="43" s="1"/>
  <c r="D85" i="43"/>
  <c r="B85" i="43"/>
  <c r="M84" i="43"/>
  <c r="N84" i="43" s="1"/>
  <c r="K84" i="43"/>
  <c r="J84" i="43"/>
  <c r="D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N67" i="43"/>
  <c r="M67" i="43"/>
  <c r="K67" i="43"/>
  <c r="J67" i="43" s="1"/>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M2" i="43" s="1"/>
  <c r="G2"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D84" i="40"/>
  <c r="E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J30" i="40"/>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AB36" i="39"/>
  <c r="Q36" i="39"/>
  <c r="Z36" i="39" s="1"/>
  <c r="Q35" i="39"/>
  <c r="Z35" i="39" s="1"/>
  <c r="F35" i="39"/>
  <c r="S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J23" i="36"/>
  <c r="AC23" i="36" s="1"/>
  <c r="H23" i="36"/>
  <c r="AB23" i="36" s="1"/>
  <c r="F23" i="36"/>
  <c r="S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F11" i="36"/>
  <c r="S11" i="36" s="1"/>
  <c r="Q10" i="36"/>
  <c r="Z10" i="36" s="1"/>
  <c r="J10" i="36"/>
  <c r="H10" i="36"/>
  <c r="AB10" i="36" s="1"/>
  <c r="F10" i="36"/>
  <c r="S10" i="36" s="1"/>
  <c r="Q9" i="36"/>
  <c r="Z9" i="36" s="1"/>
  <c r="J8" i="36"/>
  <c r="H8" i="36"/>
  <c r="F8" i="36"/>
  <c r="D3" i="36"/>
  <c r="B2" i="36"/>
  <c r="B101" i="35"/>
  <c r="B99" i="35"/>
  <c r="B97" i="35"/>
  <c r="F34" i="35" s="1"/>
  <c r="D96" i="35"/>
  <c r="E96" i="35" s="1"/>
  <c r="F96" i="35" s="1"/>
  <c r="G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E64" i="35"/>
  <c r="F64" i="35" s="1"/>
  <c r="G64" i="35" s="1"/>
  <c r="D64" i="35"/>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AB33" i="35"/>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Q12" i="35"/>
  <c r="Z12" i="35" s="1"/>
  <c r="Q11" i="35"/>
  <c r="Z11" i="35" s="1"/>
  <c r="Q10" i="35"/>
  <c r="Z10" i="35" s="1"/>
  <c r="J10" i="35"/>
  <c r="AC10" i="35" s="1"/>
  <c r="H10" i="35"/>
  <c r="F10" i="35"/>
  <c r="AA10" i="35" s="1"/>
  <c r="Q9" i="35"/>
  <c r="Z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Z30" i="37"/>
  <c r="Q30" i="37"/>
  <c r="J30" i="37"/>
  <c r="AC30" i="37" s="1"/>
  <c r="H30" i="37"/>
  <c r="AB30" i="37" s="1"/>
  <c r="F30" i="37"/>
  <c r="S30" i="37" s="1"/>
  <c r="Q29" i="37"/>
  <c r="Z29" i="37" s="1"/>
  <c r="J29" i="37"/>
  <c r="H29" i="37"/>
  <c r="AB29" i="37" s="1"/>
  <c r="F29" i="37"/>
  <c r="AA29" i="37" s="1"/>
  <c r="Q28" i="37"/>
  <c r="Z28" i="37" s="1"/>
  <c r="Q27" i="37"/>
  <c r="Z27" i="37" s="1"/>
  <c r="Q26" i="37"/>
  <c r="Z26" i="37" s="1"/>
  <c r="H26" i="37"/>
  <c r="AB26" i="37" s="1"/>
  <c r="F26" i="37"/>
  <c r="AA26" i="37" s="1"/>
  <c r="Z25" i="37"/>
  <c r="Q25" i="37"/>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H13" i="37"/>
  <c r="U13" i="37" s="1"/>
  <c r="F13" i="37"/>
  <c r="AA13" i="37" s="1"/>
  <c r="Q12" i="37"/>
  <c r="Z12" i="37" s="1"/>
  <c r="J12" i="37"/>
  <c r="AC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J123" i="33"/>
  <c r="K123" i="33" s="1"/>
  <c r="L123" i="33" s="1"/>
  <c r="M123" i="33" s="1"/>
  <c r="D123" i="33"/>
  <c r="E123" i="33" s="1"/>
  <c r="F123" i="33" s="1"/>
  <c r="G123" i="33" s="1"/>
  <c r="H123" i="33" s="1"/>
  <c r="I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Z13" i="33"/>
  <c r="Q13" i="33"/>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Z45" i="21"/>
  <c r="Q45" i="21"/>
  <c r="Q44" i="21"/>
  <c r="Z44" i="21" s="1"/>
  <c r="Q43" i="21"/>
  <c r="Z43" i="21" s="1"/>
  <c r="J43" i="21"/>
  <c r="AC43" i="21" s="1"/>
  <c r="H43" i="21"/>
  <c r="U43" i="21" s="1"/>
  <c r="F43" i="21"/>
  <c r="S43" i="21" s="1"/>
  <c r="W42" i="2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F31" i="21"/>
  <c r="Q30" i="21"/>
  <c r="Z30" i="21" s="1"/>
  <c r="Z29" i="21"/>
  <c r="Q29" i="21"/>
  <c r="J29" i="21"/>
  <c r="H29" i="21"/>
  <c r="U29" i="21" s="1"/>
  <c r="Q28" i="21"/>
  <c r="Z28" i="21" s="1"/>
  <c r="H28" i="21"/>
  <c r="F28" i="21"/>
  <c r="AA28" i="21" s="1"/>
  <c r="Q27" i="21"/>
  <c r="Z27" i="21" s="1"/>
  <c r="AA26" i="2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AA15" i="21"/>
  <c r="Q15" i="21"/>
  <c r="Z15" i="21" s="1"/>
  <c r="J15" i="21"/>
  <c r="H15" i="21"/>
  <c r="U15" i="21" s="1"/>
  <c r="F15" i="21"/>
  <c r="S15" i="21" s="1"/>
  <c r="C15" i="21"/>
  <c r="Q14" i="21"/>
  <c r="Z14" i="21" s="1"/>
  <c r="H14" i="21"/>
  <c r="Q13" i="21"/>
  <c r="Z13" i="21" s="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F27" i="34" s="1"/>
  <c r="AA27" i="34" s="1"/>
  <c r="D88" i="34"/>
  <c r="E88" i="34" s="1"/>
  <c r="F88" i="34" s="1"/>
  <c r="G88" i="34" s="1"/>
  <c r="H88" i="34" s="1"/>
  <c r="I88" i="34" s="1"/>
  <c r="J88" i="34" s="1"/>
  <c r="K88" i="34" s="1"/>
  <c r="L88" i="34" s="1"/>
  <c r="M88" i="34" s="1"/>
  <c r="D86" i="34"/>
  <c r="E86" i="34" s="1"/>
  <c r="F86" i="34" s="1"/>
  <c r="G86" i="34" s="1"/>
  <c r="D84" i="34"/>
  <c r="E84" i="34" s="1"/>
  <c r="F84" i="34" s="1"/>
  <c r="G84" i="34" s="1"/>
  <c r="E82" i="34"/>
  <c r="F82" i="34" s="1"/>
  <c r="G82" i="34" s="1"/>
  <c r="D82" i="34"/>
  <c r="D80" i="34"/>
  <c r="E80" i="34" s="1"/>
  <c r="F80" i="34" s="1"/>
  <c r="G80" i="34" s="1"/>
  <c r="D78" i="34"/>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Q47" i="34"/>
  <c r="Z47" i="34" s="1"/>
  <c r="H47" i="34"/>
  <c r="F47" i="34"/>
  <c r="AA47" i="34" s="1"/>
  <c r="Q46" i="34"/>
  <c r="Z46" i="34" s="1"/>
  <c r="F46" i="34"/>
  <c r="Q45" i="34"/>
  <c r="Z45" i="34" s="1"/>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Q32" i="34"/>
  <c r="Z32" i="34" s="1"/>
  <c r="Q31" i="34"/>
  <c r="Z31" i="34" s="1"/>
  <c r="H31" i="34"/>
  <c r="U31" i="34" s="1"/>
  <c r="Q30" i="34"/>
  <c r="Z30" i="34" s="1"/>
  <c r="Q29" i="34"/>
  <c r="Z29" i="34" s="1"/>
  <c r="Q28" i="34"/>
  <c r="Z28" i="34" s="1"/>
  <c r="J28" i="34"/>
  <c r="Q27" i="34"/>
  <c r="Z27" i="34" s="1"/>
  <c r="AA25" i="34"/>
  <c r="Q25" i="34"/>
  <c r="Z25" i="34" s="1"/>
  <c r="J25" i="34"/>
  <c r="W25" i="34" s="1"/>
  <c r="H25" i="34"/>
  <c r="AB25" i="34" s="1"/>
  <c r="F25" i="34"/>
  <c r="S25" i="34" s="1"/>
  <c r="Q23" i="34"/>
  <c r="Z23" i="34" s="1"/>
  <c r="C23" i="34"/>
  <c r="Q21" i="34"/>
  <c r="Z21" i="34" s="1"/>
  <c r="J21" i="34"/>
  <c r="H21" i="34"/>
  <c r="U21" i="34" s="1"/>
  <c r="F21" i="34"/>
  <c r="AA21" i="34" s="1"/>
  <c r="C21" i="34"/>
  <c r="Q19" i="34"/>
  <c r="Z19" i="34" s="1"/>
  <c r="J19" i="34"/>
  <c r="W19" i="34" s="1"/>
  <c r="H19" i="34"/>
  <c r="F19" i="34"/>
  <c r="AA19" i="34" s="1"/>
  <c r="C19" i="34"/>
  <c r="Q17" i="34"/>
  <c r="Z17" i="34" s="1"/>
  <c r="J17" i="34"/>
  <c r="AC17" i="34" s="1"/>
  <c r="H17" i="34"/>
  <c r="AB17" i="34" s="1"/>
  <c r="F17" i="34"/>
  <c r="AA17" i="34" s="1"/>
  <c r="C17" i="34"/>
  <c r="Q15" i="34"/>
  <c r="Z15" i="34" s="1"/>
  <c r="C15" i="34"/>
  <c r="Q14" i="34"/>
  <c r="Z14" i="34" s="1"/>
  <c r="Q13" i="34"/>
  <c r="Z13" i="34" s="1"/>
  <c r="Q12" i="34"/>
  <c r="Z12" i="34" s="1"/>
  <c r="H12" i="34"/>
  <c r="U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A120" i="9"/>
  <c r="E111" i="9"/>
  <c r="A126" i="9" s="1"/>
  <c r="A12" i="52" s="1"/>
  <c r="B56" i="72" s="1"/>
  <c r="E109" i="9"/>
  <c r="H109" i="9" s="1"/>
  <c r="E107" i="9"/>
  <c r="A122" i="9" s="1"/>
  <c r="H106" i="9"/>
  <c r="D12" i="53" s="1"/>
  <c r="B28" i="72" s="1"/>
  <c r="H105" i="9"/>
  <c r="H104" i="9"/>
  <c r="D101" i="9"/>
  <c r="C101" i="9"/>
  <c r="C91" i="9"/>
  <c r="E90" i="9"/>
  <c r="D89" i="9"/>
  <c r="C89" i="9" s="1"/>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F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L584" i="3" s="1"/>
  <c r="BS584" i="3"/>
  <c r="BR584" i="3"/>
  <c r="BQ584" i="3"/>
  <c r="BP584" i="3"/>
  <c r="BO584" i="3"/>
  <c r="BN584" i="3"/>
  <c r="BM584" i="3"/>
  <c r="BK584" i="3"/>
  <c r="BJ584" i="3"/>
  <c r="BI584" i="3"/>
  <c r="BH584" i="3"/>
  <c r="BG584" i="3"/>
  <c r="BF584" i="3"/>
  <c r="BE584" i="3"/>
  <c r="BD584" i="3"/>
  <c r="BA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A581" i="3" s="1"/>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A543" i="3" s="1"/>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A272" i="3" s="1"/>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L167" i="3" s="1"/>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L147" i="3" s="1"/>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L107" i="3" s="1"/>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A64" i="3" s="1"/>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7"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A8" i="52"/>
  <c r="B54" i="72" s="1"/>
  <c r="A6" i="52"/>
  <c r="B57" i="72" s="1"/>
  <c r="H2" i="52"/>
  <c r="F2" i="52"/>
  <c r="D2" i="52"/>
  <c r="A1" i="52"/>
  <c r="B19" i="53"/>
  <c r="B37" i="72" s="1"/>
  <c r="B16" i="53"/>
  <c r="B13" i="53"/>
  <c r="D11" i="53"/>
  <c r="B27" i="72" s="1"/>
  <c r="D10" i="53"/>
  <c r="B26" i="72" s="1"/>
  <c r="B8" i="53"/>
  <c r="B23" i="72" s="1"/>
  <c r="A3" i="53"/>
  <c r="A2" i="53"/>
  <c r="B19" i="72" s="1"/>
  <c r="A24" i="51"/>
  <c r="B18" i="72" s="1"/>
  <c r="A22" i="51"/>
  <c r="B17" i="72" s="1"/>
  <c r="A21" i="51"/>
  <c r="A20" i="51"/>
  <c r="A3" i="51"/>
  <c r="B49" i="48"/>
  <c r="B5" i="72" s="1"/>
  <c r="B40" i="48"/>
  <c r="B3" i="72" s="1"/>
  <c r="B74" i="72"/>
  <c r="B69" i="72"/>
  <c r="B68" i="72"/>
  <c r="B63" i="72"/>
  <c r="B62" i="72"/>
  <c r="B50" i="72"/>
  <c r="B46" i="72"/>
  <c r="B44" i="72"/>
  <c r="B42" i="72"/>
  <c r="B33" i="72"/>
  <c r="B29" i="72"/>
  <c r="B16" i="72"/>
  <c r="B15" i="72"/>
  <c r="B10" i="72"/>
  <c r="B8" i="72"/>
  <c r="E7" i="76"/>
  <c r="E10" i="76"/>
  <c r="AO12" i="1"/>
  <c r="D2" i="21"/>
  <c r="B9" i="76"/>
  <c r="B12" i="76"/>
  <c r="E8" i="76"/>
  <c r="E2" i="69"/>
  <c r="E11" i="76"/>
  <c r="B10" i="76"/>
  <c r="D2" i="35"/>
  <c r="AO9" i="1"/>
  <c r="F20" i="31"/>
  <c r="D2" i="36"/>
  <c r="E12" i="76"/>
  <c r="AO10" i="1"/>
  <c r="D2" i="34"/>
  <c r="D2" i="37"/>
  <c r="E2" i="68"/>
  <c r="B13" i="76"/>
  <c r="D2" i="33"/>
  <c r="AO11" i="1"/>
  <c r="AO13" i="1"/>
  <c r="B8" i="76"/>
  <c r="B7" i="76"/>
  <c r="E13" i="76"/>
  <c r="E9" i="76"/>
  <c r="B11" i="76"/>
  <c r="D87" i="43" l="1"/>
  <c r="E83" i="43" s="1"/>
  <c r="B81" i="43" s="1"/>
  <c r="AA31" i="79"/>
  <c r="AD31" i="79" s="1"/>
  <c r="B9" i="1"/>
  <c r="E9" i="1" s="1"/>
  <c r="N2" i="43"/>
  <c r="N4" i="43"/>
  <c r="M1" i="43"/>
  <c r="N1" i="43"/>
  <c r="J43" i="33"/>
  <c r="AC43" i="33" s="1"/>
  <c r="F43" i="33"/>
  <c r="S43" i="33" s="1"/>
  <c r="J23" i="33"/>
  <c r="H23" i="33"/>
  <c r="AC39" i="39"/>
  <c r="W39" i="39"/>
  <c r="C18" i="78"/>
  <c r="BA22" i="3"/>
  <c r="G81" i="3"/>
  <c r="BL258" i="3"/>
  <c r="U47" i="34"/>
  <c r="AB47" i="34"/>
  <c r="BA67" i="3"/>
  <c r="BL119" i="3"/>
  <c r="BL79" i="3"/>
  <c r="BL426" i="3"/>
  <c r="W34" i="39"/>
  <c r="G88" i="3"/>
  <c r="BA343" i="3"/>
  <c r="J12" i="36"/>
  <c r="BL35" i="3"/>
  <c r="BA359" i="3"/>
  <c r="G404" i="3"/>
  <c r="J37" i="39"/>
  <c r="W37" i="39" s="1"/>
  <c r="H37" i="39"/>
  <c r="F37" i="39"/>
  <c r="S37" i="39" s="1"/>
  <c r="BA72" i="3"/>
  <c r="AZ72" i="3" s="1"/>
  <c r="G252" i="3"/>
  <c r="BL532" i="3"/>
  <c r="J31" i="21"/>
  <c r="AC31" i="21" s="1"/>
  <c r="H31" i="21"/>
  <c r="AB31" i="21" s="1"/>
  <c r="H19" i="33"/>
  <c r="AB19" i="33" s="1"/>
  <c r="BA211" i="3"/>
  <c r="BA507" i="3"/>
  <c r="BL530" i="3"/>
  <c r="A118" i="9"/>
  <c r="AZ584" i="3"/>
  <c r="BL139" i="3"/>
  <c r="U19" i="21"/>
  <c r="AB19" i="21"/>
  <c r="BA56" i="3"/>
  <c r="AZ56" i="3" s="1"/>
  <c r="S31" i="21"/>
  <c r="AA31" i="21"/>
  <c r="J27" i="21"/>
  <c r="AC27" i="21" s="1"/>
  <c r="H27" i="21"/>
  <c r="U27" i="21" s="1"/>
  <c r="F27" i="21"/>
  <c r="AA27" i="21" s="1"/>
  <c r="W10" i="37"/>
  <c r="AC10" i="37"/>
  <c r="W28" i="36"/>
  <c r="W30" i="40"/>
  <c r="AC30" i="40"/>
  <c r="BQ5" i="3"/>
  <c r="F28" i="6" s="1"/>
  <c r="BA116" i="3"/>
  <c r="AZ116" i="3" s="1"/>
  <c r="BA515" i="3"/>
  <c r="F12" i="36"/>
  <c r="AA12" i="36" s="1"/>
  <c r="G37" i="3"/>
  <c r="BL480" i="3"/>
  <c r="F35" i="35"/>
  <c r="J35" i="35"/>
  <c r="U76" i="71"/>
  <c r="E75" i="71"/>
  <c r="E74" i="71" s="1"/>
  <c r="BL263" i="3"/>
  <c r="BL446" i="3"/>
  <c r="AB19" i="34"/>
  <c r="U19" i="34"/>
  <c r="N67" i="71"/>
  <c r="B66" i="71"/>
  <c r="N66" i="71" s="1"/>
  <c r="BL402" i="3"/>
  <c r="G559" i="3"/>
  <c r="W11" i="34"/>
  <c r="F19" i="33"/>
  <c r="AA19" i="33" s="1"/>
  <c r="R11" i="1"/>
  <c r="S11" i="1"/>
  <c r="T11" i="1" s="1"/>
  <c r="G324" i="3"/>
  <c r="G342" i="3"/>
  <c r="BA563" i="3"/>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AZ364" i="3" s="1"/>
  <c r="BA503" i="3"/>
  <c r="BL562" i="3"/>
  <c r="BA568" i="3"/>
  <c r="BA53" i="3"/>
  <c r="BA144" i="3"/>
  <c r="BL203" i="3"/>
  <c r="BL237" i="3"/>
  <c r="BL271" i="3"/>
  <c r="BL363" i="3"/>
  <c r="BA433" i="3"/>
  <c r="BL436" i="3"/>
  <c r="BL438" i="3"/>
  <c r="G490" i="3"/>
  <c r="BL569" i="3"/>
  <c r="BL27" i="3"/>
  <c r="BL87" i="3"/>
  <c r="BA113" i="3"/>
  <c r="BA155" i="3"/>
  <c r="BA162" i="3"/>
  <c r="AZ162" i="3" s="1"/>
  <c r="BL235" i="3"/>
  <c r="G264" i="3"/>
  <c r="BA308" i="3"/>
  <c r="BA324" i="3"/>
  <c r="BA360" i="3"/>
  <c r="G385" i="3"/>
  <c r="BL472" i="3"/>
  <c r="BA548" i="3"/>
  <c r="AZ548" i="3" s="1"/>
  <c r="S28" i="21"/>
  <c r="H35" i="35"/>
  <c r="V21" i="79"/>
  <c r="AJ21" i="79" s="1"/>
  <c r="U68" i="71"/>
  <c r="E67" i="71"/>
  <c r="E66" i="71" s="1"/>
  <c r="G76" i="3"/>
  <c r="BL85" i="3"/>
  <c r="BA122" i="3"/>
  <c r="BL172" i="3"/>
  <c r="BL174" i="3"/>
  <c r="BA180" i="3"/>
  <c r="BA200" i="3"/>
  <c r="BA241" i="3"/>
  <c r="AZ241" i="3" s="1"/>
  <c r="BL443" i="3"/>
  <c r="BL502" i="3"/>
  <c r="AA8" i="34"/>
  <c r="S8" i="34"/>
  <c r="H9" i="37"/>
  <c r="AB9" i="37" s="1"/>
  <c r="F28" i="37"/>
  <c r="AA28" i="37" s="1"/>
  <c r="AB31" i="35"/>
  <c r="U31" i="35"/>
  <c r="J13" i="40"/>
  <c r="H13" i="40"/>
  <c r="BL130" i="3"/>
  <c r="G152" i="3"/>
  <c r="BA136" i="3"/>
  <c r="AZ136" i="3" s="1"/>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AB8" i="36"/>
  <c r="U8" i="36"/>
  <c r="U80" i="71"/>
  <c r="E79" i="71"/>
  <c r="E78" i="71" s="1"/>
  <c r="B62" i="78"/>
  <c r="B54" i="78"/>
  <c r="D54" i="78" s="1"/>
  <c r="BA48" i="3"/>
  <c r="BL109" i="3"/>
  <c r="AZ109" i="3" s="1"/>
  <c r="G196" i="3"/>
  <c r="BL255" i="3"/>
  <c r="BL275" i="3"/>
  <c r="BL320" i="3"/>
  <c r="BA395" i="3"/>
  <c r="AZ395" i="3" s="1"/>
  <c r="BA487" i="3"/>
  <c r="J34" i="35"/>
  <c r="AC34" i="35" s="1"/>
  <c r="AB34" i="40"/>
  <c r="U34" i="40"/>
  <c r="AR40" i="79"/>
  <c r="AR41" i="79" s="1"/>
  <c r="AR42" i="79" s="1"/>
  <c r="AR43" i="79" s="1"/>
  <c r="AR44" i="79" s="1"/>
  <c r="AR45" i="79" s="1"/>
  <c r="AR46" i="79" s="1"/>
  <c r="AR47" i="79" s="1"/>
  <c r="AR48" i="79" s="1"/>
  <c r="AR49" i="79" s="1"/>
  <c r="AR50" i="79" s="1"/>
  <c r="AR51" i="79" s="1"/>
  <c r="AR52" i="79" s="1"/>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AZ91" i="3" s="1"/>
  <c r="BL92" i="3"/>
  <c r="BL94" i="3"/>
  <c r="BL123" i="3"/>
  <c r="AZ123" i="3" s="1"/>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L110" i="3"/>
  <c r="AC28" i="37"/>
  <c r="W28" i="37"/>
  <c r="U17" i="40"/>
  <c r="AB17" i="40"/>
  <c r="G498" i="3"/>
  <c r="U23" i="36"/>
  <c r="G48" i="3"/>
  <c r="BA513" i="3"/>
  <c r="W38" i="34"/>
  <c r="BL46" i="3"/>
  <c r="AC28" i="34"/>
  <c r="W28" i="34"/>
  <c r="G353" i="3"/>
  <c r="BA379" i="3"/>
  <c r="AZ379" i="3" s="1"/>
  <c r="G422" i="3"/>
  <c r="BA265" i="3"/>
  <c r="AZ265" i="3" s="1"/>
  <c r="BA274" i="3"/>
  <c r="AZ274" i="3" s="1"/>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BA66" i="3"/>
  <c r="BL91" i="3"/>
  <c r="G120" i="3"/>
  <c r="BA135" i="3"/>
  <c r="G169" i="3"/>
  <c r="BA184" i="3"/>
  <c r="AZ184" i="3" s="1"/>
  <c r="G212" i="3"/>
  <c r="BA220" i="3"/>
  <c r="AZ220" i="3" s="1"/>
  <c r="BL221" i="3"/>
  <c r="AZ221" i="3" s="1"/>
  <c r="BA353" i="3"/>
  <c r="G378" i="3"/>
  <c r="G398" i="3"/>
  <c r="G418" i="3"/>
  <c r="BL427" i="3"/>
  <c r="G440" i="3"/>
  <c r="W38" i="40"/>
  <c r="AC38" i="40"/>
  <c r="E27" i="71"/>
  <c r="E26" i="71" s="1"/>
  <c r="BL47" i="3"/>
  <c r="G69" i="3"/>
  <c r="BL118" i="3"/>
  <c r="BA124" i="3"/>
  <c r="BA227" i="3"/>
  <c r="AZ227" i="3" s="1"/>
  <c r="BA236" i="3"/>
  <c r="AZ236" i="3" s="1"/>
  <c r="BA290" i="3"/>
  <c r="G313" i="3"/>
  <c r="F14" i="34"/>
  <c r="H14" i="34"/>
  <c r="U14" i="34" s="1"/>
  <c r="BA277" i="3"/>
  <c r="BL383" i="3"/>
  <c r="BA539" i="3"/>
  <c r="BL580" i="3"/>
  <c r="U33" i="21"/>
  <c r="W40" i="21"/>
  <c r="R12" i="79"/>
  <c r="AF12" i="79" s="1"/>
  <c r="I4" i="6"/>
  <c r="G185" i="3"/>
  <c r="BA205" i="3"/>
  <c r="G228" i="3"/>
  <c r="BA232" i="3"/>
  <c r="AZ232" i="3" s="1"/>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BL32" i="3"/>
  <c r="BA40" i="3"/>
  <c r="G43" i="3"/>
  <c r="BA69" i="3"/>
  <c r="BL103" i="3"/>
  <c r="G123" i="3"/>
  <c r="BA178" i="3"/>
  <c r="G181" i="3"/>
  <c r="G190" i="3"/>
  <c r="BL190" i="3"/>
  <c r="G233" i="3"/>
  <c r="BA275" i="3"/>
  <c r="AZ275" i="3" s="1"/>
  <c r="BL287" i="3"/>
  <c r="G289" i="3"/>
  <c r="BL291" i="3"/>
  <c r="G298" i="3"/>
  <c r="BL298" i="3"/>
  <c r="BA313" i="3"/>
  <c r="G334" i="3"/>
  <c r="BL343" i="3"/>
  <c r="H13" i="2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AZ304" i="3" s="1"/>
  <c r="G332" i="3"/>
  <c r="BL540" i="3"/>
  <c r="BA577" i="3"/>
  <c r="S49" i="79"/>
  <c r="AG49" i="79" s="1"/>
  <c r="Y11" i="71"/>
  <c r="Z11" i="71" s="1"/>
  <c r="Y15" i="71"/>
  <c r="Z15" i="71" s="1"/>
  <c r="BA37" i="3"/>
  <c r="G64" i="3"/>
  <c r="BA90" i="3"/>
  <c r="BL93" i="3"/>
  <c r="BL171" i="3"/>
  <c r="BL522" i="3"/>
  <c r="BA546" i="3"/>
  <c r="BA28" i="3"/>
  <c r="BL60" i="3"/>
  <c r="AZ60" i="3" s="1"/>
  <c r="BA79" i="3"/>
  <c r="G104" i="3"/>
  <c r="BA179" i="3"/>
  <c r="BA262" i="3"/>
  <c r="BL283" i="3"/>
  <c r="BA564" i="3"/>
  <c r="BA586" i="3"/>
  <c r="W39" i="34"/>
  <c r="AC39" i="34"/>
  <c r="R14" i="77"/>
  <c r="R25" i="77" s="1"/>
  <c r="AR9" i="79"/>
  <c r="AR10" i="79" s="1"/>
  <c r="AR11" i="79" s="1"/>
  <c r="AR12" i="79" s="1"/>
  <c r="AR13" i="79" s="1"/>
  <c r="AR14" i="79" s="1"/>
  <c r="AR15" i="79" s="1"/>
  <c r="AR16" i="79" s="1"/>
  <c r="AR17" i="79" s="1"/>
  <c r="AR18" i="79" s="1"/>
  <c r="AR19" i="79" s="1"/>
  <c r="AR20" i="79" s="1"/>
  <c r="AR21" i="79" s="1"/>
  <c r="AR22" i="79" s="1"/>
  <c r="AR23" i="79" s="1"/>
  <c r="AR24" i="79" s="1"/>
  <c r="AC3" i="79"/>
  <c r="U38" i="79"/>
  <c r="AI38" i="79" s="1"/>
  <c r="U44" i="79"/>
  <c r="AI44" i="79" s="1"/>
  <c r="V72" i="71"/>
  <c r="F71" i="71"/>
  <c r="F70" i="71" s="1"/>
  <c r="BA197" i="3"/>
  <c r="BA213" i="3"/>
  <c r="AZ213" i="3" s="1"/>
  <c r="G276" i="3"/>
  <c r="BA284" i="3"/>
  <c r="AZ284" i="3" s="1"/>
  <c r="BL285" i="3"/>
  <c r="BL323" i="3"/>
  <c r="BL558" i="3"/>
  <c r="D51" i="78"/>
  <c r="BL62" i="3"/>
  <c r="BA68" i="3"/>
  <c r="BA168" i="3"/>
  <c r="BA188" i="3"/>
  <c r="AZ188" i="3" s="1"/>
  <c r="BA204" i="3"/>
  <c r="BL303" i="3"/>
  <c r="BA320" i="3"/>
  <c r="AZ320" i="3" s="1"/>
  <c r="BL330" i="3"/>
  <c r="BL459" i="3"/>
  <c r="BL484" i="3"/>
  <c r="BL500" i="3"/>
  <c r="BL509" i="3"/>
  <c r="G38" i="3"/>
  <c r="BL51" i="3"/>
  <c r="G91" i="3"/>
  <c r="BL100" i="3"/>
  <c r="AZ100" i="3" s="1"/>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40" i="71"/>
  <c r="S40" i="71" s="1"/>
  <c r="BA560" i="3"/>
  <c r="S15" i="79"/>
  <c r="AG15" i="79" s="1"/>
  <c r="Y3" i="79"/>
  <c r="B27" i="71"/>
  <c r="B26" i="71" s="1"/>
  <c r="BE5" i="3"/>
  <c r="BA132" i="3"/>
  <c r="G135" i="3"/>
  <c r="G146" i="3"/>
  <c r="BA154" i="3"/>
  <c r="AZ154" i="3" s="1"/>
  <c r="BA163" i="3"/>
  <c r="AZ163" i="3" s="1"/>
  <c r="BA181" i="3"/>
  <c r="AZ181" i="3" s="1"/>
  <c r="BL211" i="3"/>
  <c r="G240" i="3"/>
  <c r="BA248" i="3"/>
  <c r="AZ248" i="3" s="1"/>
  <c r="BL249" i="3"/>
  <c r="BA268" i="3"/>
  <c r="AZ268" i="3" s="1"/>
  <c r="BL269" i="3"/>
  <c r="G340" i="3"/>
  <c r="BA348" i="3"/>
  <c r="BL391" i="3"/>
  <c r="BL411" i="3"/>
  <c r="BA457" i="3"/>
  <c r="BA459" i="3"/>
  <c r="G460" i="3"/>
  <c r="BA475" i="3"/>
  <c r="G514" i="3"/>
  <c r="BA538" i="3"/>
  <c r="AZ538" i="3" s="1"/>
  <c r="BL550" i="3"/>
  <c r="BL561" i="3"/>
  <c r="G563" i="3"/>
  <c r="BL570" i="3"/>
  <c r="G583" i="3"/>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W12" i="37"/>
  <c r="T6" i="79"/>
  <c r="W6" i="79" s="1"/>
  <c r="AK6"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BA32" i="3"/>
  <c r="BL33" i="3"/>
  <c r="BL75" i="3"/>
  <c r="BA81" i="3"/>
  <c r="BL84" i="3"/>
  <c r="G86" i="3"/>
  <c r="BL86" i="3"/>
  <c r="G106" i="3"/>
  <c r="G126" i="3"/>
  <c r="BL135" i="3"/>
  <c r="BL175" i="3"/>
  <c r="G177" i="3"/>
  <c r="G186" i="3"/>
  <c r="G224" i="3"/>
  <c r="G255" i="3"/>
  <c r="BA263" i="3"/>
  <c r="AZ263" i="3" s="1"/>
  <c r="BL284" i="3"/>
  <c r="G286" i="3"/>
  <c r="BL286" i="3"/>
  <c r="BL295" i="3"/>
  <c r="G308" i="3"/>
  <c r="BA312" i="3"/>
  <c r="BA334" i="3"/>
  <c r="BA336" i="3"/>
  <c r="AZ336" i="3" s="1"/>
  <c r="BA356" i="3"/>
  <c r="AZ356" i="3" s="1"/>
  <c r="G370" i="3"/>
  <c r="BA385" i="3"/>
  <c r="BL388" i="3"/>
  <c r="BL390" i="3"/>
  <c r="BA405" i="3"/>
  <c r="BL408" i="3"/>
  <c r="BL410" i="3"/>
  <c r="G441" i="3"/>
  <c r="G452" i="3"/>
  <c r="G468" i="3"/>
  <c r="BL477" i="3"/>
  <c r="BA483" i="3"/>
  <c r="G495" i="3"/>
  <c r="BA501" i="3"/>
  <c r="G504" i="3"/>
  <c r="G535" i="3"/>
  <c r="BL544" i="3"/>
  <c r="G546" i="3"/>
  <c r="BA552" i="3"/>
  <c r="AZ552" i="3" s="1"/>
  <c r="G579" i="3"/>
  <c r="BL579" i="3"/>
  <c r="S9" i="79"/>
  <c r="AG9" i="79" s="1"/>
  <c r="U47" i="79"/>
  <c r="AI47" i="79" s="1"/>
  <c r="BA499" i="3"/>
  <c r="BA523" i="3"/>
  <c r="BL524" i="3"/>
  <c r="BA574" i="3"/>
  <c r="BA585" i="3"/>
  <c r="C36" i="33"/>
  <c r="AC15" i="37"/>
  <c r="F13" i="35"/>
  <c r="AA13" i="35" s="1"/>
  <c r="W20" i="36"/>
  <c r="W35" i="40"/>
  <c r="E50" i="43"/>
  <c r="B48" i="43" s="1"/>
  <c r="U18" i="79"/>
  <c r="AI18" i="79" s="1"/>
  <c r="U22" i="79"/>
  <c r="AI22" i="79" s="1"/>
  <c r="B31" i="71"/>
  <c r="F25" i="33"/>
  <c r="AA25" i="33" s="1"/>
  <c r="J25" i="33"/>
  <c r="W25" i="33" s="1"/>
  <c r="J34" i="33"/>
  <c r="H34" i="33"/>
  <c r="AB34" i="33" s="1"/>
  <c r="F34" i="33"/>
  <c r="S34" i="33" s="1"/>
  <c r="BI5" i="3"/>
  <c r="K5" i="4"/>
  <c r="B47" i="48" s="1"/>
  <c r="G77" i="33"/>
  <c r="J15" i="33"/>
  <c r="H15" i="33"/>
  <c r="U15" i="33" s="1"/>
  <c r="F15" i="33"/>
  <c r="S15" i="33" s="1"/>
  <c r="BD5" i="3"/>
  <c r="BH5" i="3"/>
  <c r="BP5" i="3"/>
  <c r="BT5" i="3"/>
  <c r="AZ51" i="3"/>
  <c r="AZ67" i="3"/>
  <c r="AZ79" i="3"/>
  <c r="BA160" i="3"/>
  <c r="BL179" i="3"/>
  <c r="BK5" i="3"/>
  <c r="B56" i="78"/>
  <c r="BL14" i="3"/>
  <c r="BL16" i="3"/>
  <c r="BL21" i="3"/>
  <c r="BL28" i="3"/>
  <c r="BL29" i="3"/>
  <c r="BL30" i="3"/>
  <c r="G32" i="3"/>
  <c r="BA34" i="3"/>
  <c r="AZ34" i="3" s="1"/>
  <c r="BA35" i="3"/>
  <c r="AZ35" i="3" s="1"/>
  <c r="BL40" i="3"/>
  <c r="AZ40" i="3" s="1"/>
  <c r="BL41" i="3"/>
  <c r="BL42" i="3"/>
  <c r="G44" i="3"/>
  <c r="BA46" i="3"/>
  <c r="BA47" i="3"/>
  <c r="BA49" i="3"/>
  <c r="BL56" i="3"/>
  <c r="BL57" i="3"/>
  <c r="BL58" i="3"/>
  <c r="G60" i="3"/>
  <c r="BA62" i="3"/>
  <c r="AZ62" i="3" s="1"/>
  <c r="BA63" i="3"/>
  <c r="AZ63" i="3" s="1"/>
  <c r="BA65" i="3"/>
  <c r="AZ65" i="3" s="1"/>
  <c r="G72" i="3"/>
  <c r="BA74" i="3"/>
  <c r="AZ74" i="3" s="1"/>
  <c r="BA75" i="3"/>
  <c r="AZ75" i="3" s="1"/>
  <c r="BA77" i="3"/>
  <c r="AZ77" i="3" s="1"/>
  <c r="BA84" i="3"/>
  <c r="BA86" i="3"/>
  <c r="BA87" i="3"/>
  <c r="BA89" i="3"/>
  <c r="BA92" i="3"/>
  <c r="BA94" i="3"/>
  <c r="AZ94" i="3" s="1"/>
  <c r="BA95" i="3"/>
  <c r="BL95" i="3"/>
  <c r="BL96" i="3"/>
  <c r="BL97" i="3"/>
  <c r="BL98" i="3"/>
  <c r="G100" i="3"/>
  <c r="BA102" i="3"/>
  <c r="AZ102" i="3" s="1"/>
  <c r="BA103" i="3"/>
  <c r="AZ103" i="3" s="1"/>
  <c r="BA108" i="3"/>
  <c r="AZ108" i="3" s="1"/>
  <c r="BA110" i="3"/>
  <c r="AZ110" i="3" s="1"/>
  <c r="BA111" i="3"/>
  <c r="BL111" i="3"/>
  <c r="G116" i="3"/>
  <c r="BA118" i="3"/>
  <c r="BA119" i="3"/>
  <c r="BA121" i="3"/>
  <c r="G128" i="3"/>
  <c r="BA130" i="3"/>
  <c r="BL148" i="3"/>
  <c r="AZ148" i="3" s="1"/>
  <c r="BL149" i="3"/>
  <c r="BL150" i="3"/>
  <c r="BL155" i="3"/>
  <c r="AZ155" i="3" s="1"/>
  <c r="BL163" i="3"/>
  <c r="G197" i="3"/>
  <c r="AZ203" i="3"/>
  <c r="G205" i="3"/>
  <c r="AZ211" i="3"/>
  <c r="G213" i="3"/>
  <c r="BL223" i="3"/>
  <c r="G229" i="3"/>
  <c r="BG5" i="3"/>
  <c r="BM5" i="3"/>
  <c r="BL13" i="3"/>
  <c r="BN5" i="3"/>
  <c r="BR5" i="3"/>
  <c r="BL20" i="3"/>
  <c r="BL24" i="3"/>
  <c r="BL25" i="3"/>
  <c r="AZ25" i="3" s="1"/>
  <c r="BL26" i="3"/>
  <c r="AZ26" i="3" s="1"/>
  <c r="G28" i="3"/>
  <c r="BA30" i="3"/>
  <c r="AZ30" i="3" s="1"/>
  <c r="BA31" i="3"/>
  <c r="BA33" i="3"/>
  <c r="BL36" i="3"/>
  <c r="BL37" i="3"/>
  <c r="BL38" i="3"/>
  <c r="G40" i="3"/>
  <c r="BA42" i="3"/>
  <c r="AZ42" i="3" s="1"/>
  <c r="BA43" i="3"/>
  <c r="AZ43" i="3" s="1"/>
  <c r="BA45" i="3"/>
  <c r="BL52" i="3"/>
  <c r="AZ52" i="3" s="1"/>
  <c r="BL53" i="3"/>
  <c r="AZ53" i="3" s="1"/>
  <c r="BL54" i="3"/>
  <c r="G56" i="3"/>
  <c r="BA58" i="3"/>
  <c r="AZ58" i="3" s="1"/>
  <c r="BA59" i="3"/>
  <c r="AZ59" i="3" s="1"/>
  <c r="BA61" i="3"/>
  <c r="AZ61" i="3" s="1"/>
  <c r="BL68" i="3"/>
  <c r="BL69" i="3"/>
  <c r="BL70" i="3"/>
  <c r="BA73" i="3"/>
  <c r="BL80" i="3"/>
  <c r="BL81" i="3"/>
  <c r="AZ81" i="3" s="1"/>
  <c r="BL82" i="3"/>
  <c r="G84" i="3"/>
  <c r="BA85" i="3"/>
  <c r="AZ85" i="3" s="1"/>
  <c r="G92" i="3"/>
  <c r="BA93" i="3"/>
  <c r="AZ93" i="3" s="1"/>
  <c r="BA96" i="3"/>
  <c r="AZ96" i="3" s="1"/>
  <c r="BA98" i="3"/>
  <c r="AZ98" i="3" s="1"/>
  <c r="BA99" i="3"/>
  <c r="AZ99" i="3" s="1"/>
  <c r="BA101" i="3"/>
  <c r="AZ101" i="3" s="1"/>
  <c r="BL104" i="3"/>
  <c r="BL105" i="3"/>
  <c r="AZ105" i="3" s="1"/>
  <c r="BL106" i="3"/>
  <c r="G108" i="3"/>
  <c r="BA109" i="3"/>
  <c r="BL112" i="3"/>
  <c r="BL113" i="3"/>
  <c r="AZ113" i="3" s="1"/>
  <c r="BL114" i="3"/>
  <c r="BA117" i="3"/>
  <c r="BL124" i="3"/>
  <c r="BL125" i="3"/>
  <c r="AZ125" i="3" s="1"/>
  <c r="BL126" i="3"/>
  <c r="BA129" i="3"/>
  <c r="AZ129" i="3" s="1"/>
  <c r="G136" i="3"/>
  <c r="BA138" i="3"/>
  <c r="AZ138" i="3" s="1"/>
  <c r="BA139" i="3"/>
  <c r="AZ139" i="3" s="1"/>
  <c r="AZ179" i="3"/>
  <c r="BA208" i="3"/>
  <c r="G265" i="3"/>
  <c r="BA292" i="3"/>
  <c r="B18" i="78"/>
  <c r="G23" i="78"/>
  <c r="A15" i="62"/>
  <c r="B61" i="72" s="1"/>
  <c r="BA15" i="3"/>
  <c r="BF5" i="3"/>
  <c r="BJ5" i="3"/>
  <c r="BO5" i="3"/>
  <c r="BS5" i="3"/>
  <c r="G18" i="3"/>
  <c r="BL18" i="3"/>
  <c r="AZ18" i="3" s="1"/>
  <c r="G19" i="3"/>
  <c r="B30" i="31" s="1"/>
  <c r="BL19" i="3"/>
  <c r="AZ19" i="3" s="1"/>
  <c r="BL23" i="3"/>
  <c r="G24" i="3"/>
  <c r="BA26" i="3"/>
  <c r="BA27" i="3"/>
  <c r="AZ27" i="3" s="1"/>
  <c r="BA29" i="3"/>
  <c r="G35" i="3"/>
  <c r="BA36" i="3"/>
  <c r="AZ36" i="3" s="1"/>
  <c r="BA38" i="3"/>
  <c r="AZ38" i="3" s="1"/>
  <c r="BA39" i="3"/>
  <c r="AZ39" i="3" s="1"/>
  <c r="BA41" i="3"/>
  <c r="AZ41" i="3" s="1"/>
  <c r="G47" i="3"/>
  <c r="BL48" i="3"/>
  <c r="BL49" i="3"/>
  <c r="AZ49" i="3" s="1"/>
  <c r="G50" i="3"/>
  <c r="BL50" i="3"/>
  <c r="AZ50" i="3" s="1"/>
  <c r="G52" i="3"/>
  <c r="BA54" i="3"/>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BL89" i="3"/>
  <c r="G90" i="3"/>
  <c r="BL90" i="3"/>
  <c r="AZ90" i="3" s="1"/>
  <c r="G95" i="3"/>
  <c r="G96" i="3"/>
  <c r="BA97" i="3"/>
  <c r="AZ97" i="3" s="1"/>
  <c r="G103" i="3"/>
  <c r="BA104" i="3"/>
  <c r="BA106" i="3"/>
  <c r="AZ106" i="3" s="1"/>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AZ244" i="3" s="1"/>
  <c r="BA280" i="3"/>
  <c r="AZ280" i="3" s="1"/>
  <c r="BA416" i="3"/>
  <c r="S31" i="34"/>
  <c r="AA31" i="34"/>
  <c r="S14" i="21"/>
  <c r="AA14" i="21"/>
  <c r="BL144" i="3"/>
  <c r="BL145" i="3"/>
  <c r="BL146" i="3"/>
  <c r="G148" i="3"/>
  <c r="BA150" i="3"/>
  <c r="BA151" i="3"/>
  <c r="AZ151" i="3" s="1"/>
  <c r="BA153" i="3"/>
  <c r="G160" i="3"/>
  <c r="BA161" i="3"/>
  <c r="BL168" i="3"/>
  <c r="AZ168" i="3" s="1"/>
  <c r="BL169" i="3"/>
  <c r="BL170" i="3"/>
  <c r="G172" i="3"/>
  <c r="BA174" i="3"/>
  <c r="BA175" i="3"/>
  <c r="BA177" i="3"/>
  <c r="BL184" i="3"/>
  <c r="BL185" i="3"/>
  <c r="BL186" i="3"/>
  <c r="G188" i="3"/>
  <c r="BA190" i="3"/>
  <c r="BA191" i="3"/>
  <c r="BA193" i="3"/>
  <c r="G200" i="3"/>
  <c r="BA201" i="3"/>
  <c r="G208" i="3"/>
  <c r="BA209" i="3"/>
  <c r="AZ209" i="3" s="1"/>
  <c r="BL216" i="3"/>
  <c r="BL217" i="3"/>
  <c r="BL218" i="3"/>
  <c r="G220" i="3"/>
  <c r="BA222" i="3"/>
  <c r="AZ222" i="3" s="1"/>
  <c r="BA223" i="3"/>
  <c r="AZ223" i="3" s="1"/>
  <c r="BA225" i="3"/>
  <c r="BL232" i="3"/>
  <c r="BL233" i="3"/>
  <c r="BL234" i="3"/>
  <c r="AZ234" i="3" s="1"/>
  <c r="G236" i="3"/>
  <c r="BA238" i="3"/>
  <c r="AZ238" i="3" s="1"/>
  <c r="BA239" i="3"/>
  <c r="BL239" i="3"/>
  <c r="BL244" i="3"/>
  <c r="BL245" i="3"/>
  <c r="AZ245" i="3" s="1"/>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AZ286" i="3" s="1"/>
  <c r="BA287" i="3"/>
  <c r="BA289" i="3"/>
  <c r="BL292" i="3"/>
  <c r="AZ292" i="3" s="1"/>
  <c r="BL293" i="3"/>
  <c r="BL294" i="3"/>
  <c r="G296" i="3"/>
  <c r="BA298" i="3"/>
  <c r="AZ298" i="3" s="1"/>
  <c r="BA299" i="3"/>
  <c r="BL299" i="3"/>
  <c r="BL300" i="3"/>
  <c r="BL301" i="3"/>
  <c r="AZ301" i="3" s="1"/>
  <c r="BL302" i="3"/>
  <c r="G304" i="3"/>
  <c r="G306" i="3"/>
  <c r="BA306" i="3"/>
  <c r="BA307" i="3"/>
  <c r="G320" i="3"/>
  <c r="G322" i="3"/>
  <c r="BA322" i="3"/>
  <c r="BA323" i="3"/>
  <c r="AZ323" i="3" s="1"/>
  <c r="BA341" i="3"/>
  <c r="BL344" i="3"/>
  <c r="BL346" i="3"/>
  <c r="G348" i="3"/>
  <c r="G350" i="3"/>
  <c r="BA350" i="3"/>
  <c r="AZ350" i="3" s="1"/>
  <c r="BA351" i="3"/>
  <c r="BL359" i="3"/>
  <c r="G364" i="3"/>
  <c r="G366" i="3"/>
  <c r="BA366" i="3"/>
  <c r="AZ366" i="3" s="1"/>
  <c r="BA367" i="3"/>
  <c r="AZ367" i="3" s="1"/>
  <c r="BA372" i="3"/>
  <c r="G374" i="3"/>
  <c r="BA374" i="3"/>
  <c r="AZ374" i="3" s="1"/>
  <c r="BA375" i="3"/>
  <c r="G384" i="3"/>
  <c r="BA396" i="3"/>
  <c r="AZ396" i="3" s="1"/>
  <c r="BA131" i="3"/>
  <c r="AZ131" i="3" s="1"/>
  <c r="BA133" i="3"/>
  <c r="AZ133" i="3" s="1"/>
  <c r="G139" i="3"/>
  <c r="BL140" i="3"/>
  <c r="AZ140" i="3" s="1"/>
  <c r="BL141" i="3"/>
  <c r="AZ141" i="3" s="1"/>
  <c r="G142" i="3"/>
  <c r="BL142" i="3"/>
  <c r="G144" i="3"/>
  <c r="BA146" i="3"/>
  <c r="BA147" i="3"/>
  <c r="AZ147" i="3" s="1"/>
  <c r="BA149" i="3"/>
  <c r="G155" i="3"/>
  <c r="BL156" i="3"/>
  <c r="AZ156" i="3" s="1"/>
  <c r="BL157" i="3"/>
  <c r="AZ157" i="3" s="1"/>
  <c r="G158" i="3"/>
  <c r="BL158" i="3"/>
  <c r="G163" i="3"/>
  <c r="BL164" i="3"/>
  <c r="AZ164" i="3" s="1"/>
  <c r="BL165" i="3"/>
  <c r="AZ165" i="3" s="1"/>
  <c r="G166" i="3"/>
  <c r="BL166" i="3"/>
  <c r="G168" i="3"/>
  <c r="BA170" i="3"/>
  <c r="BA171" i="3"/>
  <c r="BA173" i="3"/>
  <c r="G179" i="3"/>
  <c r="BL180" i="3"/>
  <c r="BL181" i="3"/>
  <c r="G182" i="3"/>
  <c r="BL182" i="3"/>
  <c r="G184" i="3"/>
  <c r="BA186" i="3"/>
  <c r="AZ186" i="3" s="1"/>
  <c r="BA187" i="3"/>
  <c r="AZ187" i="3" s="1"/>
  <c r="BA189" i="3"/>
  <c r="AZ189" i="3" s="1"/>
  <c r="G195" i="3"/>
  <c r="BL196" i="3"/>
  <c r="AZ196" i="3" s="1"/>
  <c r="BL197" i="3"/>
  <c r="G198" i="3"/>
  <c r="BL198" i="3"/>
  <c r="G203" i="3"/>
  <c r="BL204" i="3"/>
  <c r="BL205" i="3"/>
  <c r="G206" i="3"/>
  <c r="BL206" i="3"/>
  <c r="G211" i="3"/>
  <c r="BL212" i="3"/>
  <c r="AZ212" i="3" s="1"/>
  <c r="BL213" i="3"/>
  <c r="G214" i="3"/>
  <c r="BL214" i="3"/>
  <c r="G216" i="3"/>
  <c r="BA218" i="3"/>
  <c r="AZ218" i="3" s="1"/>
  <c r="BA219" i="3"/>
  <c r="AZ219" i="3" s="1"/>
  <c r="BA221" i="3"/>
  <c r="G227" i="3"/>
  <c r="BL228" i="3"/>
  <c r="AZ228" i="3" s="1"/>
  <c r="BL229" i="3"/>
  <c r="G230" i="3"/>
  <c r="BL230" i="3"/>
  <c r="G232" i="3"/>
  <c r="BA234" i="3"/>
  <c r="BA235" i="3"/>
  <c r="AZ235" i="3" s="1"/>
  <c r="BA237" i="3"/>
  <c r="AZ237" i="3" s="1"/>
  <c r="BL240" i="3"/>
  <c r="BL241" i="3"/>
  <c r="G242" i="3"/>
  <c r="BL242" i="3"/>
  <c r="G244" i="3"/>
  <c r="BA246" i="3"/>
  <c r="AZ246" i="3" s="1"/>
  <c r="BA247" i="3"/>
  <c r="AZ247" i="3" s="1"/>
  <c r="BA249" i="3"/>
  <c r="BA252" i="3"/>
  <c r="BA254" i="3"/>
  <c r="BA255" i="3"/>
  <c r="AZ255" i="3" s="1"/>
  <c r="BA257" i="3"/>
  <c r="G263" i="3"/>
  <c r="BL264" i="3"/>
  <c r="AZ264" i="3" s="1"/>
  <c r="BL265" i="3"/>
  <c r="G266" i="3"/>
  <c r="BL266" i="3"/>
  <c r="BA269" i="3"/>
  <c r="G275" i="3"/>
  <c r="BL276" i="3"/>
  <c r="AZ276" i="3" s="1"/>
  <c r="BL277" i="3"/>
  <c r="AZ277" i="3" s="1"/>
  <c r="G278" i="3"/>
  <c r="BL278" i="3"/>
  <c r="G280" i="3"/>
  <c r="BA282" i="3"/>
  <c r="BA283" i="3"/>
  <c r="AZ283" i="3" s="1"/>
  <c r="BA285" i="3"/>
  <c r="AZ285" i="3" s="1"/>
  <c r="G291" i="3"/>
  <c r="G292" i="3"/>
  <c r="BA294" i="3"/>
  <c r="AZ294" i="3" s="1"/>
  <c r="BA295" i="3"/>
  <c r="AZ295" i="3" s="1"/>
  <c r="BA297" i="3"/>
  <c r="AZ297" i="3" s="1"/>
  <c r="BL307" i="3"/>
  <c r="BL308" i="3"/>
  <c r="AZ308" i="3" s="1"/>
  <c r="BL310" i="3"/>
  <c r="BL316" i="3"/>
  <c r="AZ316" i="3" s="1"/>
  <c r="BL318" i="3"/>
  <c r="AZ318" i="3" s="1"/>
  <c r="BA321" i="3"/>
  <c r="BA328" i="3"/>
  <c r="BA329" i="3"/>
  <c r="G336" i="3"/>
  <c r="G338" i="3"/>
  <c r="BA338" i="3"/>
  <c r="AZ338" i="3" s="1"/>
  <c r="BA339" i="3"/>
  <c r="BL351" i="3"/>
  <c r="BL352" i="3"/>
  <c r="AZ352" i="3" s="1"/>
  <c r="BL354" i="3"/>
  <c r="BA357" i="3"/>
  <c r="BL360" i="3"/>
  <c r="BL362" i="3"/>
  <c r="BA365" i="3"/>
  <c r="BL375" i="3"/>
  <c r="BA376" i="3"/>
  <c r="AZ376" i="3" s="1"/>
  <c r="BA377" i="3"/>
  <c r="BL380" i="3"/>
  <c r="BL382" i="3"/>
  <c r="BA400" i="3"/>
  <c r="AZ400" i="3" s="1"/>
  <c r="BA401" i="3"/>
  <c r="BL404" i="3"/>
  <c r="BL406" i="3"/>
  <c r="BA409" i="3"/>
  <c r="BA424" i="3"/>
  <c r="AZ424" i="3" s="1"/>
  <c r="BA425" i="3"/>
  <c r="BL490" i="3"/>
  <c r="BA527" i="3"/>
  <c r="AZ546" i="3"/>
  <c r="BL549" i="3"/>
  <c r="BL554" i="3"/>
  <c r="BL152" i="3"/>
  <c r="AZ152" i="3" s="1"/>
  <c r="BL153" i="3"/>
  <c r="G154" i="3"/>
  <c r="BL154" i="3"/>
  <c r="BA158" i="3"/>
  <c r="BA159" i="3"/>
  <c r="BL159" i="3"/>
  <c r="BL160" i="3"/>
  <c r="AZ160" i="3" s="1"/>
  <c r="BL161" i="3"/>
  <c r="G162" i="3"/>
  <c r="BL162" i="3"/>
  <c r="BA166" i="3"/>
  <c r="AZ166" i="3" s="1"/>
  <c r="BA167" i="3"/>
  <c r="AZ167" i="3" s="1"/>
  <c r="BA169" i="3"/>
  <c r="AZ169" i="3" s="1"/>
  <c r="G175" i="3"/>
  <c r="BL176" i="3"/>
  <c r="AZ176" i="3" s="1"/>
  <c r="BL177" i="3"/>
  <c r="G178" i="3"/>
  <c r="BL178" i="3"/>
  <c r="BA182" i="3"/>
  <c r="BA183" i="3"/>
  <c r="AZ183" i="3" s="1"/>
  <c r="BA185" i="3"/>
  <c r="G191" i="3"/>
  <c r="BL192" i="3"/>
  <c r="BL193" i="3"/>
  <c r="G194" i="3"/>
  <c r="BL194" i="3"/>
  <c r="BA198" i="3"/>
  <c r="AZ198" i="3" s="1"/>
  <c r="BA199" i="3"/>
  <c r="BL199" i="3"/>
  <c r="BL200" i="3"/>
  <c r="AZ200" i="3" s="1"/>
  <c r="BL201" i="3"/>
  <c r="G202" i="3"/>
  <c r="BL202" i="3"/>
  <c r="AZ202" i="3" s="1"/>
  <c r="BA206" i="3"/>
  <c r="BA207" i="3"/>
  <c r="BL207" i="3"/>
  <c r="BL208" i="3"/>
  <c r="BL209" i="3"/>
  <c r="G210" i="3"/>
  <c r="BL210" i="3"/>
  <c r="BA214" i="3"/>
  <c r="BA215" i="3"/>
  <c r="AZ215" i="3" s="1"/>
  <c r="BA217" i="3"/>
  <c r="G223" i="3"/>
  <c r="BL224" i="3"/>
  <c r="AZ224" i="3" s="1"/>
  <c r="BL225" i="3"/>
  <c r="G226" i="3"/>
  <c r="BL226" i="3"/>
  <c r="AZ226" i="3" s="1"/>
  <c r="BA230" i="3"/>
  <c r="AZ230" i="3" s="1"/>
  <c r="BA231" i="3"/>
  <c r="AZ231" i="3" s="1"/>
  <c r="BA233" i="3"/>
  <c r="G239" i="3"/>
  <c r="BA242" i="3"/>
  <c r="BA243" i="3"/>
  <c r="AZ243" i="3" s="1"/>
  <c r="BA245" i="3"/>
  <c r="G251" i="3"/>
  <c r="BA253" i="3"/>
  <c r="G259" i="3"/>
  <c r="BL260" i="3"/>
  <c r="AZ260" i="3" s="1"/>
  <c r="BL261" i="3"/>
  <c r="G262" i="3"/>
  <c r="BL262" i="3"/>
  <c r="AZ262" i="3" s="1"/>
  <c r="BA266" i="3"/>
  <c r="AZ266" i="3" s="1"/>
  <c r="BA267" i="3"/>
  <c r="BL267" i="3"/>
  <c r="G271" i="3"/>
  <c r="BL272" i="3"/>
  <c r="BL273" i="3"/>
  <c r="G274" i="3"/>
  <c r="BL274" i="3"/>
  <c r="BA278" i="3"/>
  <c r="AZ278" i="3" s="1"/>
  <c r="BA279" i="3"/>
  <c r="AZ279" i="3" s="1"/>
  <c r="BA281" i="3"/>
  <c r="AZ281" i="3" s="1"/>
  <c r="G287" i="3"/>
  <c r="BL288" i="3"/>
  <c r="BL289" i="3"/>
  <c r="G290" i="3"/>
  <c r="BL290" i="3"/>
  <c r="AZ290" i="3" s="1"/>
  <c r="BA293" i="3"/>
  <c r="AZ293" i="3" s="1"/>
  <c r="G299" i="3"/>
  <c r="BA300" i="3"/>
  <c r="AZ300" i="3" s="1"/>
  <c r="BA301" i="3"/>
  <c r="BA310" i="3"/>
  <c r="BA311" i="3"/>
  <c r="BL311" i="3"/>
  <c r="BL312" i="3"/>
  <c r="BL314" i="3"/>
  <c r="BA318" i="3"/>
  <c r="BA319" i="3"/>
  <c r="AZ319" i="3" s="1"/>
  <c r="G325" i="3"/>
  <c r="BA326" i="3"/>
  <c r="BA327" i="3"/>
  <c r="AZ327" i="3" s="1"/>
  <c r="BL332" i="3"/>
  <c r="AZ332" i="3" s="1"/>
  <c r="BL334" i="3"/>
  <c r="AZ334" i="3" s="1"/>
  <c r="BA337" i="3"/>
  <c r="BA344" i="3"/>
  <c r="AZ344" i="3" s="1"/>
  <c r="BA345" i="3"/>
  <c r="G352" i="3"/>
  <c r="G354" i="3"/>
  <c r="BA354" i="3"/>
  <c r="BA355" i="3"/>
  <c r="AZ355" i="3" s="1"/>
  <c r="G360" i="3"/>
  <c r="G362" i="3"/>
  <c r="BA362" i="3"/>
  <c r="BA363" i="3"/>
  <c r="G369" i="3"/>
  <c r="BA370" i="3"/>
  <c r="AZ370" i="3" s="1"/>
  <c r="BA371" i="3"/>
  <c r="AZ371" i="3" s="1"/>
  <c r="G376" i="3"/>
  <c r="BA380" i="3"/>
  <c r="AZ380" i="3" s="1"/>
  <c r="G382" i="3"/>
  <c r="BA382" i="3"/>
  <c r="AZ382" i="3" s="1"/>
  <c r="BA383" i="3"/>
  <c r="AZ383" i="3" s="1"/>
  <c r="BL384" i="3"/>
  <c r="BL386" i="3"/>
  <c r="BA389" i="3"/>
  <c r="BA414" i="3"/>
  <c r="BA415" i="3"/>
  <c r="AZ415" i="3" s="1"/>
  <c r="BA418" i="3"/>
  <c r="BA419" i="3"/>
  <c r="AZ419" i="3" s="1"/>
  <c r="BA430" i="3"/>
  <c r="BA431" i="3"/>
  <c r="BL431" i="3"/>
  <c r="BL553" i="3"/>
  <c r="AB12" i="34"/>
  <c r="U30" i="34"/>
  <c r="AB30" i="34"/>
  <c r="H44" i="34"/>
  <c r="U44" i="34" s="1"/>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AZ412" i="3" s="1"/>
  <c r="BL414" i="3"/>
  <c r="AZ414" i="3" s="1"/>
  <c r="G416" i="3"/>
  <c r="BA417" i="3"/>
  <c r="G421" i="3"/>
  <c r="BA422" i="3"/>
  <c r="AZ422" i="3" s="1"/>
  <c r="BA423" i="3"/>
  <c r="AZ423" i="3" s="1"/>
  <c r="BL428" i="3"/>
  <c r="AZ428" i="3" s="1"/>
  <c r="BL430" i="3"/>
  <c r="BL447" i="3"/>
  <c r="G449" i="3"/>
  <c r="BA450" i="3"/>
  <c r="BL450" i="3"/>
  <c r="BA452" i="3"/>
  <c r="BA456" i="3"/>
  <c r="G461" i="3"/>
  <c r="BA462" i="3"/>
  <c r="BL462" i="3"/>
  <c r="BL463" i="3"/>
  <c r="BA468" i="3"/>
  <c r="BL482" i="3"/>
  <c r="G483" i="3"/>
  <c r="BL496" i="3"/>
  <c r="G497" i="3"/>
  <c r="BA498" i="3"/>
  <c r="AZ498" i="3" s="1"/>
  <c r="BL505" i="3"/>
  <c r="AZ505" i="3" s="1"/>
  <c r="G507" i="3"/>
  <c r="G508" i="3"/>
  <c r="G509" i="3"/>
  <c r="G510" i="3"/>
  <c r="BA510" i="3"/>
  <c r="BA519" i="3"/>
  <c r="BA521" i="3"/>
  <c r="AZ521" i="3" s="1"/>
  <c r="BL525" i="3"/>
  <c r="BA529" i="3"/>
  <c r="AZ529" i="3" s="1"/>
  <c r="BL533" i="3"/>
  <c r="AZ533" i="3" s="1"/>
  <c r="BL542" i="3"/>
  <c r="G543" i="3"/>
  <c r="G544" i="3"/>
  <c r="BA550" i="3"/>
  <c r="AZ550" i="3" s="1"/>
  <c r="BA554" i="3"/>
  <c r="BA558" i="3"/>
  <c r="BA562" i="3"/>
  <c r="AZ562" i="3" s="1"/>
  <c r="BA566" i="3"/>
  <c r="BA570" i="3"/>
  <c r="AZ570" i="3" s="1"/>
  <c r="BL572" i="3"/>
  <c r="BL573" i="3"/>
  <c r="BL574" i="3"/>
  <c r="AZ574" i="3" s="1"/>
  <c r="G578" i="3"/>
  <c r="BA582" i="3"/>
  <c r="AZ582" i="3" s="1"/>
  <c r="G585" i="3"/>
  <c r="BA587" i="3"/>
  <c r="P27" i="6"/>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AZ541" i="3" s="1"/>
  <c r="BA545" i="3"/>
  <c r="AZ545" i="3" s="1"/>
  <c r="BA576" i="3"/>
  <c r="AZ576" i="3" s="1"/>
  <c r="BA580" i="3"/>
  <c r="AZ580" i="3" s="1"/>
  <c r="BL583" i="3"/>
  <c r="AZ583" i="3" s="1"/>
  <c r="K8" i="1"/>
  <c r="M8" i="1" s="1"/>
  <c r="N20" i="1"/>
  <c r="AB27" i="21"/>
  <c r="U10" i="33"/>
  <c r="AB10" i="33"/>
  <c r="S13" i="33"/>
  <c r="AA13" i="33"/>
  <c r="J44" i="33"/>
  <c r="AC44" i="33" s="1"/>
  <c r="H30" i="33"/>
  <c r="AB30" i="33" s="1"/>
  <c r="J30" i="33"/>
  <c r="AC30" i="33" s="1"/>
  <c r="F46" i="33"/>
  <c r="S46" i="33" s="1"/>
  <c r="H46" i="33"/>
  <c r="AB46" i="33" s="1"/>
  <c r="W17" i="37"/>
  <c r="AC17" i="37"/>
  <c r="J24" i="36"/>
  <c r="H24" i="36"/>
  <c r="F24" i="36"/>
  <c r="AA24" i="36" s="1"/>
  <c r="BA302" i="3"/>
  <c r="AZ302" i="3" s="1"/>
  <c r="BA303" i="3"/>
  <c r="BA305" i="3"/>
  <c r="G312" i="3"/>
  <c r="G314" i="3"/>
  <c r="BA314" i="3"/>
  <c r="AZ314" i="3" s="1"/>
  <c r="BA315" i="3"/>
  <c r="AZ315" i="3" s="1"/>
  <c r="BA317" i="3"/>
  <c r="BL324" i="3"/>
  <c r="BL326" i="3"/>
  <c r="G328" i="3"/>
  <c r="G330" i="3"/>
  <c r="BA330" i="3"/>
  <c r="AZ330" i="3" s="1"/>
  <c r="BA331" i="3"/>
  <c r="BA333" i="3"/>
  <c r="BL340" i="3"/>
  <c r="BL342" i="3"/>
  <c r="G344" i="3"/>
  <c r="G346" i="3"/>
  <c r="BA346" i="3"/>
  <c r="BA347" i="3"/>
  <c r="AZ347" i="3" s="1"/>
  <c r="BA349" i="3"/>
  <c r="BL356" i="3"/>
  <c r="BL358" i="3"/>
  <c r="AZ358" i="3" s="1"/>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AZ408" i="3" s="1"/>
  <c r="G410" i="3"/>
  <c r="BA410" i="3"/>
  <c r="AZ410" i="3" s="1"/>
  <c r="BA411" i="3"/>
  <c r="BA413" i="3"/>
  <c r="BL416" i="3"/>
  <c r="BL418" i="3"/>
  <c r="G420" i="3"/>
  <c r="G433" i="3"/>
  <c r="BA434" i="3"/>
  <c r="BA435" i="3"/>
  <c r="AZ435" i="3" s="1"/>
  <c r="BA441" i="3"/>
  <c r="BA443" i="3"/>
  <c r="BA448" i="3"/>
  <c r="BA454" i="3"/>
  <c r="BL454" i="3"/>
  <c r="BL455" i="3"/>
  <c r="BL467" i="3"/>
  <c r="G469" i="3"/>
  <c r="BA470" i="3"/>
  <c r="BA477" i="3"/>
  <c r="AZ477" i="3" s="1"/>
  <c r="G480" i="3"/>
  <c r="G481" i="3"/>
  <c r="G482" i="3"/>
  <c r="BA491" i="3"/>
  <c r="BL492" i="3"/>
  <c r="BL493" i="3"/>
  <c r="BA497" i="3"/>
  <c r="BL501" i="3"/>
  <c r="AZ501" i="3" s="1"/>
  <c r="BL510" i="3"/>
  <c r="G511" i="3"/>
  <c r="G512" i="3"/>
  <c r="BA517" i="3"/>
  <c r="AZ517" i="3" s="1"/>
  <c r="G522" i="3"/>
  <c r="BA522" i="3"/>
  <c r="BL528" i="3"/>
  <c r="G529" i="3"/>
  <c r="BA530" i="3"/>
  <c r="AZ530" i="3" s="1"/>
  <c r="BL537" i="3"/>
  <c r="G539" i="3"/>
  <c r="G540" i="3"/>
  <c r="G541" i="3"/>
  <c r="G542" i="3"/>
  <c r="BA542" i="3"/>
  <c r="BA572" i="3"/>
  <c r="AZ572" i="3" s="1"/>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AZ434" i="3" s="1"/>
  <c r="G436" i="3"/>
  <c r="G438" i="3"/>
  <c r="BA438" i="3"/>
  <c r="BA439" i="3"/>
  <c r="BL439" i="3"/>
  <c r="BA445" i="3"/>
  <c r="BA447" i="3"/>
  <c r="AZ447" i="3" s="1"/>
  <c r="BA453" i="3"/>
  <c r="BA455" i="3"/>
  <c r="G457" i="3"/>
  <c r="BA458" i="3"/>
  <c r="BL458" i="3"/>
  <c r="BA460" i="3"/>
  <c r="BA465" i="3"/>
  <c r="BA467" i="3"/>
  <c r="AZ467" i="3" s="1"/>
  <c r="G471" i="3"/>
  <c r="G473" i="3"/>
  <c r="G474" i="3"/>
  <c r="G475" i="3"/>
  <c r="G476" i="3"/>
  <c r="G477" i="3"/>
  <c r="G478" i="3"/>
  <c r="BA479" i="3"/>
  <c r="BA481" i="3"/>
  <c r="AZ481" i="3" s="1"/>
  <c r="G485" i="3"/>
  <c r="G486" i="3"/>
  <c r="BA486" i="3"/>
  <c r="BA490" i="3"/>
  <c r="AZ490" i="3" s="1"/>
  <c r="BA493" i="3"/>
  <c r="AZ493" i="3" s="1"/>
  <c r="BL497" i="3"/>
  <c r="G499" i="3"/>
  <c r="G500" i="3"/>
  <c r="G501" i="3"/>
  <c r="G502" i="3"/>
  <c r="BA502" i="3"/>
  <c r="BA509" i="3"/>
  <c r="BL513" i="3"/>
  <c r="G515" i="3"/>
  <c r="G516" i="3"/>
  <c r="G517" i="3"/>
  <c r="G518" i="3"/>
  <c r="BA518" i="3"/>
  <c r="AZ518" i="3" s="1"/>
  <c r="BA525" i="3"/>
  <c r="AZ525" i="3" s="1"/>
  <c r="BL529" i="3"/>
  <c r="G531" i="3"/>
  <c r="G532" i="3"/>
  <c r="G533" i="3"/>
  <c r="G534" i="3"/>
  <c r="BA534" i="3"/>
  <c r="AZ534" i="3" s="1"/>
  <c r="BA541" i="3"/>
  <c r="BL545" i="3"/>
  <c r="G547" i="3"/>
  <c r="G548" i="3"/>
  <c r="BL548" i="3"/>
  <c r="G550" i="3"/>
  <c r="G552" i="3"/>
  <c r="BL552" i="3"/>
  <c r="G554" i="3"/>
  <c r="G556" i="3"/>
  <c r="BL556" i="3"/>
  <c r="AZ556" i="3" s="1"/>
  <c r="G558" i="3"/>
  <c r="G560" i="3"/>
  <c r="BL560" i="3"/>
  <c r="AZ560" i="3" s="1"/>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U23" i="33"/>
  <c r="AB23" i="33"/>
  <c r="S14" i="33"/>
  <c r="AA14" i="33"/>
  <c r="F111" i="33"/>
  <c r="J36" i="33" s="1"/>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AB13" i="37"/>
  <c r="S26" i="37"/>
  <c r="AA31" i="37"/>
  <c r="J39" i="37"/>
  <c r="AC39" i="37" s="1"/>
  <c r="AB40" i="37"/>
  <c r="AB10" i="35"/>
  <c r="U10" i="35"/>
  <c r="AA30" i="35"/>
  <c r="AC35" i="35"/>
  <c r="W35" i="35"/>
  <c r="H11" i="36"/>
  <c r="U31" i="36"/>
  <c r="AB31" i="36"/>
  <c r="F9" i="36"/>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T41" i="79"/>
  <c r="T31" i="79"/>
  <c r="W31" i="79" s="1"/>
  <c r="P41" i="79"/>
  <c r="M31" i="79"/>
  <c r="P31" i="79" s="1"/>
  <c r="S45" i="79"/>
  <c r="AG45" i="79" s="1"/>
  <c r="T51" i="79"/>
  <c r="P51" i="79"/>
  <c r="AA26" i="71"/>
  <c r="C35" i="71"/>
  <c r="D34" i="71"/>
  <c r="Y37" i="71"/>
  <c r="Z37" i="71" s="1"/>
  <c r="C38" i="71"/>
  <c r="B75" i="71"/>
  <c r="B74" i="71" s="1"/>
  <c r="S76" i="71"/>
  <c r="V76" i="71"/>
  <c r="R3" i="79"/>
  <c r="V3"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44" i="33"/>
  <c r="W38" i="33"/>
  <c r="AA40" i="33"/>
  <c r="AA43" i="33"/>
  <c r="W41" i="33"/>
  <c r="AA42" i="33"/>
  <c r="AC42" i="33"/>
  <c r="AB39" i="33"/>
  <c r="AA39" i="33"/>
  <c r="W37" i="33"/>
  <c r="AB35" i="33"/>
  <c r="AB33" i="33"/>
  <c r="AB11" i="33"/>
  <c r="H9" i="33"/>
  <c r="U8" i="33"/>
  <c r="W8" i="33"/>
  <c r="F34" i="68"/>
  <c r="G10" i="1"/>
  <c r="G7" i="1"/>
  <c r="G13" i="1"/>
  <c r="W8" i="34"/>
  <c r="G24" i="78"/>
  <c r="AZ32" i="3"/>
  <c r="AZ44" i="3"/>
  <c r="AZ46" i="3"/>
  <c r="AZ84" i="3"/>
  <c r="AZ86" i="3"/>
  <c r="AZ89" i="3"/>
  <c r="AZ92" i="3"/>
  <c r="AZ118" i="3"/>
  <c r="AZ121" i="3"/>
  <c r="AZ130" i="3"/>
  <c r="AZ144" i="3"/>
  <c r="AZ146" i="3"/>
  <c r="AZ170" i="3"/>
  <c r="AZ173" i="3"/>
  <c r="AZ249" i="3"/>
  <c r="AZ252" i="3"/>
  <c r="AZ254" i="3"/>
  <c r="AZ257" i="3"/>
  <c r="AZ269" i="3"/>
  <c r="AZ282" i="3"/>
  <c r="AZ306" i="3"/>
  <c r="AZ348" i="3"/>
  <c r="AZ360" i="3"/>
  <c r="AZ362" i="3"/>
  <c r="AZ372" i="3"/>
  <c r="AZ392" i="3"/>
  <c r="AZ394" i="3"/>
  <c r="AZ420" i="3"/>
  <c r="C51" i="78"/>
  <c r="C56" i="78" s="1"/>
  <c r="C58" i="78" s="1"/>
  <c r="G29" i="6"/>
  <c r="G28" i="6"/>
  <c r="AZ33" i="3"/>
  <c r="AZ45" i="3"/>
  <c r="AZ73" i="3"/>
  <c r="AZ117" i="3"/>
  <c r="AZ145" i="3"/>
  <c r="AZ185" i="3"/>
  <c r="AZ217" i="3"/>
  <c r="AZ233" i="3"/>
  <c r="AZ253" i="3"/>
  <c r="G25" i="78"/>
  <c r="T35" i="4"/>
  <c r="A19" i="51" s="1"/>
  <c r="B14" i="72" s="1"/>
  <c r="AZ57" i="3"/>
  <c r="AZ68" i="3"/>
  <c r="AZ80" i="3"/>
  <c r="AZ112" i="3"/>
  <c r="AZ124" i="3"/>
  <c r="AZ126" i="3"/>
  <c r="AZ178" i="3"/>
  <c r="AZ192" i="3"/>
  <c r="AZ194" i="3"/>
  <c r="AZ205" i="3"/>
  <c r="AZ208" i="3"/>
  <c r="AZ210" i="3"/>
  <c r="AZ272" i="3"/>
  <c r="AZ288" i="3"/>
  <c r="AZ324" i="3"/>
  <c r="AZ326" i="3"/>
  <c r="AZ340" i="3"/>
  <c r="AZ416" i="3"/>
  <c r="AZ418" i="3"/>
  <c r="B15" i="78"/>
  <c r="E15" i="4"/>
  <c r="F6" i="1" s="1"/>
  <c r="I24" i="43" s="1"/>
  <c r="C24" i="43" s="1"/>
  <c r="BL15" i="3"/>
  <c r="BA23" i="3"/>
  <c r="AZ23" i="3" s="1"/>
  <c r="BL305" i="3"/>
  <c r="AZ305" i="3" s="1"/>
  <c r="BL309" i="3"/>
  <c r="AZ309" i="3" s="1"/>
  <c r="BL313" i="3"/>
  <c r="AZ313" i="3" s="1"/>
  <c r="BL317" i="3"/>
  <c r="BL321" i="3"/>
  <c r="BL325" i="3"/>
  <c r="AZ325" i="3" s="1"/>
  <c r="BL329" i="3"/>
  <c r="AZ329" i="3" s="1"/>
  <c r="BL333" i="3"/>
  <c r="AZ333" i="3" s="1"/>
  <c r="BL337" i="3"/>
  <c r="BL341" i="3"/>
  <c r="BL345" i="3"/>
  <c r="BL349" i="3"/>
  <c r="AZ349" i="3" s="1"/>
  <c r="BL353" i="3"/>
  <c r="BL357" i="3"/>
  <c r="AZ357" i="3" s="1"/>
  <c r="BL361" i="3"/>
  <c r="AZ361" i="3" s="1"/>
  <c r="BL365" i="3"/>
  <c r="AZ365" i="3" s="1"/>
  <c r="BL369" i="3"/>
  <c r="AZ369" i="3" s="1"/>
  <c r="BL373" i="3"/>
  <c r="AZ373" i="3" s="1"/>
  <c r="BL377" i="3"/>
  <c r="BL381" i="3"/>
  <c r="BL385" i="3"/>
  <c r="BL389" i="3"/>
  <c r="AZ389" i="3" s="1"/>
  <c r="BL393" i="3"/>
  <c r="BL397" i="3"/>
  <c r="AZ397" i="3" s="1"/>
  <c r="BL401" i="3"/>
  <c r="AZ401" i="3" s="1"/>
  <c r="BL405" i="3"/>
  <c r="BL409" i="3"/>
  <c r="AZ409" i="3" s="1"/>
  <c r="BL413" i="3"/>
  <c r="AZ413" i="3" s="1"/>
  <c r="BL417" i="3"/>
  <c r="BL421" i="3"/>
  <c r="AZ421" i="3" s="1"/>
  <c r="BL425" i="3"/>
  <c r="AZ425" i="3" s="1"/>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AB9" i="21"/>
  <c r="U9" i="21"/>
  <c r="BA14" i="3"/>
  <c r="AZ14" i="3" s="1"/>
  <c r="BA24" i="3"/>
  <c r="C15" i="78"/>
  <c r="B55" i="78"/>
  <c r="D55" i="78" s="1"/>
  <c r="K4" i="4"/>
  <c r="B46" i="48" s="1"/>
  <c r="B4" i="72" s="1"/>
  <c r="J56" i="9"/>
  <c r="J57" i="9" s="1"/>
  <c r="J59" i="9" s="1"/>
  <c r="J61" i="9" s="1"/>
  <c r="N56" i="9"/>
  <c r="M56" i="9"/>
  <c r="K56" i="9"/>
  <c r="J50" i="40"/>
  <c r="J55" i="39"/>
  <c r="G16" i="3"/>
  <c r="G17" i="3"/>
  <c r="G20" i="3"/>
  <c r="G21" i="3"/>
  <c r="BL440" i="3"/>
  <c r="BL441" i="3"/>
  <c r="G442" i="3"/>
  <c r="BL444" i="3"/>
  <c r="BL445" i="3"/>
  <c r="AZ445" i="3" s="1"/>
  <c r="G446" i="3"/>
  <c r="BL448" i="3"/>
  <c r="BL449" i="3"/>
  <c r="AZ449" i="3" s="1"/>
  <c r="G450" i="3"/>
  <c r="BL452" i="3"/>
  <c r="AZ452" i="3" s="1"/>
  <c r="BL453" i="3"/>
  <c r="AZ453" i="3" s="1"/>
  <c r="G454" i="3"/>
  <c r="BL456" i="3"/>
  <c r="BL457" i="3"/>
  <c r="G458" i="3"/>
  <c r="BL460" i="3"/>
  <c r="BL461" i="3"/>
  <c r="G462" i="3"/>
  <c r="BL464" i="3"/>
  <c r="AZ464" i="3" s="1"/>
  <c r="BL465" i="3"/>
  <c r="G466" i="3"/>
  <c r="BL468" i="3"/>
  <c r="BL469" i="3"/>
  <c r="AZ469" i="3" s="1"/>
  <c r="BA478" i="3"/>
  <c r="AZ478" i="3" s="1"/>
  <c r="G484" i="3"/>
  <c r="BL485" i="3"/>
  <c r="AZ485" i="3" s="1"/>
  <c r="AZ497" i="3"/>
  <c r="AZ513" i="3"/>
  <c r="B41" i="1"/>
  <c r="D78" i="9"/>
  <c r="AC32" i="34"/>
  <c r="W32" i="34"/>
  <c r="S46" i="34"/>
  <c r="AA46" i="34"/>
  <c r="F32" i="34"/>
  <c r="H32" i="34"/>
  <c r="H30" i="21"/>
  <c r="F30" i="21"/>
  <c r="J30" i="21"/>
  <c r="AZ22" i="3"/>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BA482" i="3"/>
  <c r="G488" i="3"/>
  <c r="BL489" i="3"/>
  <c r="AZ489" i="3" s="1"/>
  <c r="AZ509" i="3"/>
  <c r="W21" i="34"/>
  <c r="AC21" i="34"/>
  <c r="J45" i="34"/>
  <c r="J9" i="34"/>
  <c r="AC9" i="34" s="1"/>
  <c r="F9" i="34"/>
  <c r="S9" i="34" s="1"/>
  <c r="S10" i="21"/>
  <c r="S17" i="21"/>
  <c r="AZ564" i="3"/>
  <c r="AZ568" i="3"/>
  <c r="AZ577"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AZ488" i="3" s="1"/>
  <c r="BA492" i="3"/>
  <c r="AZ492" i="3" s="1"/>
  <c r="BA496" i="3"/>
  <c r="BA500" i="3"/>
  <c r="AZ500" i="3" s="1"/>
  <c r="BA504" i="3"/>
  <c r="BA508" i="3"/>
  <c r="AZ508" i="3" s="1"/>
  <c r="BA512" i="3"/>
  <c r="BA516" i="3"/>
  <c r="AZ516" i="3" s="1"/>
  <c r="BA520" i="3"/>
  <c r="AZ520" i="3" s="1"/>
  <c r="BA524" i="3"/>
  <c r="AZ524" i="3" s="1"/>
  <c r="BA528" i="3"/>
  <c r="AZ528" i="3" s="1"/>
  <c r="BA532" i="3"/>
  <c r="BA536" i="3"/>
  <c r="AZ536" i="3" s="1"/>
  <c r="BA540" i="3"/>
  <c r="BA544" i="3"/>
  <c r="AZ544" i="3" s="1"/>
  <c r="BA549" i="3"/>
  <c r="BA553" i="3"/>
  <c r="AZ553" i="3" s="1"/>
  <c r="BA557" i="3"/>
  <c r="AZ557" i="3" s="1"/>
  <c r="BA561" i="3"/>
  <c r="AZ561" i="3" s="1"/>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BL479" i="3"/>
  <c r="BL483" i="3"/>
  <c r="AZ483" i="3" s="1"/>
  <c r="BL487" i="3"/>
  <c r="AZ487" i="3" s="1"/>
  <c r="BL491" i="3"/>
  <c r="AZ491" i="3" s="1"/>
  <c r="BL495" i="3"/>
  <c r="AZ495" i="3" s="1"/>
  <c r="BL499" i="3"/>
  <c r="AZ499" i="3" s="1"/>
  <c r="BL503" i="3"/>
  <c r="BL507" i="3"/>
  <c r="AZ507" i="3" s="1"/>
  <c r="BL511" i="3"/>
  <c r="AZ511" i="3" s="1"/>
  <c r="BL515" i="3"/>
  <c r="AZ515" i="3" s="1"/>
  <c r="BL519" i="3"/>
  <c r="AZ519" i="3" s="1"/>
  <c r="BL523" i="3"/>
  <c r="AZ523" i="3" s="1"/>
  <c r="BL527" i="3"/>
  <c r="BL531" i="3"/>
  <c r="AZ531" i="3" s="1"/>
  <c r="BL535" i="3"/>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BA575" i="3"/>
  <c r="AZ575" i="3" s="1"/>
  <c r="BL581" i="3"/>
  <c r="AZ581" i="3" s="1"/>
  <c r="BL587" i="3"/>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S27"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S33" i="21"/>
  <c r="U34" i="21"/>
  <c r="W35" i="21"/>
  <c r="S37" i="21"/>
  <c r="U38" i="21"/>
  <c r="W39" i="21"/>
  <c r="S41" i="21"/>
  <c r="U42" i="21"/>
  <c r="W43" i="21"/>
  <c r="S11" i="33"/>
  <c r="S33" i="33"/>
  <c r="W35" i="33"/>
  <c r="S37" i="33"/>
  <c r="U38" i="33"/>
  <c r="W39" i="33"/>
  <c r="S41" i="33"/>
  <c r="U42" i="33"/>
  <c r="W43" i="33"/>
  <c r="U46"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W34" i="35"/>
  <c r="J24" i="35"/>
  <c r="H24" i="35"/>
  <c r="F24" i="35"/>
  <c r="U28" i="36"/>
  <c r="AB28" i="36"/>
  <c r="S13" i="39"/>
  <c r="U9" i="37"/>
  <c r="AC38" i="37"/>
  <c r="W38" i="37"/>
  <c r="U35" i="35"/>
  <c r="AB35" i="35"/>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W13" i="35"/>
  <c r="W14" i="35"/>
  <c r="W16" i="35"/>
  <c r="W18" i="35"/>
  <c r="W20" i="35"/>
  <c r="J26" i="35"/>
  <c r="S28" i="35"/>
  <c r="U29" i="35"/>
  <c r="W30" i="35"/>
  <c r="S32" i="35"/>
  <c r="AA35" i="35"/>
  <c r="S35" i="35"/>
  <c r="AA11" i="36"/>
  <c r="AB34" i="36"/>
  <c r="U34" i="36"/>
  <c r="W21" i="39"/>
  <c r="S23" i="37"/>
  <c r="S28" i="37"/>
  <c r="U29" i="37"/>
  <c r="W30" i="37"/>
  <c r="S32" i="37"/>
  <c r="U33" i="37"/>
  <c r="W34" i="37"/>
  <c r="S36" i="37"/>
  <c r="U37" i="37"/>
  <c r="S10" i="35"/>
  <c r="W12" i="35"/>
  <c r="S22"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A44" i="39"/>
  <c r="AC15" i="40"/>
  <c r="AA17" i="40"/>
  <c r="W25" i="39"/>
  <c r="W27" i="39"/>
  <c r="W29" i="39"/>
  <c r="AB35" i="39"/>
  <c r="U35" i="39"/>
  <c r="AB43" i="39"/>
  <c r="U43" i="39"/>
  <c r="AA30" i="40"/>
  <c r="S30" i="40"/>
  <c r="AC13" i="40"/>
  <c r="W13" i="40"/>
  <c r="H99" i="43"/>
  <c r="H101" i="43"/>
  <c r="H95" i="43"/>
  <c r="W13" i="79"/>
  <c r="AK13" i="79" s="1"/>
  <c r="AH13" i="79"/>
  <c r="W41" i="79"/>
  <c r="AK41" i="79" s="1"/>
  <c r="AH41" i="79"/>
  <c r="M32" i="43"/>
  <c r="Q32" i="43"/>
  <c r="D65" i="43"/>
  <c r="E61" i="43" s="1"/>
  <c r="B59" i="43" s="1"/>
  <c r="H80" i="43"/>
  <c r="W19" i="40"/>
  <c r="W21" i="40"/>
  <c r="W23" i="40"/>
  <c r="W25" i="40"/>
  <c r="U32" i="40"/>
  <c r="S35" i="40"/>
  <c r="U36" i="40"/>
  <c r="W37" i="40"/>
  <c r="U40" i="40"/>
  <c r="S4" i="43"/>
  <c r="N6" i="43"/>
  <c r="M10" i="43"/>
  <c r="M11" i="43"/>
  <c r="N32" i="43"/>
  <c r="H58" i="43"/>
  <c r="H74" i="43"/>
  <c r="AH39" i="79"/>
  <c r="W39" i="79"/>
  <c r="AK39" i="79" s="1"/>
  <c r="S34" i="39"/>
  <c r="S38" i="39"/>
  <c r="U39" i="39"/>
  <c r="W40" i="39"/>
  <c r="S42" i="39"/>
  <c r="W44" i="39"/>
  <c r="U9" i="40"/>
  <c r="S11" i="40"/>
  <c r="U12" i="40"/>
  <c r="S27" i="40"/>
  <c r="S28" i="40"/>
  <c r="W32" i="40"/>
  <c r="S34" i="40"/>
  <c r="U35" i="40"/>
  <c r="W36" i="40"/>
  <c r="W40" i="40"/>
  <c r="M3" i="43"/>
  <c r="M5" i="43"/>
  <c r="M8" i="43"/>
  <c r="M9" i="43"/>
  <c r="N10" i="43"/>
  <c r="F83" i="43" s="1"/>
  <c r="N11" i="43"/>
  <c r="H98" i="43"/>
  <c r="AH5" i="79"/>
  <c r="W5" i="79"/>
  <c r="AK5" i="79" s="1"/>
  <c r="AH17" i="79"/>
  <c r="S33" i="79"/>
  <c r="AG33" i="79" s="1"/>
  <c r="S40" i="79"/>
  <c r="AG40" i="79" s="1"/>
  <c r="AH45" i="79"/>
  <c r="T24" i="71"/>
  <c r="C23" i="71"/>
  <c r="AB32" i="71"/>
  <c r="AB33" i="71"/>
  <c r="AB34" i="71"/>
  <c r="AB31" i="71"/>
  <c r="X32" i="71"/>
  <c r="X33" i="71"/>
  <c r="X34" i="71"/>
  <c r="X35" i="71"/>
  <c r="L3" i="79"/>
  <c r="U3" i="79"/>
  <c r="R5" i="79"/>
  <c r="AF5" i="79" s="1"/>
  <c r="V5" i="79"/>
  <c r="AJ5" i="79" s="1"/>
  <c r="U6" i="79"/>
  <c r="AI6"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U9" i="34"/>
  <c r="S27" i="34"/>
  <c r="S17" i="34"/>
  <c r="U17" i="34"/>
  <c r="W17" i="34"/>
  <c r="S15" i="34"/>
  <c r="U15" i="34"/>
  <c r="G1" i="15"/>
  <c r="B6" i="1"/>
  <c r="E6" i="1" s="1"/>
  <c r="T9" i="1"/>
  <c r="F3" i="35"/>
  <c r="G1" i="69"/>
  <c r="K1" i="12"/>
  <c r="G1" i="67"/>
  <c r="T48" i="34"/>
  <c r="V48" i="34"/>
  <c r="E55" i="34"/>
  <c r="F55" i="34" s="1"/>
  <c r="P16" i="1"/>
  <c r="C11" i="12" s="1"/>
  <c r="C12" i="12" s="1"/>
  <c r="B25" i="31"/>
  <c r="B28" i="31"/>
  <c r="B32"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116" i="43"/>
  <c r="N94" i="46"/>
  <c r="M4" i="43"/>
  <c r="C6" i="43"/>
  <c r="C21" i="43"/>
  <c r="H21" i="43"/>
  <c r="L21" i="43"/>
  <c r="H50" i="43"/>
  <c r="H53" i="43"/>
  <c r="H56" i="43"/>
  <c r="H72" i="43"/>
  <c r="H76" i="43"/>
  <c r="H79" i="43"/>
  <c r="H94" i="43"/>
  <c r="H97" i="43"/>
  <c r="H100" i="43"/>
  <c r="D21" i="43"/>
  <c r="I21" i="43"/>
  <c r="M21" i="43"/>
  <c r="F26" i="43"/>
  <c r="C27" i="43"/>
  <c r="F37" i="43"/>
  <c r="F39" i="43"/>
  <c r="H75"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9" i="67"/>
  <c r="M27" i="15"/>
  <c r="M22" i="15"/>
  <c r="F36" i="15"/>
  <c r="F6" i="73"/>
  <c r="C36" i="69"/>
  <c r="F6" i="15"/>
  <c r="M23" i="67"/>
  <c r="M26" i="15"/>
  <c r="F16" i="15"/>
  <c r="F3" i="73"/>
  <c r="F42" i="15"/>
  <c r="F4" i="73"/>
  <c r="F7" i="73"/>
  <c r="M28" i="15"/>
  <c r="D9" i="69"/>
  <c r="F38" i="15"/>
  <c r="M8" i="15"/>
  <c r="F40" i="15"/>
  <c r="M6" i="67"/>
  <c r="F8" i="15"/>
  <c r="F5" i="73"/>
  <c r="F9" i="15"/>
  <c r="J15" i="15"/>
  <c r="L47" i="15"/>
  <c r="F37" i="15"/>
  <c r="F13" i="15"/>
  <c r="F26" i="15"/>
  <c r="D7" i="73"/>
  <c r="M23" i="15"/>
  <c r="C28" i="43" l="1"/>
  <c r="AH6" i="79"/>
  <c r="H89" i="43"/>
  <c r="H86" i="43"/>
  <c r="H90" i="43"/>
  <c r="H83" i="43"/>
  <c r="H84" i="43"/>
  <c r="H87" i="43"/>
  <c r="H85" i="43"/>
  <c r="H88" i="43"/>
  <c r="AQ11" i="1"/>
  <c r="G5" i="3"/>
  <c r="B3" i="3" s="1"/>
  <c r="E20" i="3" s="1"/>
  <c r="AQ9" i="1"/>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AZ385" i="3"/>
  <c r="AZ321" i="3"/>
  <c r="AZ502" i="3"/>
  <c r="AZ438" i="3"/>
  <c r="AZ470" i="3"/>
  <c r="AZ411" i="3"/>
  <c r="AZ558" i="3"/>
  <c r="AZ354" i="3"/>
  <c r="AZ250" i="3"/>
  <c r="AZ174" i="3"/>
  <c r="AZ87" i="3"/>
  <c r="AZ446" i="3"/>
  <c r="AZ343" i="3"/>
  <c r="U14" i="40"/>
  <c r="AB14" i="40"/>
  <c r="F17" i="33"/>
  <c r="AZ549" i="3"/>
  <c r="AZ484" i="3"/>
  <c r="AZ417" i="3"/>
  <c r="U27" i="34"/>
  <c r="AZ468" i="3"/>
  <c r="AZ190" i="3"/>
  <c r="AZ150" i="3"/>
  <c r="AZ472" i="3"/>
  <c r="AZ28" i="3"/>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T92" i="33"/>
  <c r="D19" i="12"/>
  <c r="C19" i="12" s="1"/>
  <c r="AB9" i="33"/>
  <c r="U9" i="3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5" i="15"/>
  <c r="N59" i="15"/>
  <c r="M59" i="15"/>
  <c r="L59" i="15"/>
  <c r="Q61" i="15" s="1"/>
  <c r="C27" i="15"/>
  <c r="C34" i="15"/>
  <c r="F66" i="15"/>
  <c r="F64" i="15"/>
  <c r="F68" i="15"/>
  <c r="F51"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D3" i="73"/>
  <c r="F26" i="67"/>
  <c r="C76" i="15"/>
  <c r="M28" i="67"/>
  <c r="M24" i="67"/>
  <c r="F6" i="67"/>
  <c r="D4" i="73"/>
  <c r="F9" i="67"/>
  <c r="M26" i="67"/>
  <c r="M27" i="67"/>
  <c r="F42" i="67"/>
  <c r="F37" i="67"/>
  <c r="M8" i="67"/>
  <c r="F27" i="69"/>
  <c r="M22" i="67"/>
  <c r="F38" i="67"/>
  <c r="M6" i="15"/>
  <c r="F16" i="67"/>
  <c r="D5" i="73"/>
  <c r="L48" i="67"/>
  <c r="J15" i="67"/>
  <c r="F40" i="67"/>
  <c r="C76" i="67"/>
  <c r="F36" i="67"/>
  <c r="L47" i="67"/>
  <c r="M9" i="15"/>
  <c r="D6" i="73"/>
  <c r="F13" i="67"/>
  <c r="L48" i="15"/>
  <c r="M24" i="15"/>
  <c r="F8" i="67"/>
  <c r="K1" i="73" l="1"/>
  <c r="AZ5" i="3"/>
  <c r="E3" i="6" s="1"/>
  <c r="F68" i="67"/>
  <c r="J57" i="15"/>
  <c r="J55" i="15" s="1"/>
  <c r="J58" i="15" s="1"/>
  <c r="Q50" i="15" s="1"/>
  <c r="I54" i="15"/>
  <c r="L58" i="15"/>
  <c r="Q60" i="15" s="1"/>
  <c r="J53" i="15"/>
  <c r="L56" i="15" s="1"/>
  <c r="C47" i="69"/>
  <c r="D45" i="69" s="1"/>
  <c r="F45" i="69"/>
  <c r="C29" i="69"/>
  <c r="D27" i="69" s="1"/>
  <c r="Q71" i="15"/>
  <c r="C27" i="67"/>
  <c r="F65" i="67"/>
  <c r="D32" i="77"/>
  <c r="AB17" i="33"/>
  <c r="S17" i="33"/>
  <c r="AA17" i="33"/>
  <c r="D66" i="71"/>
  <c r="O65" i="71"/>
  <c r="O66" i="71"/>
  <c r="U36" i="33"/>
  <c r="AB36" i="33"/>
  <c r="AA36" i="33"/>
  <c r="S36" i="33"/>
  <c r="M11" i="15"/>
  <c r="J10" i="15" s="1"/>
  <c r="E37" i="34"/>
  <c r="F37" i="34" s="1"/>
  <c r="G37" i="34"/>
  <c r="H37" i="34" s="1"/>
  <c r="I37" i="34"/>
  <c r="J37" i="34" s="1"/>
  <c r="C40" i="71"/>
  <c r="D39" i="71"/>
  <c r="K120" i="9"/>
  <c r="A18" i="62" s="1"/>
  <c r="B64" i="72" s="1"/>
  <c r="D121" i="9"/>
  <c r="D7" i="52" s="1"/>
  <c r="D6" i="52"/>
  <c r="B24" i="72"/>
  <c r="D9" i="53"/>
  <c r="B25" i="72" s="1"/>
  <c r="E19" i="6"/>
  <c r="T95" i="33"/>
  <c r="T94" i="33"/>
  <c r="T93" i="33"/>
  <c r="J28" i="33"/>
  <c r="AY6" i="3"/>
  <c r="AY528" i="3" s="1"/>
  <c r="Q74" i="15"/>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E32" i="77" s="1"/>
  <c r="V16" i="71"/>
  <c r="E15" i="71"/>
  <c r="E14" i="71" s="1"/>
  <c r="E13" i="71" s="1"/>
  <c r="E12" i="71" s="1"/>
  <c r="C33" i="15"/>
  <c r="F11" i="15"/>
  <c r="AC6" i="3"/>
  <c r="H6" i="3"/>
  <c r="E58" i="40"/>
  <c r="E62" i="39"/>
  <c r="E60" i="40"/>
  <c r="E64" i="39"/>
  <c r="E59" i="40"/>
  <c r="E63" i="39"/>
  <c r="D116" i="43"/>
  <c r="E57" i="40"/>
  <c r="E61" i="39"/>
  <c r="E60" i="39"/>
  <c r="E56" i="40"/>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G1" i="73"/>
  <c r="AY52" i="3" l="1"/>
  <c r="AY36" i="3"/>
  <c r="AY252" i="3"/>
  <c r="AY257" i="3"/>
  <c r="AY60" i="3"/>
  <c r="AY33" i="3"/>
  <c r="AY249" i="3"/>
  <c r="AY361" i="3"/>
  <c r="AY377" i="3"/>
  <c r="AY68" i="3"/>
  <c r="AY49" i="3"/>
  <c r="AY53" i="3"/>
  <c r="AY226" i="3"/>
  <c r="AY65" i="3"/>
  <c r="AY438" i="3"/>
  <c r="AY459" i="3"/>
  <c r="AY37" i="3"/>
  <c r="AY522" i="3"/>
  <c r="AY523" i="3"/>
  <c r="AY397" i="3"/>
  <c r="AY443" i="3"/>
  <c r="BB6" i="3"/>
  <c r="AY405" i="3"/>
  <c r="BF6" i="3"/>
  <c r="AY538" i="3"/>
  <c r="AY462" i="3"/>
  <c r="BJ6" i="3"/>
  <c r="AY539" i="3"/>
  <c r="AY478" i="3"/>
  <c r="BN6" i="3"/>
  <c r="AY26" i="3"/>
  <c r="BR6" i="3"/>
  <c r="AY241" i="3"/>
  <c r="AY28" i="3"/>
  <c r="AY244" i="3"/>
  <c r="AY168" i="3"/>
  <c r="AY164" i="3"/>
  <c r="AY133" i="3"/>
  <c r="AY94" i="3"/>
  <c r="AY55" i="3"/>
  <c r="AY366" i="3"/>
  <c r="AY456" i="3"/>
  <c r="AY208" i="3"/>
  <c r="AY145" i="3"/>
  <c r="AY106" i="3"/>
  <c r="AY71" i="3"/>
  <c r="AY386" i="3"/>
  <c r="AY518" i="3"/>
  <c r="BC6" i="3"/>
  <c r="AY79" i="3"/>
  <c r="BG6" i="3"/>
  <c r="AY200" i="3"/>
  <c r="AY161" i="3"/>
  <c r="AY122" i="3"/>
  <c r="AY95" i="3"/>
  <c r="AY430" i="3"/>
  <c r="AY433" i="3"/>
  <c r="BO6" i="3"/>
  <c r="AY80" i="3"/>
  <c r="AY177" i="3"/>
  <c r="AY138" i="3"/>
  <c r="AY115" i="3"/>
  <c r="AY203" i="3"/>
  <c r="AY545" i="3"/>
  <c r="BS6" i="3"/>
  <c r="AY88" i="3"/>
  <c r="AY181" i="3"/>
  <c r="AY142" i="3"/>
  <c r="AY119" i="3"/>
  <c r="AY215" i="3"/>
  <c r="AY575" i="3"/>
  <c r="AY341" i="3"/>
  <c r="BL6" i="3"/>
  <c r="AY21" i="3"/>
  <c r="AY365" i="3"/>
  <c r="AY233" i="3"/>
  <c r="AY321" i="3"/>
  <c r="AY395" i="3"/>
  <c r="AY180" i="3"/>
  <c r="AY188" i="3"/>
  <c r="AY149" i="3"/>
  <c r="AY110" i="3"/>
  <c r="AY398" i="3"/>
  <c r="AY543" i="3"/>
  <c r="BK6" i="3"/>
  <c r="AY40" i="3"/>
  <c r="AY165" i="3"/>
  <c r="AY126" i="3"/>
  <c r="AY99" i="3"/>
  <c r="AY533" i="3"/>
  <c r="AY461" i="3"/>
  <c r="AY14" i="3"/>
  <c r="AY136" i="3"/>
  <c r="AY193" i="3"/>
  <c r="AY154" i="3"/>
  <c r="AY135" i="3"/>
  <c r="AY235" i="3"/>
  <c r="AY544" i="3"/>
  <c r="AY192" i="3"/>
  <c r="AY17" i="3"/>
  <c r="AY228" i="3"/>
  <c r="AY289" i="3"/>
  <c r="AY375" i="3"/>
  <c r="AY24" i="3"/>
  <c r="AY25" i="3"/>
  <c r="AY373" i="3"/>
  <c r="AY236" i="3"/>
  <c r="AY329" i="3"/>
  <c r="AY408" i="3"/>
  <c r="B40" i="1"/>
  <c r="F25" i="12" s="1"/>
  <c r="C26" i="12" s="1"/>
  <c r="D25" i="12"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AY64" i="3"/>
  <c r="AY100" i="3"/>
  <c r="AY85" i="3"/>
  <c r="AY210" i="3"/>
  <c r="AY174" i="3"/>
  <c r="AY163" i="3"/>
  <c r="AY279" i="3"/>
  <c r="AY531" i="3"/>
  <c r="AY116" i="3"/>
  <c r="AY120" i="3"/>
  <c r="AY128" i="3"/>
  <c r="AY132" i="3"/>
  <c r="BE6" i="3"/>
  <c r="AY113" i="3"/>
  <c r="AY301" i="3"/>
  <c r="AY74" i="3"/>
  <c r="AY212" i="3"/>
  <c r="AY31" i="3"/>
  <c r="AY198" i="3"/>
  <c r="AY322" i="3"/>
  <c r="AY331" i="3"/>
  <c r="AY348" i="3"/>
  <c r="AY92" i="3"/>
  <c r="AY42" i="3"/>
  <c r="AY258" i="3"/>
  <c r="BP6" i="3"/>
  <c r="AY46" i="3"/>
  <c r="AY270" i="3"/>
  <c r="AY56" i="3"/>
  <c r="BT6" i="3"/>
  <c r="AY269" i="3"/>
  <c r="AY58" i="3"/>
  <c r="AY186" i="3"/>
  <c r="AY179" i="3"/>
  <c r="AY290" i="3"/>
  <c r="AY299" i="3"/>
  <c r="AY144" i="3"/>
  <c r="AY152" i="3"/>
  <c r="AY148" i="3"/>
  <c r="BI6" i="3"/>
  <c r="AY117" i="3"/>
  <c r="AY309" i="3"/>
  <c r="AY78" i="3"/>
  <c r="AY220" i="3"/>
  <c r="AY35" i="3"/>
  <c r="AY206" i="3"/>
  <c r="AY334" i="3"/>
  <c r="AY343" i="3"/>
  <c r="AY376" i="3"/>
  <c r="AY16" i="3"/>
  <c r="AY32" i="3"/>
  <c r="AY20" i="3"/>
  <c r="BD6" i="3"/>
  <c r="AY81" i="3"/>
  <c r="AY209" i="3"/>
  <c r="AY170" i="3"/>
  <c r="AY265" i="3"/>
  <c r="AY159" i="3"/>
  <c r="AY267" i="3"/>
  <c r="AY514" i="3"/>
  <c r="AY72" i="3"/>
  <c r="AY97" i="3"/>
  <c r="AY420" i="3"/>
  <c r="AY585" i="3"/>
  <c r="AY160" i="3"/>
  <c r="AY184" i="3"/>
  <c r="AY156" i="3"/>
  <c r="BM6" i="3"/>
  <c r="AY129" i="3"/>
  <c r="AY333" i="3"/>
  <c r="AY90" i="3"/>
  <c r="AY225" i="3"/>
  <c r="AY51" i="3"/>
  <c r="AY281" i="3"/>
  <c r="AY354" i="3"/>
  <c r="AY363" i="3"/>
  <c r="AY432" i="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M18" i="9"/>
  <c r="B118" i="9" s="1"/>
  <c r="B14" i="74" s="1"/>
  <c r="B1" i="74" s="1"/>
  <c r="E27" i="6"/>
  <c r="D1" i="43"/>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32" i="67"/>
  <c r="C33" i="67"/>
  <c r="C20" i="11"/>
  <c r="F7" i="37"/>
  <c r="W7" i="34"/>
  <c r="AC7" i="34"/>
  <c r="F1" i="67"/>
  <c r="Q52" i="67"/>
  <c r="H7" i="37"/>
  <c r="D65" i="40"/>
  <c r="E63" i="40"/>
  <c r="J7" i="33"/>
  <c r="H7" i="34"/>
  <c r="Q57" i="67"/>
  <c r="Q66" i="67"/>
  <c r="Q74" i="67"/>
  <c r="Q61" i="67"/>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60" i="15"/>
  <c r="AE8" i="1"/>
  <c r="AE7" i="1"/>
  <c r="M29" i="15"/>
  <c r="F43" i="15"/>
  <c r="C34" i="69"/>
  <c r="F43" i="67"/>
  <c r="M29" i="67"/>
  <c r="F7" i="67"/>
  <c r="F7" i="15"/>
  <c r="D10" i="69"/>
  <c r="AE6" i="1"/>
  <c r="F41" i="15" s="1"/>
  <c r="F69" i="15" l="1"/>
  <c r="F31" i="15"/>
  <c r="C6" i="15"/>
  <c r="C10" i="15" s="1"/>
  <c r="F50" i="15"/>
  <c r="M7" i="15"/>
  <c r="F71" i="15"/>
  <c r="F24" i="15"/>
  <c r="C24" i="15" s="1"/>
  <c r="F22" i="68"/>
  <c r="C44" i="68" s="1"/>
  <c r="D41" i="68" s="1"/>
  <c r="F24" i="67"/>
  <c r="C24" i="67" s="1"/>
  <c r="D20" i="6"/>
  <c r="D26" i="6"/>
  <c r="L36" i="43"/>
  <c r="O36" i="43" s="1"/>
  <c r="F22" i="69"/>
  <c r="C26" i="69" s="1"/>
  <c r="D22" i="69" s="1"/>
  <c r="D21" i="6"/>
  <c r="W7" i="21"/>
  <c r="F22" i="11"/>
  <c r="C23" i="11" s="1"/>
  <c r="U7" i="21"/>
  <c r="AC7" i="36"/>
  <c r="V36" i="36" s="1"/>
  <c r="I36" i="36" s="1"/>
  <c r="AA7" i="21"/>
  <c r="R48" i="21" s="1"/>
  <c r="E48" i="21" s="1"/>
  <c r="D23" i="6"/>
  <c r="D15" i="6"/>
  <c r="D14" i="6"/>
  <c r="D11" i="6"/>
  <c r="D5" i="6"/>
  <c r="D9" i="6"/>
  <c r="D29" i="6"/>
  <c r="D10" i="6"/>
  <c r="K16" i="1"/>
  <c r="N27" i="1" s="1"/>
  <c r="D24" i="6"/>
  <c r="D6" i="6"/>
  <c r="D28" i="6"/>
  <c r="E61" i="40"/>
  <c r="D25" i="6"/>
  <c r="C18" i="4"/>
  <c r="C4" i="52" s="1"/>
  <c r="B45" i="72" s="1"/>
  <c r="D19" i="6"/>
  <c r="M19" i="9" s="1"/>
  <c r="C118" i="9" s="1"/>
  <c r="D22" i="6"/>
  <c r="D8" i="6"/>
  <c r="D13" i="6"/>
  <c r="AB7" i="36"/>
  <c r="T36" i="36" s="1"/>
  <c r="G36" i="36" s="1"/>
  <c r="G41" i="36" s="1"/>
  <c r="H41" i="36" s="1"/>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Q16" i="1"/>
  <c r="AA29" i="33"/>
  <c r="S29" i="33"/>
  <c r="AB29" i="33"/>
  <c r="U29" i="33"/>
  <c r="P98" i="33"/>
  <c r="P97" i="33"/>
  <c r="P99" i="33"/>
  <c r="H28" i="33" s="1"/>
  <c r="H32" i="33"/>
  <c r="J32" i="33"/>
  <c r="F32" i="33"/>
  <c r="AC29" i="33"/>
  <c r="W29" i="33"/>
  <c r="U7" i="33"/>
  <c r="C26" i="68"/>
  <c r="D22" i="68" s="1"/>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10" i="68"/>
  <c r="D19" i="68"/>
  <c r="C21" i="12"/>
  <c r="G40" i="36"/>
  <c r="H40" i="36" s="1"/>
  <c r="I40" i="36"/>
  <c r="J40" i="36" s="1"/>
  <c r="C6" i="69"/>
  <c r="E33" i="43"/>
  <c r="C6" i="68" s="1"/>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15"/>
  <c r="C16" i="67"/>
  <c r="F41" i="67"/>
  <c r="C7" i="68" l="1"/>
  <c r="C5" i="68"/>
  <c r="F41" i="68"/>
  <c r="C24" i="11"/>
  <c r="C44" i="11"/>
  <c r="D41" i="11" s="1"/>
  <c r="M16" i="1"/>
  <c r="C34" i="11" s="1"/>
  <c r="C38" i="11" s="1"/>
  <c r="M36" i="43"/>
  <c r="C24" i="69"/>
  <c r="M17" i="15"/>
  <c r="J6" i="15"/>
  <c r="Q36" i="43"/>
  <c r="C49" i="15"/>
  <c r="F59" i="15"/>
  <c r="N36" i="43"/>
  <c r="C32" i="15"/>
  <c r="C5" i="15"/>
  <c r="C38" i="15" s="1"/>
  <c r="C31" i="15"/>
  <c r="C23" i="68"/>
  <c r="A10" i="51"/>
  <c r="B9" i="72" s="1"/>
  <c r="C26" i="11"/>
  <c r="D22" i="11" s="1"/>
  <c r="C44" i="69"/>
  <c r="D41" i="69" s="1"/>
  <c r="L37" i="43"/>
  <c r="P37" i="43" s="1"/>
  <c r="C25" i="11"/>
  <c r="A7" i="51"/>
  <c r="B7" i="72" s="1"/>
  <c r="F41" i="69"/>
  <c r="P36" i="43"/>
  <c r="R49" i="21"/>
  <c r="M20" i="6"/>
  <c r="I20" i="6" s="1"/>
  <c r="S20" i="6" s="1"/>
  <c r="S7" i="1"/>
  <c r="E7" i="70" s="1"/>
  <c r="M21" i="6"/>
  <c r="I21" i="6" s="1"/>
  <c r="S21" i="6" s="1"/>
  <c r="S8" i="1"/>
  <c r="D30" i="6"/>
  <c r="D16" i="6"/>
  <c r="D27" i="6"/>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5" i="6"/>
  <c r="H25" i="6"/>
  <c r="R25" i="6" s="1"/>
  <c r="J6" i="67"/>
  <c r="M17" i="67"/>
  <c r="AA34" i="34"/>
  <c r="R49" i="34" s="1"/>
  <c r="E49" i="34" s="1"/>
  <c r="E53" i="34" s="1"/>
  <c r="F53" i="34" s="1"/>
  <c r="S34" i="34"/>
  <c r="M19" i="6"/>
  <c r="K27" i="6"/>
  <c r="S6" i="1"/>
  <c r="C49" i="67"/>
  <c r="F59" i="67"/>
  <c r="U28" i="33"/>
  <c r="AB28" i="33"/>
  <c r="AA32" i="33"/>
  <c r="S32" i="33"/>
  <c r="W32" i="33"/>
  <c r="AC32" i="33"/>
  <c r="F28" i="33"/>
  <c r="F31" i="33"/>
  <c r="H31" i="33"/>
  <c r="J31" i="33"/>
  <c r="AB32" i="33"/>
  <c r="U32" i="33"/>
  <c r="D19" i="71"/>
  <c r="C18" i="71"/>
  <c r="F69" i="67"/>
  <c r="C33" i="69"/>
  <c r="C39" i="69" s="1"/>
  <c r="C43" i="69" s="1"/>
  <c r="C22" i="12"/>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67"/>
  <c r="C17" i="15"/>
  <c r="E6" i="76"/>
  <c r="C17" i="67"/>
  <c r="Q37" i="43" l="1"/>
  <c r="C22" i="11"/>
  <c r="C35" i="11"/>
  <c r="M37" i="43"/>
  <c r="N16" i="1"/>
  <c r="F50" i="68" s="1"/>
  <c r="O37" i="43"/>
  <c r="N37" i="43"/>
  <c r="L16" i="1"/>
  <c r="C34" i="68"/>
  <c r="C35" i="68" s="1"/>
  <c r="C61" i="15"/>
  <c r="C59" i="15"/>
  <c r="C48" i="15"/>
  <c r="C66" i="15" s="1"/>
  <c r="J18" i="15"/>
  <c r="J5" i="15"/>
  <c r="J19" i="15"/>
  <c r="J17" i="15"/>
  <c r="D31" i="6"/>
  <c r="I5" i="6" s="1"/>
  <c r="H20" i="6"/>
  <c r="R20" i="6" s="1"/>
  <c r="R7" i="1" s="1"/>
  <c r="H21" i="6"/>
  <c r="R21" i="6" s="1"/>
  <c r="R8" i="1" s="1"/>
  <c r="E8" i="70"/>
  <c r="AR7" i="1"/>
  <c r="T7" i="1"/>
  <c r="AQ7" i="1"/>
  <c r="AR8" i="1"/>
  <c r="T8" i="1"/>
  <c r="AQ8" i="1"/>
  <c r="I54" i="34"/>
  <c r="J54" i="34" s="1"/>
  <c r="F50" i="69"/>
  <c r="F50" i="1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C14" i="15"/>
  <c r="B6" i="76"/>
  <c r="C38" i="68" l="1"/>
  <c r="C33" i="68" s="1"/>
  <c r="C42" i="68" s="1"/>
  <c r="I6" i="6"/>
  <c r="C18" i="15"/>
  <c r="C15" i="15"/>
  <c r="J26" i="15"/>
  <c r="J29" i="15" s="1"/>
  <c r="J24" i="15"/>
  <c r="T16" i="1"/>
  <c r="E2" i="70"/>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28" i="68"/>
  <c r="C27" i="68" s="1"/>
  <c r="C22" i="68"/>
  <c r="C22" i="69"/>
  <c r="C28" i="69"/>
  <c r="C27" i="69" s="1"/>
  <c r="B2" i="76"/>
  <c r="B3" i="76" s="1"/>
  <c r="H65" i="40"/>
  <c r="I63" i="40"/>
  <c r="B3" i="43"/>
  <c r="H69" i="39"/>
  <c r="I67" i="39"/>
  <c r="B3" i="34"/>
  <c r="B2" i="34"/>
  <c r="C19" i="15" l="1"/>
  <c r="C20" i="15" s="1"/>
  <c r="C26" i="15" s="1"/>
  <c r="C39" i="68"/>
  <c r="C43" i="68" s="1"/>
  <c r="C41" i="68"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31" i="68"/>
  <c r="C31" i="69"/>
  <c r="C52" i="69" s="1"/>
  <c r="B2" i="69" s="1"/>
  <c r="C34" i="67"/>
  <c r="C31" i="67" s="1"/>
  <c r="I65" i="40"/>
  <c r="J63" i="40"/>
  <c r="I69" i="39"/>
  <c r="J67" i="39"/>
  <c r="B3" i="69"/>
  <c r="C46" i="68" l="1"/>
  <c r="C45" i="68" s="1"/>
  <c r="C49" i="68" s="1"/>
  <c r="C51" i="68" s="1"/>
  <c r="C52" i="68" s="1"/>
  <c r="B2" i="68" s="1"/>
  <c r="C23" i="15"/>
  <c r="C29" i="15" s="1"/>
  <c r="C13" i="15" s="1"/>
  <c r="J14" i="67"/>
  <c r="J22" i="67" s="1"/>
  <c r="C13" i="67"/>
  <c r="C75" i="67" s="1"/>
  <c r="C36" i="67"/>
  <c r="J59" i="67"/>
  <c r="J60" i="67" s="1"/>
  <c r="Q49" i="67"/>
  <c r="R6" i="1"/>
  <c r="R27" i="6"/>
  <c r="B3" i="33"/>
  <c r="D15" i="71"/>
  <c r="C14" i="71"/>
  <c r="U16" i="71"/>
  <c r="M23" i="43"/>
  <c r="C56" i="11"/>
  <c r="C57" i="11" s="1"/>
  <c r="C57" i="69"/>
  <c r="C56" i="69" s="1"/>
  <c r="J69" i="39"/>
  <c r="K67" i="39"/>
  <c r="J65" i="40"/>
  <c r="K63" i="40"/>
  <c r="C19" i="9"/>
  <c r="M21" i="15"/>
  <c r="F35" i="67"/>
  <c r="M21" i="67"/>
  <c r="F35" i="15"/>
  <c r="C102" i="9" l="1"/>
  <c r="C21" i="9"/>
  <c r="B3" i="68"/>
  <c r="J59" i="15"/>
  <c r="J60" i="15" s="1"/>
  <c r="Q48" i="15" s="1"/>
  <c r="C57" i="15"/>
  <c r="C64" i="15" s="1"/>
  <c r="Q49" i="15"/>
  <c r="C36" i="15"/>
  <c r="J14" i="15"/>
  <c r="J20" i="15"/>
  <c r="F63" i="15"/>
  <c r="C62" i="15" s="1"/>
  <c r="J13" i="15"/>
  <c r="J23" i="15" s="1"/>
  <c r="J22" i="15"/>
  <c r="C37" i="15"/>
  <c r="C75" i="15"/>
  <c r="C56" i="15"/>
  <c r="C65" i="15" s="1"/>
  <c r="C58" i="15" s="1"/>
  <c r="C67" i="15" s="1"/>
  <c r="C68" i="15" s="1"/>
  <c r="Q70" i="15"/>
  <c r="C56" i="67"/>
  <c r="C65" i="67" s="1"/>
  <c r="J13" i="67"/>
  <c r="J23" i="67" s="1"/>
  <c r="Q70" i="67"/>
  <c r="C37" i="67"/>
  <c r="C30" i="67" s="1"/>
  <c r="C39" i="67" s="1"/>
  <c r="Q69" i="67" s="1"/>
  <c r="L46" i="67"/>
  <c r="Q48" i="67"/>
  <c r="J20" i="67"/>
  <c r="J17" i="67" s="1"/>
  <c r="F63" i="67"/>
  <c r="C62" i="67" s="1"/>
  <c r="C59" i="67" s="1"/>
  <c r="R16" i="1"/>
  <c r="N28" i="1" s="1"/>
  <c r="P29" i="1" s="1"/>
  <c r="D14" i="71"/>
  <c r="C13" i="71"/>
  <c r="C57" i="68"/>
  <c r="C56" i="68" s="1"/>
  <c r="K65" i="40"/>
  <c r="L63" i="40"/>
  <c r="K69" i="39"/>
  <c r="L67" i="39"/>
  <c r="C20" i="9"/>
  <c r="C103" i="9" l="1"/>
  <c r="C30" i="15"/>
  <c r="C39" i="15" s="1"/>
  <c r="Q69" i="15" s="1"/>
  <c r="Q68" i="15" s="1"/>
  <c r="J16" i="15"/>
  <c r="J25" i="15" s="1"/>
  <c r="C71" i="15"/>
  <c r="C58" i="67"/>
  <c r="C67" i="67" s="1"/>
  <c r="C68" i="67" s="1"/>
  <c r="C71" i="67" s="1"/>
  <c r="Q68" i="67"/>
  <c r="J16" i="67"/>
  <c r="J25" i="67" s="1"/>
  <c r="H40" i="67"/>
  <c r="C40" i="67"/>
  <c r="Q47" i="67" s="1"/>
  <c r="Q53" i="67" s="1"/>
  <c r="C80" i="67"/>
  <c r="C79" i="67" s="1"/>
  <c r="D13" i="71"/>
  <c r="C12" i="71"/>
  <c r="L65" i="40"/>
  <c r="M63" i="40"/>
  <c r="L69" i="39"/>
  <c r="M67" i="39"/>
  <c r="L51" i="67"/>
  <c r="C80" i="15" l="1"/>
  <c r="C79" i="15" s="1"/>
  <c r="C40" i="15"/>
  <c r="C46" i="15" s="1"/>
  <c r="L57" i="15"/>
  <c r="L60" i="15" s="1"/>
  <c r="Q67" i="67"/>
  <c r="C83" i="67"/>
  <c r="C82" i="67" s="1"/>
  <c r="D2" i="67"/>
  <c r="B3" i="67" s="1"/>
  <c r="C43" i="67"/>
  <c r="Q56" i="67"/>
  <c r="Q62" i="67" s="1"/>
  <c r="C45" i="67"/>
  <c r="C46" i="67" s="1"/>
  <c r="Q65" i="67"/>
  <c r="Q75" i="67" s="1"/>
  <c r="T12" i="71"/>
  <c r="D12" i="71"/>
  <c r="U12" i="71" s="1"/>
  <c r="C11" i="71"/>
  <c r="M69" i="39"/>
  <c r="N67" i="39"/>
  <c r="M65" i="40"/>
  <c r="N63" i="40"/>
  <c r="L51" i="15"/>
  <c r="AO8" i="1"/>
  <c r="C83" i="15" l="1"/>
  <c r="C82" i="15" s="1"/>
  <c r="Q67" i="15"/>
  <c r="Q47" i="15"/>
  <c r="Q53" i="15" s="1"/>
  <c r="Q56" i="15"/>
  <c r="C43" i="15"/>
  <c r="Q65" i="15"/>
  <c r="Q57" i="15"/>
  <c r="Q62" i="15" s="1"/>
  <c r="L46" i="15"/>
  <c r="B2" i="15" s="1"/>
  <c r="B3" i="15" s="1"/>
  <c r="Q66" i="15"/>
  <c r="B8" i="70"/>
  <c r="B2" i="67"/>
  <c r="D11" i="71"/>
  <c r="C10" i="71"/>
  <c r="N65" i="40"/>
  <c r="O63" i="40"/>
  <c r="O65" i="40" s="1"/>
  <c r="N69" i="39"/>
  <c r="O67" i="39"/>
  <c r="O69" i="39" s="1"/>
  <c r="AO6" i="1"/>
  <c r="D19" i="9"/>
  <c r="D20" i="9"/>
  <c r="D35" i="9"/>
  <c r="AO7" i="1"/>
  <c r="D34" i="9"/>
  <c r="G20" i="9" l="1"/>
  <c r="C32" i="9" s="1"/>
  <c r="I118" i="9" s="1"/>
  <c r="H118" i="9" s="1"/>
  <c r="D14" i="74" s="1"/>
  <c r="D103" i="9"/>
  <c r="Q75" i="15"/>
  <c r="B7" i="70"/>
  <c r="B6" i="70"/>
  <c r="B2" i="70" s="1"/>
  <c r="B3" i="70" s="1"/>
  <c r="D22" i="9"/>
  <c r="G19" i="9"/>
  <c r="G21" i="9" s="1"/>
  <c r="D102" i="9"/>
  <c r="D21" i="9"/>
  <c r="C35" i="9"/>
  <c r="D10" i="71"/>
  <c r="C9" i="71"/>
  <c r="H102" i="9"/>
  <c r="C105" i="9"/>
  <c r="I4" i="52"/>
  <c r="J7" i="39"/>
  <c r="F7" i="39"/>
  <c r="H7" i="39"/>
  <c r="F7" i="40"/>
  <c r="H7" i="40"/>
  <c r="J7" i="40"/>
  <c r="E14" i="74" l="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H112" i="9" s="1"/>
  <c r="D21" i="53" s="1"/>
  <c r="B39" i="72" s="1"/>
  <c r="C97" i="9"/>
  <c r="T24" i="31"/>
  <c r="T22" i="31" s="1"/>
  <c r="N58" i="9"/>
  <c r="N60" i="9"/>
  <c r="P57" i="9"/>
  <c r="H111" i="9"/>
  <c r="D19" i="53" s="1"/>
  <c r="D6" i="74"/>
  <c r="C6" i="74"/>
  <c r="D5" i="74"/>
  <c r="C5" i="74"/>
  <c r="U24" i="31" l="1"/>
  <c r="D126" i="9"/>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<sst xmlns="http://schemas.openxmlformats.org/spreadsheetml/2006/main" count="8149" uniqueCount="2876">
  <si>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</si>
  <si>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</si>
  <si>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</si>
  <si>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</si>
  <si>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</si>
  <si>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</si>
  <si>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</si>
  <si>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</si>
  <si>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</si>
  <si>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</si>
  <si>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</si>
  <si>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</si>
  <si>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</si>
  <si>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</si>
  <si>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</si>
  <si>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</si>
  <si>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</si>
  <si>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</si>
  <si>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</si>
  <si>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</si>
  <si>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</si>
  <si>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</si>
  <si>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</si>
  <si>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</si>
  <si>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</si>
  <si>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</si>
  <si>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</si>
  <si>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</si>
  <si>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</si>
  <si>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</si>
  <si>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</si>
  <si>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</si>
  <si>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</si>
  <si>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</si>
  <si>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</si>
  <si>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</si>
  <si>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</si>
  <si>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</si>
  <si>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</si>
  <si>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</si>
  <si>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</si>
  <si>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</si>
  <si>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</si>
  <si>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</si>
  <si>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</si>
  <si>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</si>
  <si>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</si>
  <si>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</si>
  <si>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</si>
  <si>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</si>
  <si>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</si>
  <si>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</si>
  <si>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</si>
  <si>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</si>
  <si>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</si>
  <si>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</si>
  <si>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</si>
  <si>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</si>
  <si>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</si>
  <si>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</si>
  <si>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</si>
  <si>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</si>
  <si>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</si>
  <si>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</si>
  <si>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</si>
  <si>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</si>
  <si>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</si>
  <si>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</si>
  <si>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</si>
  <si>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</si>
  <si>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</si>
  <si>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</si>
  <si>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</si>
  <si>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</si>
  <si>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</si>
  <si>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</si>
  <si>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</si>
  <si>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</si>
  <si>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</si>
  <si>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</si>
  <si>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</si>
  <si>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</si>
  <si>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</si>
  <si>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</si>
  <si>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</si>
  <si>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</si>
  <si>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</si>
  <si>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</si>
  <si>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</si>
  <si>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</si>
  <si>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</si>
  <si>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</si>
  <si>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</si>
  <si>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</si>
  <si>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</si>
  <si>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</si>
  <si>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</si>
  <si>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</si>
  <si>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</si>
  <si>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</si>
  <si>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</si>
  <si>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</si>
  <si>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</si>
  <si>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</si>
  <si>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</si>
  <si>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</si>
  <si>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</si>
  <si>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</si>
  <si>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</si>
  <si>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</si>
  <si>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</si>
  <si>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</si>
  <si>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</si>
  <si>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</si>
  <si>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</si>
  <si>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</si>
  <si>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</si>
  <si>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</si>
  <si>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</si>
  <si>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</si>
  <si>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</si>
  <si>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</si>
  <si>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</si>
  <si>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</si>
  <si>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</si>
  <si>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</si>
  <si>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</si>
  <si>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</si>
  <si>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</si>
  <si>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</si>
  <si>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</si>
  <si>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</si>
  <si>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</si>
  <si>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</si>
  <si>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</si>
  <si>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</si>
  <si>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</si>
  <si>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</si>
  <si>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</si>
  <si>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</si>
  <si>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</si>
  <si>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</si>
  <si>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</si>
  <si>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</si>
  <si>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</si>
  <si>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</si>
  <si>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</si>
  <si>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</si>
  <si>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</si>
  <si>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</si>
  <si>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</si>
  <si>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</si>
  <si>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</si>
  <si>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</si>
  <si>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</si>
  <si>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</si>
  <si>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</si>
  <si>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</si>
  <si>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</si>
  <si>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</si>
  <si>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</si>
  <si>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</si>
  <si>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</si>
  <si>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</si>
  <si>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</si>
  <si>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</si>
  <si>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</si>
  <si>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</si>
  <si>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</si>
  <si>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</si>
  <si>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</si>
  <si>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</si>
  <si>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</si>
  <si>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</si>
  <si>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</si>
  <si>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</si>
  <si>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</si>
  <si>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</si>
  <si>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</si>
  <si>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</si>
  <si>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</si>
  <si>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</si>
  <si>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</si>
  <si>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</si>
  <si>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</si>
  <si>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</si>
  <si>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</si>
  <si>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</si>
  <si>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</si>
  <si>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</si>
  <si>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</si>
  <si>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</si>
  <si>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</si>
  <si>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</si>
  <si>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</si>
  <si>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</si>
  <si>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</si>
  <si>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</si>
  <si>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</si>
  <si>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</si>
  <si>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</si>
  <si>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</si>
  <si>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</si>
  <si>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</si>
  <si>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</si>
  <si>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</si>
  <si>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</si>
  <si>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</si>
  <si>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</si>
  <si>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</si>
  <si>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</si>
  <si>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</si>
  <si>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</si>
  <si>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</si>
  <si>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</si>
  <si>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</si>
  <si>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</si>
  <si>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</si>
  <si>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</si>
  <si>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</si>
  <si>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</si>
  <si>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</si>
  <si>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</si>
  <si>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</si>
  <si>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</si>
  <si>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</si>
  <si>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</si>
  <si>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</si>
  <si>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</si>
  <si>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</si>
  <si>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</si>
  <si>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</si>
  <si>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</si>
  <si>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</si>
  <si>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</si>
  <si>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</si>
  <si>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</si>
  <si>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</si>
  <si>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</si>
  <si>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</si>
  <si>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</si>
  <si>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</si>
  <si>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</si>
  <si>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</si>
  <si>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</si>
  <si>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</si>
  <si>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</si>
  <si>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</si>
  <si>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</si>
  <si>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</si>
  <si>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</si>
  <si>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</si>
  <si>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</si>
  <si>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</si>
  <si>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</si>
  <si>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</si>
  <si>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</si>
  <si>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</si>
  <si>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</si>
  <si>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</si>
  <si>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</si>
  <si>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</si>
  <si>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</si>
  <si>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</si>
  <si>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</si>
  <si>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</si>
  <si>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</si>
  <si>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</si>
  <si>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</si>
  <si>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</si>
  <si>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</si>
  <si>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</si>
  <si>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</si>
  <si>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</si>
  <si>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</si>
  <si>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</si>
  <si>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</si>
  <si>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</si>
  <si>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</si>
  <si>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</si>
  <si>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</si>
  <si>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</si>
  <si>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</si>
  <si>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</si>
  <si>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</si>
  <si>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</si>
  <si>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</si>
  <si>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</si>
  <si>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</si>
  <si>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</si>
  <si>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</si>
  <si>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</si>
  <si>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</si>
  <si>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</si>
  <si>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</si>
  <si>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</si>
  <si>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</si>
  <si>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</si>
  <si>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</si>
  <si>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</si>
  <si>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</si>
  <si>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</si>
  <si>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</si>
  <si>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</si>
  <si>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</si>
  <si>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</si>
  <si>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</si>
  <si>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</si>
  <si>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</si>
  <si>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</si>
  <si>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</si>
  <si>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</si>
  <si>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</si>
  <si>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</si>
  <si>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</si>
  <si>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</si>
  <si>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</si>
  <si>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</si>
  <si>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</si>
  <si>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</si>
  <si>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</si>
  <si>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</si>
  <si>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</si>
  <si>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</si>
  <si>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</si>
  <si>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</si>
  <si>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</si>
  <si>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</si>
  <si>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</si>
  <si>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</si>
  <si>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</si>
  <si>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</si>
  <si>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</si>
  <si>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</si>
  <si>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</si>
  <si>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</si>
  <si>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</si>
  <si>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</si>
  <si>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</si>
  <si>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</si>
  <si>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</si>
  <si>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</si>
  <si>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</si>
  <si>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</si>
  <si>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</si>
  <si>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</si>
  <si>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</si>
  <si>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</si>
  <si>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</si>
  <si>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</si>
  <si>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</si>
  <si>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</si>
  <si>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</si>
  <si>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</si>
  <si>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</si>
  <si>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</si>
  <si>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</si>
  <si>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</si>
  <si>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</si>
  <si>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</si>
  <si>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</si>
  <si>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</si>
  <si>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</si>
  <si>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</si>
  <si>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</si>
  <si>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</si>
  <si>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</si>
  <si>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</si>
  <si>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</si>
  <si>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</si>
  <si>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</si>
  <si>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</si>
  <si>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</si>
  <si>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</si>
  <si>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</si>
  <si>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</si>
  <si>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</si>
  <si>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</si>
  <si>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</si>
  <si>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</si>
  <si>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</si>
  <si>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</si>
  <si>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</si>
  <si>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</si>
  <si>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</si>
  <si>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</si>
  <si>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</si>
  <si>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</si>
  <si>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</si>
  <si>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</si>
  <si>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</si>
  <si>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</si>
  <si>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</si>
  <si>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</si>
  <si>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</si>
  <si>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</si>
  <si>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</si>
  <si>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</si>
  <si>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</si>
  <si>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</si>
  <si>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</si>
  <si>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</si>
  <si>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</si>
  <si>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</si>
  <si>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</si>
  <si>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</si>
  <si>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</si>
  <si>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</si>
  <si>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</si>
  <si>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</si>
  <si>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</si>
  <si>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</si>
  <si>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</si>
  <si>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</si>
  <si>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</si>
  <si>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</si>
  <si>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</si>
  <si>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</si>
  <si>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</si>
  <si>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</si>
  <si>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</si>
  <si>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</si>
  <si>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</si>
  <si>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</si>
  <si>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</si>
  <si>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</si>
  <si>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</si>
  <si>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</si>
  <si>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</si>
  <si>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</si>
  <si>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</si>
  <si>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</si>
  <si>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</si>
  <si>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</si>
  <si>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</si>
  <si>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</si>
  <si>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</si>
  <si>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</si>
  <si>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</si>
  <si>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</si>
  <si>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</si>
  <si>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</si>
  <si>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</si>
  <si>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</si>
  <si>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</si>
  <si>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</si>
  <si>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</si>
  <si>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</si>
  <si>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</si>
  <si>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</si>
  <si>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</si>
  <si>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</si>
  <si>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</si>
  <si>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</si>
  <si>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</si>
  <si>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</si>
  <si>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</si>
  <si>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</si>
  <si>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</si>
  <si>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</si>
  <si>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</si>
  <si>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</si>
  <si>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</si>
  <si>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</si>
  <si>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</si>
  <si>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</si>
  <si>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</si>
  <si>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</si>
  <si>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</si>
  <si>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</si>
  <si>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</si>
  <si>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</si>
  <si>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</si>
  <si>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</si>
  <si>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</si>
  <si>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</si>
  <si>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</si>
  <si>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</si>
  <si>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</si>
  <si>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</si>
  <si>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</si>
  <si>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</si>
  <si>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</si>
  <si>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</si>
  <si>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</si>
  <si>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</si>
  <si>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</si>
  <si>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</si>
  <si>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</si>
  <si>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</si>
  <si>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</si>
  <si>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</si>
  <si>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</si>
  <si>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</si>
  <si>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</si>
  <si>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</si>
  <si>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</si>
  <si>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</si>
  <si>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</si>
  <si>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</si>
  <si>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</si>
  <si>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</si>
  <si>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</si>
  <si>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</si>
  <si>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</si>
  <si>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</si>
  <si>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</si>
  <si>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</si>
  <si>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</si>
  <si>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</si>
  <si>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</si>
  <si>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</si>
  <si>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</si>
  <si>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</si>
  <si>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</si>
  <si>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</si>
  <si>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</si>
  <si>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</si>
  <si>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</si>
  <si>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</si>
  <si>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</si>
  <si>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</si>
  <si>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</si>
  <si>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</si>
  <si>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</si>
  <si>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</si>
  <si>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</si>
  <si>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</si>
  <si>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</si>
  <si>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</si>
  <si>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</si>
  <si>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</si>
  <si>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</si>
  <si>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</si>
  <si>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</si>
  <si>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</si>
  <si>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</si>
  <si>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</si>
  <si>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</si>
  <si>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</si>
  <si>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</si>
  <si>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</si>
  <si>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</si>
  <si>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</si>
  <si>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</si>
  <si>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</si>
  <si>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</si>
  <si>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</si>
  <si>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</si>
  <si>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</si>
  <si>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</si>
  <si>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</si>
  <si>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</si>
  <si>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</si>
  <si>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</si>
  <si>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</si>
  <si>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</si>
  <si>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</si>
  <si>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</si>
  <si>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</si>
  <si>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</si>
  <si>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</si>
  <si>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</si>
  <si>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</si>
  <si>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</si>
  <si>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</si>
  <si>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</si>
  <si>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</si>
  <si>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</si>
  <si>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</si>
  <si>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</si>
  <si>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</si>
  <si>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</si>
  <si>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</si>
  <si>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</si>
  <si>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</si>
  <si>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</si>
  <si>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</si>
  <si>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</si>
  <si>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</si>
  <si>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</si>
  <si>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</si>
  <si>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</si>
  <si>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</si>
  <si>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</si>
  <si>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</si>
  <si>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</si>
  <si>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</si>
  <si>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</si>
  <si>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</si>
  <si>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</si>
  <si>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</si>
  <si>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</si>
  <si>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</si>
  <si>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</si>
  <si>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</si>
  <si>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</si>
  <si>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</si>
  <si>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</si>
  <si>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</si>
  <si>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</si>
  <si>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</si>
  <si>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</si>
  <si>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</si>
  <si>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</si>
  <si>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</si>
  <si>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</si>
  <si>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</si>
  <si>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</si>
  <si>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</si>
  <si>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</si>
  <si>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</si>
  <si>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</si>
  <si>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</si>
  <si>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</si>
  <si>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</si>
  <si>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</si>
  <si>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</si>
  <si>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</si>
  <si>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</si>
  <si>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</si>
  <si>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</si>
  <si>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</si>
  <si>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</si>
  <si>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</si>
  <si>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</si>
  <si>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</si>
  <si>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</si>
  <si>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</si>
  <si>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</si>
  <si>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</si>
  <si>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</si>
  <si>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</si>
  <si>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</si>
  <si>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</si>
  <si>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</si>
  <si>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</si>
  <si>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</si>
  <si>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</si>
  <si>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</si>
  <si>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</si>
  <si>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</si>
  <si>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</si>
  <si>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</si>
  <si>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</si>
  <si>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</si>
  <si>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</si>
  <si>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</si>
  <si>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</si>
  <si>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</si>
  <si>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</si>
  <si>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</si>
  <si>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</si>
  <si>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</si>
  <si>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</si>
  <si>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</si>
  <si>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</si>
  <si>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</si>
  <si>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</si>
  <si>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</si>
  <si>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</si>
  <si>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</si>
  <si>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</si>
  <si>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</si>
  <si>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</si>
  <si>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</si>
  <si>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</si>
  <si>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</si>
  <si>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</si>
  <si>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</si>
  <si>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</si>
  <si>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</si>
  <si>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</si>
  <si>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</si>
  <si>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</si>
  <si>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</si>
  <si>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</si>
  <si>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</si>
  <si>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</si>
  <si>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</si>
  <si>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</si>
  <si>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</si>
  <si>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</si>
  <si>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</si>
  <si>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</si>
  <si>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</si>
  <si>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</si>
  <si>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</si>
  <si>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</si>
  <si>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</si>
  <si>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</si>
  <si>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</si>
  <si>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</si>
  <si>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</si>
  <si>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</si>
  <si>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</si>
  <si>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</si>
  <si>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</si>
  <si>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</si>
  <si>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</si>
  <si>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</si>
  <si>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</si>
  <si>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</si>
  <si>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</si>
  <si>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</si>
  <si>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</si>
  <si>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</si>
  <si>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</si>
  <si>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</si>
  <si>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</si>
  <si>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</si>
  <si>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</si>
  <si>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</si>
  <si>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</si>
  <si>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</si>
  <si>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</si>
  <si>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</si>
  <si>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</si>
  <si>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</si>
  <si>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</si>
  <si>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</si>
  <si>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</si>
  <si>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</si>
  <si>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</si>
  <si>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</si>
  <si>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</si>
  <si>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</si>
  <si>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</si>
  <si>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</si>
  <si>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</si>
  <si>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</si>
  <si>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</si>
  <si>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</si>
  <si>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</si>
  <si>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</si>
  <si>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</si>
  <si>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</si>
  <si>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</si>
  <si>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</si>
  <si>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</si>
  <si>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</si>
  <si>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</si>
  <si>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</si>
  <si>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</si>
  <si>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</si>
  <si>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</si>
  <si>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</si>
  <si>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</si>
  <si>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</si>
  <si>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</si>
  <si>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</si>
  <si>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</si>
  <si>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</si>
  <si>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</si>
  <si>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</si>
  <si>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</si>
  <si>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</si>
  <si>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</si>
  <si>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</si>
  <si>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</si>
  <si>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</si>
  <si>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</si>
  <si>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</si>
  <si>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</si>
  <si>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</si>
  <si>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</si>
  <si>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</si>
  <si>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</si>
  <si>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</si>
  <si>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</si>
  <si>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</si>
  <si>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</si>
  <si>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</si>
  <si>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</si>
  <si>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</si>
  <si>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</si>
  <si>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</si>
  <si>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</si>
  <si>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</si>
  <si>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</si>
  <si>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</si>
  <si>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</si>
  <si>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</si>
  <si>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</si>
  <si>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</si>
  <si>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</si>
  <si>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</si>
  <si>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</si>
  <si>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</si>
  <si>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</si>
  <si>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</si>
  <si>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</si>
  <si>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</si>
  <si>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</si>
  <si>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</si>
  <si>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</si>
  <si>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</si>
  <si>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</si>
  <si>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</si>
  <si>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</si>
  <si>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</si>
  <si>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</si>
  <si>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</si>
  <si>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</si>
  <si>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</si>
  <si>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</si>
  <si>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</si>
  <si>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</si>
  <si>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</si>
  <si>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</si>
  <si>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</si>
  <si>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</si>
  <si>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</si>
  <si>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</si>
  <si>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</si>
  <si>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</si>
  <si>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</si>
  <si>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</si>
  <si>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</si>
  <si>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</si>
  <si>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</si>
  <si>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</si>
  <si>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</si>
  <si>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</si>
  <si>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</si>
  <si>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</si>
  <si>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</si>
  <si>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</si>
  <si>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</si>
  <si>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</si>
  <si>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</si>
  <si>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</si>
  <si>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</si>
  <si>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</si>
  <si>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</si>
  <si>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</si>
  <si>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</si>
  <si>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</si>
  <si>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</si>
  <si>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</si>
  <si>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</si>
  <si>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</si>
  <si>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</si>
  <si>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</si>
  <si>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</si>
  <si>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</si>
  <si>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</si>
  <si>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</si>
  <si>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</si>
  <si>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</si>
  <si>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</si>
  <si>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</si>
  <si>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</si>
  <si>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</si>
  <si>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</si>
  <si>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</si>
  <si>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</si>
  <si>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</si>
  <si>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</si>
  <si>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</si>
  <si>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</si>
  <si>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</si>
  <si>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</si>
  <si>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</si>
  <si>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</si>
  <si>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</si>
  <si>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</si>
  <si>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</si>
  <si>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</si>
  <si>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</si>
  <si>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</si>
  <si>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</si>
  <si>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</si>
  <si>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</si>
  <si>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</si>
  <si>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</si>
  <si>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</si>
  <si>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</si>
  <si>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</si>
  <si>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</si>
  <si>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</si>
  <si>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</si>
  <si>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</si>
  <si>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</si>
  <si>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</si>
  <si>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</si>
  <si>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</si>
  <si>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</si>
  <si>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</si>
  <si>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</si>
  <si>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</si>
  <si>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</si>
  <si>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</si>
  <si>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</si>
  <si>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</si>
  <si>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</si>
  <si>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</si>
  <si>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</si>
  <si>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</si>
  <si>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</si>
  <si>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</si>
  <si>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</si>
  <si>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</si>
  <si>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</si>
  <si>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</si>
  <si>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</si>
  <si>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</si>
  <si>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</si>
  <si>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</si>
  <si>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</si>
  <si>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</si>
  <si>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</si>
  <si>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</si>
  <si>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</si>
  <si>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</si>
  <si>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</si>
  <si>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</si>
  <si>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</si>
  <si>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</si>
  <si>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</si>
  <si>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</si>
  <si>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</si>
  <si>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</si>
  <si>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</si>
  <si>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</si>
  <si>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</si>
  <si>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</si>
  <si>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</si>
  <si>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</si>
  <si>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</si>
  <si>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</si>
  <si>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</si>
  <si>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</si>
  <si>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</si>
  <si>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</si>
  <si>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</si>
  <si>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</si>
  <si>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</si>
  <si>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</si>
  <si>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</si>
  <si>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</si>
  <si>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</si>
  <si>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</si>
  <si>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</si>
  <si>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</si>
  <si>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</si>
  <si>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</si>
  <si>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</si>
  <si>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</si>
  <si>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</si>
  <si>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</si>
  <si>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</si>
  <si>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</si>
  <si>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</si>
  <si>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</si>
  <si>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</si>
  <si>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</si>
  <si>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</si>
  <si>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</si>
  <si>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</si>
  <si>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</si>
  <si>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</si>
  <si>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</si>
  <si>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</si>
  <si>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</si>
  <si>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</si>
  <si>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</si>
  <si>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</si>
  <si>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</si>
  <si>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</si>
  <si>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</si>
  <si>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</si>
  <si>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</si>
  <si>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</si>
  <si>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</si>
  <si>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</si>
  <si>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</si>
  <si>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</si>
  <si>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</si>
  <si>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</si>
  <si>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</si>
  <si>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</si>
  <si>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</si>
  <si>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</si>
  <si>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</si>
  <si>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</si>
  <si>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</si>
  <si>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</si>
  <si>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</si>
  <si>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</si>
  <si>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</si>
  <si>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</si>
  <si>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</si>
  <si>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</si>
  <si>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</si>
  <si>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</si>
  <si>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</si>
  <si>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</si>
  <si>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</si>
  <si>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</si>
  <si>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</si>
  <si>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</si>
  <si>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</si>
  <si>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</si>
  <si>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</si>
  <si>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</si>
  <si>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</si>
  <si>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</si>
  <si>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</si>
  <si>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</si>
  <si>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</si>
  <si>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</si>
  <si>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</si>
  <si>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</si>
  <si>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</si>
  <si>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</si>
  <si>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</si>
  <si>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</si>
  <si>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</si>
  <si>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</si>
  <si>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</si>
  <si>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</si>
  <si>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</si>
  <si>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</si>
  <si>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</si>
  <si>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</si>
  <si>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</si>
  <si>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</si>
  <si>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</si>
  <si>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</si>
  <si>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</si>
  <si>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</si>
  <si>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</si>
  <si>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</si>
  <si>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</si>
  <si>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</si>
  <si>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</si>
  <si>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</si>
  <si>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</si>
  <si>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</si>
  <si>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</si>
  <si>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</si>
  <si>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</si>
  <si>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</si>
  <si>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</si>
  <si>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</si>
  <si>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</si>
  <si>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</si>
  <si>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</si>
  <si>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</si>
  <si>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</si>
  <si>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</si>
  <si>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</si>
  <si>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</si>
  <si>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</si>
  <si>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</si>
  <si>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</si>
  <si>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</si>
  <si>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</si>
  <si>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</si>
  <si>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</si>
  <si>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</si>
  <si>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</si>
  <si>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</si>
  <si>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</si>
  <si>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</si>
  <si>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</si>
  <si>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</si>
  <si>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</si>
  <si>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</si>
  <si>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</si>
  <si>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</si>
  <si>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</si>
  <si>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</si>
  <si>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</si>
  <si>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</si>
  <si>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</si>
  <si>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</si>
  <si>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</si>
  <si>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</si>
  <si>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</si>
  <si>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</si>
  <si>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</si>
  <si>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</si>
  <si>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</si>
  <si>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</si>
  <si>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</si>
  <si>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</si>
  <si>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</si>
  <si>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</si>
  <si>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</si>
  <si>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</si>
  <si>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</si>
  <si>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</si>
  <si>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</si>
  <si>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</si>
  <si>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</si>
  <si>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</si>
  <si>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</si>
  <si>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</si>
  <si>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</si>
  <si>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</si>
  <si>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</si>
  <si>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</si>
  <si>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</si>
  <si>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</si>
  <si>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</si>
  <si>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</si>
  <si>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</si>
  <si>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</si>
  <si>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</si>
  <si>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</si>
  <si>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</si>
  <si>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</si>
  <si>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</si>
  <si>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</si>
  <si>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</si>
  <si>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</si>
  <si>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</si>
  <si>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</si>
  <si>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</si>
  <si>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</si>
  <si>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</si>
  <si>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</si>
  <si>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</si>
  <si>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</si>
  <si>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</si>
  <si>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</si>
  <si>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</si>
  <si>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</si>
  <si>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</si>
  <si>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</si>
  <si>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</si>
  <si>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</si>
  <si>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</si>
  <si>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</si>
  <si>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</si>
  <si>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</si>
  <si>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</si>
  <si>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</si>
  <si>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</si>
  <si>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</si>
  <si>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</si>
  <si>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</si>
  <si>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</si>
  <si>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</si>
  <si>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</si>
  <si>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</si>
  <si>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</si>
  <si>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</si>
  <si>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</si>
  <si>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</si>
  <si>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</si>
  <si>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</si>
  <si>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</si>
  <si>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</si>
  <si>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</si>
  <si>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</si>
  <si>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</si>
  <si>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</si>
  <si>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</si>
  <si>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</si>
  <si>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</si>
  <si>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</si>
  <si>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</si>
  <si>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</si>
  <si>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</si>
  <si>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</si>
  <si>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</si>
  <si>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</si>
  <si>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</si>
  <si>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</si>
  <si>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</si>
  <si>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</si>
  <si>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</si>
  <si>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</si>
  <si>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</si>
  <si>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</si>
  <si>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</si>
  <si>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</si>
  <si>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</si>
  <si>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</si>
  <si>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</si>
  <si>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</si>
  <si>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</si>
  <si>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</si>
  <si>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</si>
  <si>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</si>
  <si>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</si>
  <si>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</si>
  <si>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</si>
  <si>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</si>
  <si>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</si>
  <si>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</si>
  <si>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</si>
  <si>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</si>
  <si>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</si>
  <si>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</si>
  <si>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</si>
  <si>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</si>
  <si>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</si>
  <si>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</si>
  <si>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</si>
  <si>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</si>
  <si>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</si>
  <si>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</si>
  <si>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</si>
  <si>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</si>
  <si>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</si>
  <si>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</si>
  <si>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</si>
  <si>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</si>
  <si>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</si>
  <si>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</si>
  <si>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</si>
  <si>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</si>
  <si>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</si>
  <si>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</si>
  <si>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</si>
  <si>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</si>
  <si>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</si>
  <si>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</si>
  <si>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</si>
  <si>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</si>
  <si>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</si>
  <si>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</si>
  <si>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</si>
  <si>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</si>
  <si>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</si>
  <si>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</si>
  <si>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</si>
  <si>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</si>
  <si>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</si>
  <si>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</si>
  <si>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</si>
  <si>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</si>
  <si>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</si>
  <si>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</si>
  <si>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</si>
  <si>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</si>
  <si>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</si>
  <si>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</si>
  <si>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</si>
  <si>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</si>
  <si>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</si>
  <si>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</si>
  <si>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</si>
  <si>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</si>
  <si>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</si>
  <si>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</si>
  <si>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</si>
  <si>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</si>
  <si>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</si>
  <si>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</si>
  <si>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</si>
  <si>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</si>
  <si>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</si>
  <si>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</si>
  <si>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</si>
  <si>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</si>
  <si>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</si>
  <si>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</si>
  <si>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</si>
  <si>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</si>
  <si>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</si>
  <si>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</si>
  <si>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</si>
  <si>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</si>
  <si>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</si>
  <si>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</si>
  <si>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</si>
  <si>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</si>
  <si>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</si>
  <si>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</si>
  <si>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</si>
  <si>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</si>
  <si>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</si>
  <si>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</si>
  <si>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</si>
  <si>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</si>
  <si>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</si>
  <si>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</si>
  <si>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</si>
  <si>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</si>
  <si>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</si>
  <si>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</si>
  <si>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</si>
  <si>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</si>
  <si>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</si>
  <si>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</si>
  <si>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</si>
  <si>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</si>
  <si>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</si>
  <si>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</si>
  <si>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</si>
  <si>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</si>
  <si>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</si>
  <si>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</si>
  <si>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</si>
  <si>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</si>
  <si>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</si>
  <si>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</si>
  <si>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</si>
  <si>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</si>
  <si>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</si>
  <si>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</si>
  <si>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</si>
  <si>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</si>
  <si>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</si>
  <si>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</si>
  <si>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</si>
  <si>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</si>
  <si>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</si>
  <si>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</si>
  <si>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</si>
  <si>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</si>
  <si>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</si>
  <si>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</si>
  <si>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</si>
  <si>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</si>
  <si>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</si>
  <si>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</si>
  <si>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</si>
  <si>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</si>
  <si>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</si>
  <si>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</si>
  <si>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</si>
  <si>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</si>
  <si>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</si>
  <si>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</si>
  <si>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</si>
  <si>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</si>
  <si>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</si>
  <si>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</si>
  <si>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</si>
  <si>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</si>
  <si>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</si>
  <si>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</si>
  <si>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</si>
  <si>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</si>
  <si>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</si>
  <si>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</si>
  <si>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</si>
  <si>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</si>
  <si>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</si>
  <si>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</si>
  <si>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</si>
  <si>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</si>
  <si>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</si>
  <si>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</si>
  <si>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</si>
  <si>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</si>
  <si>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</si>
  <si>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</si>
  <si>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</si>
  <si>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</si>
  <si>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</si>
  <si>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</si>
  <si>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</si>
  <si>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</si>
  <si>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</si>
  <si>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</si>
  <si>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</si>
  <si>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</si>
  <si>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</si>
  <si>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</si>
  <si>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</si>
  <si>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</si>
  <si>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</si>
  <si>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</si>
  <si>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</si>
  <si>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</si>
  <si>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</si>
  <si>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</si>
  <si>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</si>
  <si>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</si>
  <si>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</si>
  <si>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</si>
  <si>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</si>
  <si>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</si>
  <si>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</si>
  <si>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</si>
  <si>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</si>
  <si>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</si>
  <si>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</si>
  <si>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</si>
  <si>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</si>
  <si>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</si>
  <si>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</si>
  <si>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</si>
  <si>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</si>
  <si>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</si>
  <si>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</si>
  <si>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</si>
  <si>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</si>
  <si>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</si>
  <si>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</si>
  <si>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</si>
  <si>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</si>
  <si>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</si>
  <si>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</si>
  <si>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</si>
  <si>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</si>
  <si>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</si>
  <si>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</si>
  <si>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</si>
  <si>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</si>
  <si>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</si>
  <si>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</si>
  <si>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</si>
  <si>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</si>
  <si>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</si>
  <si>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</si>
  <si>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</si>
  <si>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</si>
  <si>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</si>
  <si>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</si>
  <si>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</si>
  <si>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</si>
  <si>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</si>
  <si>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</si>
  <si>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</si>
  <si>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</si>
  <si>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</si>
  <si>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</si>
  <si>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</si>
  <si>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</si>
  <si>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</si>
  <si>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</si>
  <si>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</si>
  <si>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</si>
  <si>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</si>
  <si>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</si>
  <si>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</si>
  <si>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</si>
  <si>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</si>
  <si>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</si>
  <si>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</si>
  <si>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</si>
  <si>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</si>
  <si>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</si>
  <si>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</si>
  <si>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</si>
  <si>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</si>
  <si>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</si>
  <si>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</si>
  <si>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</si>
  <si>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</si>
  <si>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</si>
  <si>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</si>
  <si>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</si>
  <si>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</si>
  <si>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</si>
  <si>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</si>
  <si>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</si>
  <si>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</si>
  <si>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</si>
  <si>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</si>
  <si>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</si>
  <si>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</si>
  <si>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</si>
  <si>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</si>
  <si>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</si>
  <si>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</si>
  <si>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</si>
  <si>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</si>
  <si>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</si>
  <si>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</si>
  <si>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</si>
  <si>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</si>
  <si>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</si>
  <si>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</si>
  <si>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</si>
  <si>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</si>
  <si>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</si>
  <si>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</si>
  <si>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</si>
  <si>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</si>
  <si>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</si>
  <si>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</si>
  <si>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</si>
  <si>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</si>
  <si>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</si>
  <si>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</si>
  <si>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</si>
  <si>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</si>
  <si>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</si>
  <si>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</si>
  <si>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</si>
  <si>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</si>
  <si>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</si>
  <si>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</si>
  <si>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</si>
  <si>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</si>
  <si>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</si>
  <si>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</si>
  <si>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</si>
  <si>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</si>
  <si>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</si>
  <si>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</si>
  <si>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</si>
  <si>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</si>
  <si>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</si>
  <si>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</si>
  <si>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</si>
  <si>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</si>
  <si>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</si>
  <si>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</si>
  <si>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</si>
  <si>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</si>
  <si>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</si>
  <si>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</si>
  <si>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</si>
  <si>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</si>
  <si>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</si>
  <si>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</si>
  <si>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</si>
  <si>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</si>
  <si>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</si>
  <si>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</si>
  <si>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</si>
  <si>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</si>
  <si>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</si>
  <si>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</si>
  <si>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</si>
  <si>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</si>
  <si>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</si>
  <si>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</si>
  <si>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</si>
  <si>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</si>
  <si>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</si>
  <si>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</si>
  <si>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</si>
  <si>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</si>
  <si>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</si>
  <si>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</si>
  <si>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</si>
  <si>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</si>
  <si>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</si>
  <si>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</si>
  <si>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</si>
  <si>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</si>
  <si>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</si>
  <si>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</si>
  <si>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</si>
  <si>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</si>
  <si>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</si>
  <si>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</si>
  <si>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</si>
  <si>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</si>
  <si>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</si>
  <si>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</si>
  <si>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</si>
  <si>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</si>
  <si>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</si>
  <si>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</si>
  <si>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</si>
  <si>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</si>
  <si>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</si>
  <si>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</si>
  <si>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</si>
  <si>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</si>
  <si>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</si>
  <si>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</si>
  <si>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</si>
  <si>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</si>
  <si>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</si>
  <si>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</si>
  <si>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</si>
  <si>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</si>
  <si>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</si>
  <si>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</si>
  <si>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</si>
  <si>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</si>
  <si>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</si>
  <si>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</si>
  <si>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</si>
  <si>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</si>
  <si>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</si>
  <si>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</si>
  <si>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</si>
  <si>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</si>
  <si>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</si>
  <si>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</si>
  <si>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</si>
  <si>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</si>
  <si>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</si>
  <si>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</si>
  <si>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</si>
  <si>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</si>
  <si>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</si>
  <si>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</si>
  <si>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</si>
  <si>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</si>
  <si>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</si>
  <si>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</si>
  <si>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</si>
  <si>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</si>
  <si>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</si>
  <si>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</si>
  <si>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</si>
  <si>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</si>
  <si>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</si>
  <si>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</si>
  <si>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</si>
  <si>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</si>
  <si>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</si>
  <si>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</si>
  <si>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</si>
  <si>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</si>
  <si>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</si>
  <si>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</si>
  <si>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</si>
  <si>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</si>
  <si>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</si>
  <si>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</si>
  <si>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</si>
  <si>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</si>
  <si>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</si>
  <si>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</si>
  <si>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</si>
  <si>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</si>
  <si>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</si>
  <si>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</si>
  <si>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</si>
  <si>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</si>
  <si>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</si>
  <si>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</si>
  <si>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</si>
  <si>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</si>
  <si>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</si>
  <si>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</si>
  <si>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</si>
  <si>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</si>
  <si>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</si>
  <si>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</si>
  <si>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</si>
  <si>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</si>
  <si>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</si>
  <si>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</si>
  <si>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</si>
  <si>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</si>
  <si>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</si>
  <si>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</si>
  <si>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</si>
  <si>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</si>
  <si>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</si>
  <si>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</si>
  <si>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</si>
  <si>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</si>
  <si>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</si>
  <si>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</si>
  <si>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</si>
  <si>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</si>
  <si>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</si>
  <si>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</si>
  <si>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</si>
  <si>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</si>
  <si>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</si>
  <si>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</si>
  <si>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</si>
  <si>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</si>
  <si>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</si>
  <si>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</si>
  <si>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</si>
  <si>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</si>
  <si>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</si>
  <si>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</si>
  <si>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</si>
  <si>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</si>
  <si>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</si>
  <si>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</si>
  <si>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</si>
  <si>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</si>
  <si>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</si>
  <si>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</si>
  <si>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</si>
  <si>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</si>
  <si>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</si>
  <si>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</si>
  <si>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</si>
  <si>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</si>
  <si>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</si>
  <si>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</si>
  <si>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</si>
  <si>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</si>
  <si>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</si>
  <si>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</si>
  <si>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</si>
  <si>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</si>
  <si>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</si>
  <si>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</si>
  <si>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</si>
  <si>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</si>
  <si>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</si>
  <si>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</si>
  <si>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</si>
  <si>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</si>
  <si>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</si>
  <si>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</si>
  <si>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</si>
  <si>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</si>
  <si>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</si>
  <si>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</si>
  <si>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</si>
  <si>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</si>
  <si>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</si>
  <si>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</si>
  <si>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</si>
  <si>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</si>
  <si>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</si>
  <si>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</si>
  <si>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</si>
  <si>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</si>
  <si>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</si>
  <si>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</si>
  <si>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</si>
  <si>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</si>
  <si>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</si>
  <si>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</si>
  <si>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</si>
  <si>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</si>
  <si>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</si>
  <si>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</si>
  <si>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</si>
  <si>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</si>
  <si>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</si>
  <si>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</si>
  <si>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</si>
  <si>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</si>
  <si>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</si>
  <si>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</si>
  <si>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</si>
  <si>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</si>
  <si>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</si>
  <si>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</si>
  <si>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</si>
  <si>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</si>
  <si>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</si>
  <si>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</si>
  <si>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</si>
  <si>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</si>
  <si>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</si>
  <si>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</si>
  <si>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</si>
  <si>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</si>
  <si>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</si>
  <si>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</si>
  <si>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</si>
  <si>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</si>
  <si>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</si>
  <si>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</si>
  <si>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</si>
  <si>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</si>
  <si>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</si>
  <si>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</si>
  <si>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</si>
  <si>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</si>
  <si>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</si>
  <si>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</si>
  <si>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</si>
  <si>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</si>
  <si>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</si>
  <si>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</si>
  <si>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</si>
  <si>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</si>
  <si>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</si>
  <si>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</si>
  <si>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</si>
  <si>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</si>
  <si>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</si>
  <si>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</si>
  <si>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</si>
  <si>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</si>
  <si>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</si>
  <si>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</si>
  <si>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</si>
  <si>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</si>
  <si>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</si>
  <si>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</si>
  <si>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</si>
  <si>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</si>
  <si>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</si>
  <si>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</si>
  <si>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</si>
  <si>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</si>
  <si>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</si>
  <si>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</si>
  <si>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</si>
  <si>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</si>
  <si>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</si>
  <si>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</si>
  <si>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</si>
  <si>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</si>
  <si>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</si>
  <si>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</si>
  <si>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</si>
  <si>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</si>
  <si>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</si>
  <si>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</si>
  <si>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</si>
  <si>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</si>
  <si>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</si>
  <si>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</si>
  <si>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</si>
  <si>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</si>
  <si>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</si>
  <si>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</si>
  <si>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</si>
  <si>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</si>
  <si>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</si>
  <si>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</si>
  <si>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</si>
  <si>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</si>
  <si>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</si>
  <si>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</si>
  <si>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</si>
  <si>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</si>
  <si>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</si>
  <si>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</si>
  <si>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</si>
  <si>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</si>
  <si>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</si>
  <si>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</si>
  <si>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</si>
  <si>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</si>
  <si>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</si>
  <si>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</si>
  <si>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</si>
  <si>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</si>
  <si>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</si>
  <si>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</si>
  <si>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</si>
  <si>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</si>
  <si>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</si>
  <si>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</si>
  <si>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</si>
  <si>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</si>
  <si>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</si>
  <si>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</si>
  <si>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</si>
  <si>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</si>
  <si>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</si>
  <si>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</si>
  <si>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</si>
  <si>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</si>
  <si>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</si>
  <si>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</si>
  <si>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</si>
  <si>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</si>
  <si>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</si>
  <si>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</si>
  <si>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</si>
  <si>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</si>
  <si>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</si>
  <si>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</si>
  <si>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</si>
  <si>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</si>
  <si>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</si>
  <si>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</si>
  <si>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</si>
  <si>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</si>
  <si>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</si>
  <si>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</si>
  <si>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</si>
  <si>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</si>
  <si>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</si>
  <si>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</si>
  <si>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</si>
  <si>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</si>
  <si>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</si>
  <si>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</si>
  <si>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</si>
  <si>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</si>
  <si>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</si>
  <si>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</si>
  <si>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</si>
  <si>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</si>
  <si>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</si>
  <si>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</si>
  <si>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</si>
  <si>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</si>
  <si>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</si>
  <si>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</si>
  <si>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</si>
  <si>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</si>
  <si>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</si>
  <si>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</si>
  <si>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</si>
  <si>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</si>
  <si>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</si>
  <si>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</si>
  <si>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</si>
  <si>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</si>
  <si>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</si>
  <si>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</si>
  <si>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</si>
  <si>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</si>
  <si>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</si>
  <si>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</si>
  <si>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</si>
  <si>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</si>
  <si>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</si>
  <si>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</si>
  <si>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</si>
  <si>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</si>
  <si>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</si>
  <si>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</si>
  <si>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</si>
  <si>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</si>
  <si>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</si>
  <si>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</si>
  <si>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</si>
  <si>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</si>
  <si>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</si>
  <si>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</si>
  <si>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</si>
  <si>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</si>
  <si>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</si>
  <si>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</si>
  <si>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</si>
  <si>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</si>
  <si>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</si>
  <si>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</si>
  <si>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</si>
  <si>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</si>
  <si>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</si>
  <si>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</si>
  <si>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</si>
  <si>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</si>
  <si>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</si>
  <si>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</si>
  <si>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</si>
  <si>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</si>
  <si>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</si>
  <si>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</si>
  <si>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</si>
  <si>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</si>
  <si>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</si>
  <si>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</si>
  <si>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</si>
  <si>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</si>
  <si>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</si>
  <si>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</si>
  <si>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</si>
  <si>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</si>
  <si>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</si>
  <si>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</si>
  <si>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</si>
  <si>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</si>
  <si>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</si>
  <si>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</si>
  <si>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</si>
  <si>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</si>
  <si>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</si>
  <si>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</si>
  <si>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</si>
  <si>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</si>
  <si>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</si>
  <si>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</si>
  <si>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</si>
  <si>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</si>
  <si>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</si>
  <si>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</si>
  <si>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</si>
  <si>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</si>
  <si>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</si>
  <si>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</si>
  <si>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</si>
  <si>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</si>
  <si>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</si>
  <si>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</si>
  <si>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</si>
  <si>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</si>
  <si>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</si>
  <si>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</si>
  <si>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</si>
  <si>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</si>
  <si>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</si>
  <si>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</si>
  <si>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</si>
  <si>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</si>
  <si>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</si>
  <si>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</si>
  <si>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</si>
  <si>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</si>
  <si>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</si>
  <si>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</si>
  <si>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</si>
  <si>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</si>
  <si>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</si>
  <si>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</si>
  <si>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</si>
  <si>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</si>
  <si>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</si>
  <si>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</si>
  <si>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</si>
  <si>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</si>
  <si>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</si>
  <si>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</si>
  <si>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</si>
  <si>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</si>
  <si>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</si>
  <si>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</si>
  <si>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</si>
  <si>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</si>
  <si>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</si>
  <si>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</si>
  <si>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</si>
  <si>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</si>
  <si>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</si>
  <si>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</si>
  <si>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</si>
  <si>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</si>
  <si>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</si>
  <si>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</si>
  <si>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</si>
  <si>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</si>
  <si>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</si>
  <si>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</si>
  <si>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</si>
  <si>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</si>
  <si>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</si>
  <si>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</si>
  <si>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</si>
  <si>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</si>
  <si>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</si>
  <si>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</si>
  <si>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</si>
  <si>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</si>
  <si>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</si>
  <si>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</si>
  <si>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</si>
  <si>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</si>
  <si>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</si>
  <si>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</si>
  <si>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</si>
  <si>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</si>
  <si>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</si>
  <si>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</si>
  <si>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</si>
  <si>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</si>
  <si>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</si>
  <si>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</si>
  <si>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</si>
  <si>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</si>
  <si>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</si>
  <si>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</si>
  <si>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</si>
  <si>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</si>
  <si>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</si>
  <si>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</si>
  <si>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</si>
  <si>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</si>
  <si>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</si>
  <si>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</si>
  <si>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</si>
  <si>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</si>
  <si>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</si>
  <si>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</si>
  <si>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</si>
  <si>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</si>
  <si>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</si>
  <si>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</si>
  <si>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</si>
  <si>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</si>
  <si>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</si>
  <si>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</si>
  <si>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</si>
  <si>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</si>
  <si>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</si>
  <si>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</si>
  <si>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</si>
  <si>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</si>
  <si>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</si>
  <si>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</si>
  <si>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</si>
  <si>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</si>
  <si>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</si>
  <si>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</si>
  <si>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</si>
  <si>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</si>
  <si>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</si>
  <si>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</si>
  <si>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</si>
  <si>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</si>
  <si>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</si>
  <si>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</si>
  <si>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</si>
  <si>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</si>
  <si>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</si>
  <si>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</si>
  <si>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</si>
  <si>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</si>
  <si>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</si>
  <si>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</si>
  <si>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</si>
  <si>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</si>
  <si>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</si>
  <si>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</si>
  <si>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</si>
  <si>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</si>
  <si>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</si>
  <si>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</si>
  <si>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</si>
  <si>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</si>
  <si>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</si>
  <si>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</si>
  <si>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</si>
  <si>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</si>
  <si>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</si>
  <si>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</si>
  <si>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</si>
  <si>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</si>
  <si>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</si>
  <si>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</si>
  <si>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</si>
  <si>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</si>
  <si>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</si>
  <si>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</si>
  <si>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</si>
  <si>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</si>
  <si>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</si>
  <si>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</si>
  <si>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</si>
  <si>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</si>
  <si>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</si>
  <si>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</si>
  <si>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</si>
  <si>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</si>
  <si>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</si>
  <si>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</si>
  <si>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</si>
  <si>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</si>
  <si>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</si>
  <si>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</si>
  <si>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</si>
  <si>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</si>
  <si>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</si>
  <si>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</si>
  <si>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</si>
  <si>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</si>
  <si>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</si>
  <si>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</si>
  <si>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</si>
  <si>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</si>
  <si>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</si>
  <si>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</si>
  <si>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</si>
  <si>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</si>
  <si>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</si>
  <si>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</si>
  <si>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</si>
  <si>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</si>
  <si>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</si>
  <si>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</si>
  <si>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</si>
  <si>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</si>
  <si>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</si>
  <si>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</si>
  <si>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</si>
  <si>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</si>
  <si>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</si>
  <si>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</si>
  <si>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</si>
  <si>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</si>
  <si>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</si>
  <si>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</si>
  <si>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</si>
  <si>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</si>
  <si>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</si>
  <si>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</si>
  <si>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</si>
  <si>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</si>
  <si>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</si>
  <si>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</si>
  <si>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</si>
  <si>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</si>
  <si>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</si>
  <si>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</si>
  <si>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</si>
  <si>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</si>
  <si>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</si>
  <si>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</si>
  <si>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</si>
  <si>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</si>
  <si>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</si>
  <si>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</si>
  <si>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</si>
  <si>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</si>
  <si>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</si>
  <si>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</si>
  <si>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</si>
  <si>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</si>
  <si>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</si>
  <si>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</si>
  <si>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</si>
  <si>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</si>
  <si>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</si>
  <si>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</si>
  <si>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</si>
  <si>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</si>
  <si>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</si>
  <si>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</si>
  <si>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</si>
  <si>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</si>
  <si>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</si>
  <si>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</si>
  <si>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</si>
  <si>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</si>
  <si>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</si>
  <si>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</si>
  <si>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</si>
  <si>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</si>
  <si>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</si>
  <si>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</si>
  <si>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</si>
  <si>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</si>
  <si>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</si>
  <si>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</si>
  <si>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</si>
  <si>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</si>
  <si>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</si>
  <si>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</si>
  <si>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</si>
  <si>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</si>
  <si>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</si>
  <si>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</si>
  <si>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</si>
  <si>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</si>
  <si>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</si>
  <si>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</si>
  <si>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</si>
  <si>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</si>
  <si>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</si>
  <si>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</si>
  <si>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</si>
  <si>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</si>
  <si>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</si>
  <si>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</si>
  <si>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</si>
  <si>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</si>
  <si>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</si>
  <si>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</si>
  <si>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</si>
  <si>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</si>
  <si>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</si>
  <si>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</si>
  <si>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</si>
  <si>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</si>
  <si>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</si>
  <si>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</si>
  <si>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</si>
  <si>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</si>
  <si>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</si>
  <si>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</si>
  <si>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</si>
  <si>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</si>
  <si>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</si>
  <si>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</si>
  <si>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</si>
  <si>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</si>
  <si>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</si>
  <si>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</si>
  <si>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</si>
  <si>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</si>
  <si>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</si>
  <si>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</si>
  <si>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</si>
  <si>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</si>
  <si>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</si>
  <si>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</si>
  <si>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</si>
  <si>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</si>
  <si>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</si>
  <si>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</si>
  <si>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</si>
  <si>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</si>
  <si>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</si>
  <si>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</si>
  <si>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</si>
  <si>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</si>
  <si>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</si>
  <si>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</si>
  <si>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</si>
  <si>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</si>
  <si>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</si>
  <si>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</si>
  <si>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</si>
  <si>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</si>
  <si>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</si>
  <si>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</si>
  <si>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</si>
  <si>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</si>
  <si>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</si>
  <si>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</si>
  <si>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</si>
  <si>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</si>
  <si>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</si>
  <si>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</si>
  <si>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</si>
  <si>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</si>
  <si>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</si>
  <si>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</si>
  <si>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</si>
  <si>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</si>
  <si>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</si>
  <si>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</si>
  <si>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</si>
  <si>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</si>
  <si>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</si>
  <si>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</si>
  <si>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</si>
  <si>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</si>
  <si>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</si>
  <si>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</si>
  <si>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</si>
  <si>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</si>
  <si>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</si>
  <si>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</si>
  <si>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</si>
  <si>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</si>
  <si>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</si>
  <si>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</si>
  <si>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</si>
  <si>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</si>
  <si>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</si>
  <si>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</si>
  <si>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</si>
  <si>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</si>
  <si>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</si>
  <si>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</si>
  <si>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</si>
  <si>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</si>
  <si>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</si>
  <si>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</si>
  <si>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</si>
  <si>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</si>
  <si>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</si>
  <si>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</si>
  <si>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</si>
  <si>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</si>
  <si>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</si>
  <si>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</si>
  <si>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</si>
  <si>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</si>
  <si>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</si>
  <si>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</si>
  <si>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</si>
  <si>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</si>
  <si>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</si>
  <si>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</si>
  <si>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</si>
  <si>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</si>
  <si>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</si>
  <si>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</si>
  <si>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</si>
  <si>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</si>
  <si>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</si>
  <si>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</si>
  <si>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</si>
  <si>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</si>
  <si>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</si>
  <si>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</si>
  <si>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</si>
  <si>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</si>
  <si>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</si>
  <si>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</si>
  <si>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</si>
  <si>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</si>
  <si>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</si>
  <si>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</si>
  <si>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</si>
  <si>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</si>
  <si>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</si>
  <si>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</si>
  <si>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</si>
  <si>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</si>
  <si>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</si>
  <si>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</si>
  <si>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</si>
  <si>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</si>
  <si>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</si>
  <si>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</si>
  <si>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</si>
  <si>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</si>
  <si>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</si>
  <si>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</si>
  <si>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</si>
  <si>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</si>
  <si>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</si>
  <si>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</si>
  <si>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</si>
  <si>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</si>
  <si>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</si>
  <si>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</si>
  <si>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</si>
  <si>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</si>
  <si>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</si>
  <si>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</si>
  <si>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</si>
  <si>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</si>
  <si>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</si>
  <si>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</si>
  <si>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</si>
  <si>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</si>
  <si>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</si>
  <si>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</si>
  <si>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</si>
  <si>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</si>
  <si>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</si>
  <si>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</si>
  <si>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</si>
  <si>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</si>
  <si>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</si>
  <si>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</si>
  <si>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</si>
  <si>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</si>
  <si>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</si>
  <si>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</si>
  <si>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</si>
  <si>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</si>
  <si>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</si>
  <si>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</si>
  <si>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</si>
  <si>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</si>
  <si>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</si>
  <si>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</si>
  <si>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</si>
  <si>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</si>
  <si>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</si>
  <si>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</si>
  <si>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</si>
  <si>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</si>
  <si>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</si>
  <si>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</si>
  <si>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</si>
  <si>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</si>
  <si>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</si>
  <si>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</si>
  <si>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</si>
  <si>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</si>
  <si>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</si>
  <si>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</si>
  <si>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</si>
  <si>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</si>
  <si>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</si>
  <si>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</si>
  <si>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</si>
  <si>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</si>
  <si>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</si>
  <si>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</si>
  <si>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</si>
  <si>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</si>
  <si>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</si>
  <si>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</si>
  <si>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</si>
  <si>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</si>
  <si>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</si>
  <si>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</si>
  <si>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</si>
  <si>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</si>
  <si>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</si>
  <si>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</si>
  <si>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</si>
  <si>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</si>
  <si>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</si>
  <si>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</si>
  <si>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</si>
  <si>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</si>
  <si>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</si>
  <si>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</si>
  <si>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</si>
  <si>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</si>
  <si>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</si>
  <si>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</si>
  <si>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</si>
  <si>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</si>
  <si>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</si>
  <si>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</si>
  <si>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</si>
  <si>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</si>
  <si>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</si>
  <si>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</si>
  <si>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</si>
  <si>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</si>
  <si>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</si>
  <si>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</si>
  <si>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</si>
  <si>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</si>
  <si>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</si>
  <si>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</si>
  <si>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</si>
  <si>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</si>
  <si>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</si>
  <si>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</si>
  <si>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</si>
  <si>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</si>
  <si>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</si>
  <si>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</si>
  <si>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</si>
  <si>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</si>
  <si>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</si>
  <si>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</si>
  <si>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</si>
  <si>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</si>
  <si>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</si>
  <si>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</si>
  <si>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</si>
  <si>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</si>
  <si>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</si>
  <si>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</si>
  <si>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</si>
  <si>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</si>
  <si>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</si>
  <si>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</si>
  <si>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</si>
  <si>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</si>
  <si>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</si>
  <si>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</si>
  <si>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</si>
  <si>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</si>
  <si>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</si>
  <si>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</si>
  <si>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</si>
  <si>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</si>
  <si>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</si>
  <si>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</si>
  <si>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</si>
  <si>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</si>
  <si>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</si>
  <si>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</si>
  <si>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</si>
  <si>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</si>
  <si>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</si>
  <si>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</si>
  <si>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</si>
  <si>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</si>
  <si>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</si>
  <si>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</si>
  <si>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</si>
  <si>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</si>
  <si>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</si>
  <si>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</si>
  <si>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</si>
  <si>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</si>
  <si>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</si>
  <si>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</si>
  <si>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</si>
  <si>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</si>
  <si>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</si>
  <si>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</si>
  <si>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</si>
  <si>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</si>
  <si>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</si>
  <si>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</si>
  <si>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</si>
  <si>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</si>
  <si>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</si>
  <si>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</si>
  <si>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</si>
  <si>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</si>
  <si>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</si>
  <si>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</si>
  <si>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</si>
  <si>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</si>
  <si>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</si>
  <si>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</si>
  <si>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</si>
  <si>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</si>
  <si>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</si>
  <si>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</si>
  <si>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</si>
  <si>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</si>
  <si>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</si>
  <si>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</si>
  <si>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</si>
  <si>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</si>
  <si>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</si>
  <si>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</si>
  <si>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</si>
  <si>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</si>
  <si>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</si>
  <si>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</si>
  <si>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</si>
  <si>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</si>
  <si>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</si>
  <si>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</si>
  <si>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</si>
  <si>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</si>
  <si>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</si>
  <si>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</si>
  <si>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</si>
  <si>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</si>
  <si>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</si>
  <si>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</si>
  <si>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</si>
  <si>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</si>
  <si>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</si>
  <si>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</si>
  <si>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</si>
  <si>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</si>
  <si>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</si>
  <si>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</si>
  <si>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</si>
  <si>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</si>
  <si>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</si>
  <si>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</si>
  <si>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</si>
  <si>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</si>
  <si>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</si>
  <si>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</si>
  <si>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</si>
  <si>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</si>
  <si>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</si>
  <si>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</si>
  <si>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</si>
  <si>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</si>
  <si>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</si>
  <si>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</si>
  <si>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</si>
  <si>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</si>
  <si>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</si>
  <si>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</si>
  <si>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</si>
  <si>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</si>
  <si>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</si>
  <si>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</si>
  <si>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</si>
  <si>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</si>
  <si>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</si>
  <si>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</si>
  <si>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</si>
  <si>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</si>
  <si>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</si>
  <si>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</si>
  <si>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</si>
  <si>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</si>
  <si>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</si>
  <si>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</si>
  <si>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</si>
  <si>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</si>
  <si>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</si>
  <si>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</si>
  <si>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</si>
  <si>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</si>
  <si>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</si>
  <si>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</si>
  <si>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</si>
  <si>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</si>
  <si>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</si>
  <si>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</si>
  <si>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</si>
  <si>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</si>
  <si>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</si>
  <si>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</si>
  <si>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</si>
  <si>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</si>
  <si>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</si>
  <si>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</si>
  <si>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</si>
  <si>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</si>
  <si>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</si>
  <si>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</si>
  <si>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</si>
  <si>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</si>
  <si>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</si>
  <si>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</si>
  <si>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</si>
  <si>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</si>
  <si>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</si>
  <si>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</si>
  <si>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</si>
  <si>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</si>
  <si>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</si>
  <si>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</si>
  <si>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</si>
  <si>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</si>
  <si>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</si>
  <si>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</si>
  <si>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</si>
  <si>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</si>
  <si>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</si>
  <si>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</si>
  <si>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</si>
  <si>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</si>
  <si>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</si>
  <si>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</si>
  <si>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</si>
  <si>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</si>
  <si>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</si>
  <si>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</si>
  <si>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</si>
  <si>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</si>
  <si>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</si>
  <si>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</si>
  <si>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</si>
  <si>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</si>
  <si>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</si>
  <si>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</si>
  <si>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</si>
  <si>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</si>
  <si>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</si>
  <si>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</si>
  <si>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</si>
  <si>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</si>
  <si>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</si>
  <si>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</si>
  <si>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</si>
  <si>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</si>
  <si>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</si>
  <si>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</si>
  <si>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</si>
  <si>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</si>
  <si>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</si>
  <si>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</si>
  <si>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</si>
  <si>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</si>
  <si>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</si>
  <si>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</si>
  <si>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</si>
  <si>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</si>
  <si>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</si>
  <si>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</si>
  <si>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</si>
  <si>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</si>
  <si>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</si>
  <si>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</si>
  <si>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</si>
  <si>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</si>
  <si>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</si>
  <si>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</si>
  <si>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</si>
  <si>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</si>
  <si>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</si>
  <si>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</si>
  <si>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</si>
  <si>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</si>
  <si>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</si>
  <si>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</si>
  <si>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</si>
  <si>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</si>
  <si>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</si>
  <si>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</si>
  <si>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</si>
  <si>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</si>
  <si>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</si>
  <si>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</si>
  <si>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</si>
  <si>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</si>
  <si>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</si>
  <si>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</si>
  <si>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</si>
  <si>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</si>
  <si>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</si>
  <si>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</si>
  <si>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</si>
  <si>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</si>
  <si>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</si>
  <si>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</si>
  <si>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</si>
  <si>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</si>
  <si>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</si>
  <si>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</si>
  <si>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</si>
  <si>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</si>
  <si>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</si>
  <si>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</si>
  <si>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</si>
  <si>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</si>
  <si>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</si>
  <si>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</si>
  <si>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</si>
  <si>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</si>
  <si>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</si>
  <si>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</si>
  <si>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</si>
  <si>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</si>
  <si>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</si>
  <si>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</si>
  <si>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</si>
  <si>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</si>
  <si>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</si>
  <si>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</si>
  <si>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</si>
  <si>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</si>
  <si>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</si>
  <si>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</si>
  <si>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</si>
  <si>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</si>
  <si>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</si>
  <si>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</si>
  <si>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</si>
  <si>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</si>
  <si>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</si>
  <si>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</si>
  <si>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</si>
  <si>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</si>
  <si>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</si>
  <si>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</si>
  <si>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</si>
  <si>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</si>
  <si>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</si>
  <si>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</si>
  <si>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</si>
  <si>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</si>
  <si>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</si>
  <si>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</si>
  <si>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</si>
  <si>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</si>
  <si>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</si>
  <si>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</si>
  <si>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</si>
  <si>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</si>
  <si>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</si>
  <si>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</si>
  <si>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</si>
  <si>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</si>
  <si>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</si>
  <si>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</si>
  <si>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</si>
  <si>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</si>
  <si>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</si>
  <si>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</si>
  <si>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</si>
  <si>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</si>
  <si>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</si>
  <si>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</si>
  <si>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</si>
  <si>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</si>
  <si>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</si>
  <si>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</si>
  <si>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</si>
  <si>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</si>
  <si>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</si>
  <si>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</si>
  <si>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可餐饮</t>
  </si>
  <si>
    <t>较适宜</t>
  </si>
  <si>
    <t>天通苑北街道</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</si>
  <si>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</si>
  <si>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</si>
  <si>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</si>
  <si>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</si>
  <si>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</si>
  <si>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</si>
  <si>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</si>
  <si>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phoneticPr fontId="225" type="noConversion"/>
  </si>
  <si>
    <t>比较法-商业3</t>
    <phoneticPr fontId="225" type="noConversion"/>
  </si>
  <si>
    <t>收益法2</t>
    <phoneticPr fontId="225" type="noConversion"/>
  </si>
  <si>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</si>
  <si>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</si>
  <si>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</si>
  <si>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</si>
  <si>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</si>
  <si>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</si>
  <si>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</si>
  <si>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r>
      <rPr>
        <sz val="10"/>
        <color theme="9" tint="-0.249977111117893"/>
        <rFont val="宋体"/>
        <family val="3"/>
        <charset val="134"/>
      </rPr>
      <t>平谷区兴谷东路</t>
    </r>
    <r>
      <rPr>
        <sz val="10"/>
        <color theme="9" tint="-0.249977111117893"/>
        <rFont val="Arial"/>
        <family val="3"/>
        <charset val="134"/>
      </rPr>
      <t>39</t>
    </r>
    <r>
      <rPr>
        <sz val="10"/>
        <color theme="9" tint="-0.249977111117893"/>
        <rFont val="宋体"/>
        <family val="3"/>
        <charset val="134"/>
      </rPr>
      <t>号</t>
    </r>
    <phoneticPr fontId="225" type="noConversion"/>
  </si>
  <si>
    <t>厂房</t>
    <phoneticPr fontId="225" type="noConversion"/>
  </si>
  <si>
    <t>办公楼</t>
    <phoneticPr fontId="225" type="noConversion"/>
  </si>
  <si>
    <t>研发车间</t>
    <phoneticPr fontId="225" type="noConversion"/>
  </si>
  <si>
    <t>门卫</t>
    <phoneticPr fontId="225" type="noConversion"/>
  </si>
  <si>
    <r>
      <t>1</t>
    </r>
    <r>
      <rPr>
        <sz val="10"/>
        <color indexed="8"/>
        <rFont val="宋体"/>
        <family val="3"/>
        <charset val="134"/>
      </rPr>
      <t>层</t>
    </r>
    <phoneticPr fontId="225" type="noConversion"/>
  </si>
  <si>
    <r>
      <t>1-3</t>
    </r>
    <r>
      <rPr>
        <sz val="10"/>
        <color indexed="8"/>
        <rFont val="宋体"/>
        <family val="3"/>
        <charset val="134"/>
      </rPr>
      <t>层</t>
    </r>
    <phoneticPr fontId="225" type="noConversion"/>
  </si>
  <si>
    <r>
      <t>1-6</t>
    </r>
    <r>
      <rPr>
        <sz val="10"/>
        <color indexed="8"/>
        <rFont val="宋体"/>
        <family val="3"/>
        <charset val="134"/>
      </rPr>
      <t>层</t>
    </r>
    <phoneticPr fontId="225" type="noConversion"/>
  </si>
  <si>
    <t>工业</t>
    <phoneticPr fontId="225" type="noConversion"/>
  </si>
  <si>
    <t>收益法</t>
  </si>
  <si>
    <t>建安</t>
    <phoneticPr fontId="225" type="noConversion"/>
  </si>
  <si>
    <t>租金</t>
    <phoneticPr fontId="225" type="noConversion"/>
  </si>
  <si>
    <t>土地</t>
    <phoneticPr fontId="225" type="noConversion"/>
  </si>
  <si>
    <t>与级别开发程度一致</t>
  </si>
  <si>
    <t>季度增幅（自定义）</t>
  </si>
  <si>
    <t>不用分区数据</t>
  </si>
  <si>
    <t>全部缴纳</t>
  </si>
  <si>
    <t>生产用房</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</si>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</sst>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68"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58" fontId="55" fillId="7" borderId="7" xfId="0" applyNumberFormat="1" applyFont="1" applyFill="1" applyBorder="1" applyAlignment="1" applyProtection="1">
      <alignment horizontal="center" vertical="center"/>
      <protection locked="0"/>
    </xf>
    <xf numFmtId="0" fontId="68" fillId="0" borderId="14" xfId="0" applyFont="1" applyBorder="1" applyProtection="1">
      <alignment vertical="center"/>
      <protection locked="0"/>
    </xf>
    <xf numFmtId="1"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北京市平谷区兴谷东路39号房地产抵押价值预评估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受贵公司委托，我公司对北京市平谷区兴谷东路39号房地产抵押价值进行了预评估。</v>
      </c>
    </row>
    <row r="7" spans="1:2">
      <c r="A7" s="3167" t="s">
        <v>7</v>
      </c>
      <c r="B7" s="3168" t="str">
        <f>'预评函-1'!A7</f>
        <v>估价对象为北京市平谷区兴谷东路39号房地产，为所有。根据《国有土地使用证》[]，估价对象（分摊）出让国有建设用地使用权面积为56554.63平方米，建筑面积为27483.82平方米。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平谷区兴谷东路39号房地产,属开发建设的办公项目，该项目尚在开发建设中。根据《国有土地使用证》[]，估价对象（分摊）出让国有建设用地使用权面积为56554.63平方米，规划建筑面积为27483.82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2025年6月30日</v>
      </c>
    </row>
    <row r="13" spans="1:2">
      <c r="A13" s="3167" t="s">
        <v>13</v>
      </c>
      <c r="B13" s="3168" t="str">
        <f>'预评函-1'!A18</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本次评估采用的主估价方法为成本法和收益法。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15696</v>
      </c>
    </row>
    <row r="21" spans="1:2">
      <c r="A21" s="3167" t="s">
        <v>21</v>
      </c>
      <c r="B21" s="3168">
        <f ca="1">'预评函-2'!D7</f>
        <v>5711</v>
      </c>
    </row>
    <row r="22" spans="1:2">
      <c r="A22" s="3167" t="s">
        <v>22</v>
      </c>
      <c r="B22" s="3168" t="str">
        <f ca="1">'预评函-2'!D6</f>
        <v>壹亿伍仟陆佰玖拾陆万元整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15696</v>
      </c>
    </row>
    <row r="31" spans="1:2">
      <c r="A31" s="3167" t="s">
        <v>31</v>
      </c>
      <c r="B31" s="3168">
        <f ca="1">'预评函-2'!D15</f>
        <v>5711</v>
      </c>
    </row>
    <row r="32" spans="1:2">
      <c r="A32" s="3167" t="s">
        <v>32</v>
      </c>
      <c r="B32" s="3168" t="str">
        <f ca="1">'预评函-2'!D14</f>
        <v>壹亿伍仟陆佰玖拾陆万元整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北京市平谷区兴谷东路39号房地产</v>
      </c>
    </row>
    <row r="42" spans="1:2" ht="31.2">
      <c r="A42" s="3167" t="s">
        <v>42</v>
      </c>
      <c r="B42" s="3168" t="str">
        <f>'预评函-3'!B2</f>
        <v>建筑面积</v>
      </c>
    </row>
    <row r="43" spans="1:2">
      <c r="A43" s="3167" t="s">
        <v>43</v>
      </c>
      <c r="B43" s="3168">
        <f>'预评函-3'!B4</f>
        <v>27483.820000000003</v>
      </c>
    </row>
    <row r="44" spans="1:2" ht="31.2">
      <c r="A44" s="3167" t="s">
        <v>44</v>
      </c>
      <c r="B44" s="3168" t="str">
        <f>'预评函-3'!C2</f>
        <v>(分摊)土地面积</v>
      </c>
    </row>
    <row r="45" spans="1:2">
      <c r="A45" s="3167" t="s">
        <v>45</v>
      </c>
      <c r="B45" s="3168">
        <f>'预评函-3'!C4</f>
        <v>56554.63</v>
      </c>
    </row>
    <row r="46" spans="1:2">
      <c r="A46" s="3167" t="s">
        <v>46</v>
      </c>
      <c r="B46" s="3168" t="str">
        <f>'预评函-3'!D2</f>
        <v>出让国有建设用地使用权价值</v>
      </c>
    </row>
    <row r="47" spans="1:2">
      <c r="A47" s="3167" t="s">
        <v>47</v>
      </c>
      <c r="B47" s="3168">
        <f ca="1">'预评函-3'!D4</f>
        <v>6107</v>
      </c>
    </row>
    <row r="48" spans="1:2">
      <c r="A48" s="3167" t="s">
        <v>48</v>
      </c>
      <c r="B48" s="3168">
        <f ca="1">'预评函-3'!E4</f>
        <v>2222</v>
      </c>
    </row>
    <row r="49" spans="1:2">
      <c r="A49" s="3167" t="s">
        <v>49</v>
      </c>
      <c r="B49" s="3168" t="str">
        <f ca="1">'预评函-3'!D5</f>
        <v>陆仟壹佰零柒万元整</v>
      </c>
    </row>
    <row r="50" spans="1:2">
      <c r="A50" s="3167" t="s">
        <v>50</v>
      </c>
      <c r="B50" s="3168" t="str">
        <f>'预评函-3'!F2</f>
        <v>在建建筑物价值</v>
      </c>
    </row>
    <row r="51" spans="1:2">
      <c r="A51" s="3167" t="s">
        <v>51</v>
      </c>
      <c r="B51" s="3168">
        <f ca="1">'预评函-3'!F4</f>
        <v>9589</v>
      </c>
    </row>
    <row r="52" spans="1:2">
      <c r="A52" s="3167" t="s">
        <v>52</v>
      </c>
      <c r="B52" s="3168">
        <f ca="1">'预评函-3'!G4</f>
        <v>3489</v>
      </c>
    </row>
    <row r="53" spans="1:2">
      <c r="A53" s="3167" t="s">
        <v>53</v>
      </c>
      <c r="B53" s="3168" t="str">
        <f ca="1">'预评函-3'!F5</f>
        <v>玖仟伍佰捌拾玖万元整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2846</v>
      </c>
      <c r="C19" s="3059"/>
    </row>
    <row r="20" spans="1:3">
      <c r="A20" s="3058" t="s">
        <v>316</v>
      </c>
      <c r="B20" s="3058" t="s">
        <v>2848</v>
      </c>
      <c r="C20" s="3059"/>
    </row>
    <row r="21" spans="1:3">
      <c r="A21" s="3058" t="s">
        <v>260</v>
      </c>
      <c r="B21" s="3060" t="s">
        <v>2847</v>
      </c>
      <c r="C21" s="3059"/>
    </row>
    <row r="22" spans="1:3">
      <c r="A22" s="3058" t="s">
        <v>317</v>
      </c>
      <c r="B22" s="3058" t="s">
        <v>2849</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40"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0"/>
      <c r="B54" s="3062" t="s">
        <v>330</v>
      </c>
      <c r="C54" s="3052" t="s">
        <v>331</v>
      </c>
    </row>
    <row r="55" spans="1:4">
      <c r="A55" s="3240"/>
      <c r="B55" s="3062" t="s">
        <v>332</v>
      </c>
      <c r="C55" s="3052" t="s">
        <v>333</v>
      </c>
    </row>
    <row r="56" spans="1:4">
      <c r="A56" s="3240"/>
      <c r="B56" s="3062" t="s">
        <v>334</v>
      </c>
      <c r="C56" s="3052" t="s">
        <v>335</v>
      </c>
    </row>
    <row r="57" spans="1:4">
      <c r="A57" s="3240"/>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41" t="s">
        <v>340</v>
      </c>
      <c r="J2" s="3241"/>
      <c r="K2" s="3241"/>
      <c r="L2" s="3241"/>
      <c r="M2" s="3241"/>
      <c r="N2" s="3241"/>
      <c r="O2" s="3241"/>
      <c r="P2" s="3241"/>
      <c r="Q2" s="3241"/>
      <c r="R2" s="3241"/>
    </row>
    <row r="3" spans="1:18">
      <c r="A3" s="446" t="s">
        <v>341</v>
      </c>
      <c r="B3" s="3004">
        <f>项目基本情况!D3</f>
        <v>45838</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1.47</v>
      </c>
      <c r="D5" s="3006">
        <f>IF(ISERROR(ROUND(POWER(1+E5,A5-C5)*(POWER(1+E5,C5)-1)/(POWER(1+E5,A5)-1),3)),0,ROUND(POWER(1+E5,A5-C5)*(POWER(1+E5,C5)-1)/(POWER(1+E5,A5)-1),4))</f>
        <v>7.0800000000000002E-2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6" t="str">
        <f>IF(B10="北京市","北京市",C10)&amp;F10&amp;IF(结果表!G1="在建","出让国有建设用地使用权及在建建筑物",IF(结果表!G1="土地","出让国有建设用地使用权",))&amp;B9&amp;"预评估"</f>
        <v>北京市平谷区兴谷东路39号房地产抵押价值预评估</v>
      </c>
      <c r="C1" s="3247"/>
      <c r="D1" s="3247"/>
      <c r="E1" s="3247"/>
      <c r="F1" s="3247"/>
      <c r="G1" s="3247"/>
      <c r="H1" s="3247"/>
      <c r="I1" s="3248"/>
      <c r="J1" s="2522"/>
      <c r="K1" s="2962"/>
      <c r="L1" s="2972"/>
      <c r="M1" s="2972"/>
      <c r="N1" s="2882"/>
      <c r="O1" s="2238"/>
      <c r="P1" s="2882"/>
      <c r="Q1" s="2882"/>
      <c r="R1" s="2882"/>
      <c r="S1" s="2114" t="str">
        <f>IF(B10="北京市","北京市",C10)&amp;F10&amp;IF(结果表!G1="在建","出让国有建设用地使用权及在建建筑物房地产抵押价值",IF(结果表!G1="土地","出让国有建设用地使用权抵押价值",B9))</f>
        <v>北京市平谷区兴谷东路39号房地产抵押价值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IF(B10="北京市","北京市",C10)&amp;F10&amp;IF(结果表!G1="在建","出让国有建设用地使用权及在建建筑物房地产",IF(结果表!G1="土地","出让国有建设用地使用权","房地产"))</f>
        <v>北京市平谷区兴谷东路39号房地产</v>
      </c>
      <c r="T2" s="2561"/>
      <c r="U2" s="2561"/>
      <c r="V2" s="2561"/>
      <c r="W2" s="2561"/>
      <c r="X2" s="2561"/>
      <c r="Y2" s="2561"/>
      <c r="Z2" s="2561"/>
      <c r="AA2" s="2561"/>
      <c r="AB2" s="2561"/>
    </row>
    <row r="3" spans="1:30">
      <c r="A3" s="1855" t="s">
        <v>440</v>
      </c>
      <c r="B3" s="2885"/>
      <c r="C3" s="2886" t="s">
        <v>441</v>
      </c>
      <c r="D3" s="2885">
        <v>45838</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1" t="s">
        <v>447</v>
      </c>
      <c r="E8" s="2901" t="s">
        <v>330</v>
      </c>
      <c r="F8" s="2902"/>
      <c r="G8" s="2658"/>
      <c r="H8" s="2658"/>
      <c r="I8" s="2658"/>
      <c r="J8" s="2522"/>
      <c r="K8" s="2976"/>
      <c r="L8" s="2974"/>
      <c r="M8" s="2974"/>
      <c r="N8" s="2522"/>
      <c r="O8" s="2239"/>
      <c r="P8" s="2522"/>
      <c r="Q8" s="2522"/>
      <c r="R8" s="2522"/>
    </row>
    <row r="9" spans="1:30">
      <c r="A9" s="2903" t="s">
        <v>448</v>
      </c>
      <c r="B9" s="2904" t="s">
        <v>330</v>
      </c>
      <c r="C9" s="2905"/>
      <c r="D9" s="3262"/>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2856</v>
      </c>
      <c r="G10" s="2912"/>
      <c r="H10" s="2913"/>
      <c r="I10" s="2977"/>
      <c r="J10" s="2522"/>
      <c r="K10" s="2975"/>
      <c r="L10" s="2974"/>
      <c r="M10" s="2974"/>
      <c r="N10" s="2522"/>
      <c r="O10" s="2239"/>
      <c r="P10" s="2522"/>
      <c r="Q10" s="2522"/>
      <c r="R10" s="2522"/>
    </row>
    <row r="11" spans="1:30">
      <c r="A11" s="2914" t="s">
        <v>452</v>
      </c>
      <c r="B11" s="2915" t="s">
        <v>2790</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c r="E13" s="2923"/>
      <c r="F13" s="2923"/>
      <c r="G13" s="2922"/>
      <c r="H13" s="2922">
        <v>59587</v>
      </c>
      <c r="I13" s="2922"/>
      <c r="J13" s="2979"/>
      <c r="K13" s="2974"/>
      <c r="L13" s="2974"/>
      <c r="M13" s="2522"/>
      <c r="N13" s="2239"/>
      <c r="O13" s="2522"/>
      <c r="P13" s="2522"/>
      <c r="Q13" s="2522"/>
      <c r="AD13" s="2561"/>
    </row>
    <row r="14" spans="1:30">
      <c r="A14" s="1882"/>
      <c r="B14" s="2921" t="s">
        <v>463</v>
      </c>
      <c r="C14" s="2924"/>
      <c r="D14" s="2924"/>
      <c r="E14" s="2924"/>
      <c r="F14" s="2924"/>
      <c r="G14" s="2924"/>
      <c r="H14" s="2924">
        <v>50</v>
      </c>
      <c r="I14" s="2924"/>
      <c r="J14" s="2980"/>
      <c r="K14" s="2974"/>
      <c r="L14" s="2974"/>
      <c r="M14" s="2522"/>
      <c r="N14" s="2239"/>
      <c r="O14" s="2522"/>
      <c r="P14" s="2522"/>
      <c r="Q14" s="2522"/>
      <c r="AD14" s="2561"/>
    </row>
    <row r="15" spans="1:30">
      <c r="A15" s="1889"/>
      <c r="B15" s="2925" t="s">
        <v>464</v>
      </c>
      <c r="C15" s="2926" t="str">
        <f>IF(A13="出让",IF(C13="","",ROUNDDOWN(MIN((C13-$D$3)/365,C14),2)),C14)</f>
        <v/>
      </c>
      <c r="D15" s="2926" t="str">
        <f>IF(A13="出让",IF(D13="","",ROUNDDOWN(MIN((D13-$D$3)/365,D14),2)),D14)</f>
        <v/>
      </c>
      <c r="E15" s="2926" t="str">
        <f>IF(A13="出让",IF(E13="","",ROUNDDOWN(MIN((E13-$D$3)/365,E14),2)),E14)</f>
        <v/>
      </c>
      <c r="F15" s="2926" t="str">
        <f>IF(A13="出让",IF(F13="","",ROUNDDOWN(MIN((F13-$D$3)/365,F14),2)),F14)</f>
        <v/>
      </c>
      <c r="G15" s="2926" t="str">
        <f>IF(A13="出让",IF(G13="","",ROUNDDOWN(MIN((G13-$D$3)/365,G14),2)),G14)</f>
        <v/>
      </c>
      <c r="H15" s="2926">
        <f>IF(A13="出让",IF(H13="","",ROUNDDOWN(MIN((H13-$D$3)/365,H14),2)),H14)</f>
        <v>37.659999999999997</v>
      </c>
      <c r="I15" s="2926" t="str">
        <f>IF(A13="出让",IF(I13="","",ROUNDDOWN(MIN((I13-$D$3)/365,I14),2)),I14)</f>
        <v/>
      </c>
      <c r="J15" s="2981"/>
      <c r="K15" s="2239"/>
      <c r="L15" s="2239"/>
      <c r="M15" s="2522"/>
      <c r="N15" s="2239"/>
      <c r="O15" s="2522"/>
      <c r="P15" s="2522"/>
      <c r="Q15" s="2522"/>
      <c r="AD15" s="2561"/>
    </row>
    <row r="16" spans="1:30">
      <c r="A16" s="2911" t="s">
        <v>465</v>
      </c>
      <c r="B16" s="3249" t="s">
        <v>466</v>
      </c>
      <c r="C16" s="3250"/>
      <c r="D16" s="3251"/>
      <c r="E16" s="2927" t="s">
        <v>467</v>
      </c>
      <c r="F16" s="3252"/>
      <c r="G16" s="3253"/>
      <c r="H16" s="3253"/>
      <c r="I16" s="3254"/>
      <c r="J16" s="2522"/>
      <c r="K16" s="2982"/>
      <c r="L16" s="2239"/>
      <c r="M16" s="2239"/>
      <c r="N16" s="2522"/>
      <c r="O16" s="2239"/>
      <c r="P16" s="2522"/>
      <c r="Q16" s="2522"/>
      <c r="R16" s="2522"/>
    </row>
    <row r="17" spans="1:28">
      <c r="A17" s="1866" t="s">
        <v>468</v>
      </c>
      <c r="B17" s="1855" t="s">
        <v>469</v>
      </c>
      <c r="C17" s="1472">
        <f>'数据-汇总表'!E3</f>
        <v>27483.820000000003</v>
      </c>
      <c r="D17" s="1908" t="s">
        <v>470</v>
      </c>
      <c r="E17" s="3255" t="s">
        <v>471</v>
      </c>
      <c r="F17" s="3256"/>
      <c r="G17" s="3256"/>
      <c r="H17" s="3256"/>
      <c r="I17" s="3257"/>
      <c r="J17" s="2522"/>
      <c r="K17" s="2983"/>
      <c r="L17" s="2239"/>
      <c r="M17" s="2239"/>
      <c r="N17" s="2522"/>
      <c r="O17" s="2239"/>
      <c r="P17" s="2522"/>
      <c r="Q17" s="2522"/>
      <c r="R17" s="2522"/>
      <c r="S17" s="2522"/>
      <c r="T17" s="2522"/>
      <c r="U17" s="2522"/>
      <c r="V17" s="2522"/>
    </row>
    <row r="18" spans="1:28" ht="24">
      <c r="A18" s="2928" t="s">
        <v>472</v>
      </c>
      <c r="B18" s="1877" t="s">
        <v>473</v>
      </c>
      <c r="C18" s="2929">
        <f>'数据-汇总表'!D3</f>
        <v>56554.63</v>
      </c>
      <c r="D18" s="1901" t="s">
        <v>470</v>
      </c>
      <c r="E18" s="3258" t="s">
        <v>474</v>
      </c>
      <c r="F18" s="3259"/>
      <c r="G18" s="3259"/>
      <c r="H18" s="3259"/>
      <c r="I18" s="3260"/>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65" t="s">
        <v>480</v>
      </c>
      <c r="C20" s="3266"/>
      <c r="D20" s="3267" t="s">
        <v>481</v>
      </c>
      <c r="E20" s="3268"/>
      <c r="F20" s="2936" t="s">
        <v>482</v>
      </c>
      <c r="G20" s="2658"/>
      <c r="H20" s="2658"/>
      <c r="I20" s="2658"/>
      <c r="J20" s="2522"/>
      <c r="K20" s="3263"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63"/>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63"/>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2"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2"/>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2"/>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3"/>
      <c r="B30" s="1855" t="s">
        <v>499</v>
      </c>
      <c r="C30" s="3269"/>
      <c r="D30" s="3270"/>
      <c r="E30" s="2658"/>
      <c r="F30" s="2658"/>
      <c r="G30" s="2658"/>
      <c r="H30" s="2658"/>
      <c r="I30" s="2658"/>
      <c r="J30" s="2522"/>
      <c r="K30" s="2975"/>
      <c r="L30" s="2974"/>
      <c r="M30" s="2974"/>
      <c r="N30" s="2522"/>
      <c r="O30" s="2239"/>
      <c r="P30" s="2522"/>
      <c r="Q30" s="2522"/>
      <c r="R30" s="2522"/>
      <c r="S30" s="2522"/>
      <c r="T30" s="2522"/>
      <c r="U30" s="2522"/>
      <c r="V30" s="2522"/>
    </row>
    <row r="31" spans="1:28">
      <c r="A31" s="3244"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5"/>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5"/>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4" t="s">
        <v>510</v>
      </c>
      <c r="T34" s="1896" t="str">
        <f>NUMBERSTRING(7-K34,1)&amp;"通"</f>
        <v>七通</v>
      </c>
      <c r="U34" s="2522"/>
      <c r="V34" s="2522"/>
    </row>
    <row r="35" spans="1:30">
      <c r="A35" s="2961"/>
      <c r="B35" s="3264" t="s">
        <v>511</v>
      </c>
      <c r="C35" s="3264"/>
      <c r="D35" s="3264"/>
      <c r="E35" s="3264"/>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4"/>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t="s">
        <v>292</v>
      </c>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t="s">
        <v>2584</v>
      </c>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2" sqref="L22"/>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v>56554.63</v>
      </c>
      <c r="B3" s="2803">
        <f>IF(C3="否",G5-AT5,G5)</f>
        <v>27483.820000000003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27483.820000000003</v>
      </c>
      <c r="H5" s="2807">
        <f t="shared" ref="H5:AT5" si="0">SUM(H13:H656)</f>
        <v>27483.820000000003</v>
      </c>
      <c r="I5" s="2807">
        <f t="shared" si="0"/>
        <v>27483.820000000003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27483.820000000003</v>
      </c>
      <c r="BA5" s="2861">
        <f t="shared" si="1"/>
        <v>27483.820000000003</v>
      </c>
      <c r="BB5" s="2861">
        <f t="shared" si="1"/>
        <v>27483.820000000003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56554.63</v>
      </c>
      <c r="F6" s="2807" t="s">
        <v>124</v>
      </c>
      <c r="G6" s="2807" t="s">
        <v>124</v>
      </c>
      <c r="H6" s="2810">
        <f>SUMIF(I$12:AB$12,"总值",I6:AB6)</f>
        <v>56554.63</v>
      </c>
      <c r="I6" s="2807">
        <f t="shared" ref="I6:AB6" si="2">ROUND($A$3*I5/$B$3,2)</f>
        <v>56554.63</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56554.63</v>
      </c>
      <c r="AZ6" s="2807" t="s">
        <v>124</v>
      </c>
      <c r="BA6" s="2807">
        <f>ROUND($AY$6*BA5/$AZ$5,2)</f>
        <v>56554.63</v>
      </c>
      <c r="BB6" s="2807">
        <f>ROUND($AY$6*BB5/$AZ$5,2)</f>
        <v>56554.63</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408</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工业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3195" t="s">
        <v>2857</v>
      </c>
      <c r="D13" s="2823" t="s">
        <v>477</v>
      </c>
      <c r="E13" s="2807">
        <f>IF($C$3="是",ROUND($A$3*G13/$B$3,2),ROUND($A$3*(G13-AT13)/$B$3,2))</f>
        <v>35540.71</v>
      </c>
      <c r="F13" s="2824"/>
      <c r="G13" s="2825">
        <f>H13+AC13+AT13</f>
        <v>17271.7</v>
      </c>
      <c r="H13" s="2810">
        <f>SUMIF(I$12:AB$12,"总值",I13:AB13)</f>
        <v>17271.7</v>
      </c>
      <c r="I13" s="2837">
        <v>17271.7</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t="str">
        <f t="shared" si="6"/>
        <v>厂房</v>
      </c>
      <c r="AY13" s="2248">
        <f>ROUND($AY$6*AZ13/$AZ$5,2)</f>
        <v>35540.71</v>
      </c>
      <c r="AZ13" s="2807">
        <f>BA13+BL13</f>
        <v>17271.7</v>
      </c>
      <c r="BA13" s="2807">
        <f>SUM(BB13:BK13)</f>
        <v>17271.7</v>
      </c>
      <c r="BB13" s="2807">
        <f>IF($D13="是",I13-J13,0)</f>
        <v>17271.7</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3195" t="s">
        <v>2858</v>
      </c>
      <c r="D14" s="2823" t="s">
        <v>477</v>
      </c>
      <c r="E14" s="2807">
        <f>IF($C$3="是",ROUND($A$3*G14/$B$3,2),ROUND($A$3*(G14-AT14)/$B$3,2))</f>
        <v>4225.72</v>
      </c>
      <c r="F14" s="2824"/>
      <c r="G14" s="2825">
        <f>H14+AC14+AT14</f>
        <v>2053.5700000000002</v>
      </c>
      <c r="H14" s="2810">
        <f>SUMIF(I$12:AB$12,"总值",I14:AB14)</f>
        <v>2053.5700000000002</v>
      </c>
      <c r="I14" s="2837">
        <v>2053.5700000000002</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t="str">
        <f t="shared" si="6"/>
        <v>办公楼</v>
      </c>
      <c r="AY14" s="2248">
        <f>ROUND($AY$6*AZ14/$AZ$5,2)</f>
        <v>4225.72</v>
      </c>
      <c r="AZ14" s="2807">
        <f>BA14+BL14</f>
        <v>2053.5700000000002</v>
      </c>
      <c r="BA14" s="2807">
        <f>SUM(BB14:BK14)</f>
        <v>2053.5700000000002</v>
      </c>
      <c r="BB14" s="2807">
        <f>IF($D14="是",I14-J14,0)</f>
        <v>2053.5700000000002</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3195" t="s">
        <v>2859</v>
      </c>
      <c r="D15" s="2823" t="s">
        <v>477</v>
      </c>
      <c r="E15" s="2807">
        <f>IF($C$3="是",ROUND($A$3*G15/$B$3,2),ROUND($A$3*(G15-AT15)/$B$3,2))</f>
        <v>16657.37</v>
      </c>
      <c r="F15" s="2824"/>
      <c r="G15" s="2825">
        <f>H15+AC15+AT15</f>
        <v>8094.97</v>
      </c>
      <c r="H15" s="2810">
        <f>SUMIF(I$12:AB$12,"总值",I15:AB15)</f>
        <v>8094.97</v>
      </c>
      <c r="I15" s="2837">
        <v>8094.97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t="str">
        <f t="shared" si="6"/>
        <v>研发车间</v>
      </c>
      <c r="AY15" s="2248">
        <f>ROUND($AY$6*AZ15/$AZ$5,2)</f>
        <v>16657.37</v>
      </c>
      <c r="AZ15" s="2807">
        <f>BA15+BL15</f>
        <v>8094.97</v>
      </c>
      <c r="BA15" s="2807">
        <f>SUM(BB15:BK15)</f>
        <v>8094.97</v>
      </c>
      <c r="BB15" s="2807">
        <f>IF($D15="是",I15-J15,0)</f>
        <v>8094.97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3195" t="s">
        <v>2860</v>
      </c>
      <c r="D16" s="2823" t="s">
        <v>477</v>
      </c>
      <c r="E16" s="2807">
        <f>IF($C$3="是",ROUND($A$3*G16/$B$3,2),ROUND($A$3*(G16-AT16)/$B$3,2))</f>
        <v>130.83000000000001</v>
      </c>
      <c r="F16" s="2824"/>
      <c r="G16" s="2825">
        <f>H16+AC16+AT16</f>
        <v>63.58</v>
      </c>
      <c r="H16" s="2810">
        <f>SUMIF(I$12:AB$12,"总值",I16:AB16)</f>
        <v>63.58</v>
      </c>
      <c r="I16" s="2837">
        <f>44.14+19.44</f>
        <v>63.58</v>
      </c>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t="str">
        <f t="shared" si="6"/>
        <v>门卫</v>
      </c>
      <c r="AY16" s="2248">
        <f>ROUND($AY$6*AZ16/$AZ$5,2)</f>
        <v>130.83000000000001</v>
      </c>
      <c r="AZ16" s="2807">
        <f>BA16+BL16</f>
        <v>63.58</v>
      </c>
      <c r="BA16" s="2807">
        <f>SUM(BB16:BK16)</f>
        <v>63.58</v>
      </c>
      <c r="BB16" s="2807">
        <f>IF($D16="是",I16-J16,0)</f>
        <v>63.58</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W9" sqref="W9"/>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0" t="s">
        <v>572</v>
      </c>
      <c r="B2" s="3280"/>
      <c r="C2" s="3280"/>
      <c r="D2" s="2424" t="s">
        <v>573</v>
      </c>
      <c r="E2" s="2734" t="s">
        <v>574</v>
      </c>
      <c r="F2" s="2597"/>
      <c r="G2" s="2735"/>
      <c r="H2" s="2736"/>
      <c r="I2" s="2333" t="s">
        <v>575</v>
      </c>
      <c r="J2" s="2597"/>
      <c r="K2" s="2597"/>
      <c r="L2" s="2597"/>
      <c r="M2" s="2597"/>
      <c r="N2" s="1071"/>
      <c r="O2" s="2597"/>
      <c r="P2" s="2597"/>
    </row>
    <row r="3" spans="1:16" ht="14.4">
      <c r="A3" s="3281" t="s">
        <v>576</v>
      </c>
      <c r="B3" s="3281"/>
      <c r="C3" s="3281"/>
      <c r="D3" s="2737">
        <f>'数据-基础表'!AY6</f>
        <v>56554.63</v>
      </c>
      <c r="E3" s="2737">
        <f>'数据-基础表'!AZ5</f>
        <v>27483.820000000003</v>
      </c>
      <c r="F3" s="2597"/>
      <c r="G3" s="2738"/>
      <c r="H3" s="2137" t="s">
        <v>577</v>
      </c>
      <c r="I3" s="2103">
        <f>ROUND('数据-基础表'!B3/'数据-基础表'!A3,2)</f>
        <v>0.49</v>
      </c>
      <c r="J3" s="2597"/>
      <c r="K3" s="2597"/>
      <c r="L3" s="2597"/>
      <c r="M3" s="2597"/>
      <c r="N3" s="1071"/>
      <c r="O3" s="2597"/>
      <c r="P3" s="2597"/>
    </row>
    <row r="4" spans="1:16" ht="14.4">
      <c r="A4" s="3282"/>
      <c r="B4" s="3283"/>
      <c r="C4" s="3284"/>
      <c r="D4" s="2739" t="s">
        <v>573</v>
      </c>
      <c r="E4" s="2740" t="s">
        <v>574</v>
      </c>
      <c r="F4" s="2597"/>
      <c r="G4" s="2741" t="s">
        <v>578</v>
      </c>
      <c r="H4" s="2137" t="s">
        <v>579</v>
      </c>
      <c r="I4" s="2103">
        <f>ROUND(SUMIF('数据-基础表'!I9:AS9,"地上",'数据-基础表'!I5:AS5)/'数据-基础表'!A3,2)</f>
        <v>0.49</v>
      </c>
      <c r="J4" s="2597"/>
      <c r="K4" s="2597"/>
      <c r="L4" s="2597"/>
      <c r="M4" s="2597"/>
      <c r="N4" s="1071"/>
      <c r="O4" s="2597"/>
      <c r="P4" s="2597"/>
    </row>
    <row r="5" spans="1:16" ht="14.4">
      <c r="A5" s="2738" t="s">
        <v>580</v>
      </c>
      <c r="B5" s="3285" t="s">
        <v>581</v>
      </c>
      <c r="C5" s="3285"/>
      <c r="D5" s="2137">
        <f>ROUND($D$3*E5/$E$3,2)</f>
        <v>0</v>
      </c>
      <c r="E5" s="2742">
        <f>SUMIF('数据-基础表'!$11:$11,"住宅",'数据-基础表'!$5:$5)</f>
        <v>0</v>
      </c>
      <c r="F5" s="2597"/>
      <c r="G5" s="2738"/>
      <c r="H5" s="2137" t="s">
        <v>577</v>
      </c>
      <c r="I5" s="2103">
        <f>ROUND(E31/D31,2)</f>
        <v>0.49</v>
      </c>
      <c r="J5" s="2597"/>
      <c r="K5" s="2597"/>
      <c r="L5" s="2597"/>
      <c r="M5" s="2597"/>
      <c r="N5" s="2597"/>
      <c r="O5" s="2597"/>
      <c r="P5" s="2597"/>
    </row>
    <row r="6" spans="1:16" ht="14.4">
      <c r="A6" s="2743"/>
      <c r="B6" s="3285" t="s">
        <v>582</v>
      </c>
      <c r="C6" s="3285"/>
      <c r="D6" s="2137">
        <f>ROUND($D$3*E6/$E$3,2)</f>
        <v>56554.63</v>
      </c>
      <c r="E6" s="2742">
        <f>E3-E5</f>
        <v>27483.820000000003</v>
      </c>
      <c r="F6" s="2597"/>
      <c r="G6" s="2744" t="s">
        <v>583</v>
      </c>
      <c r="H6" s="2745" t="s">
        <v>579</v>
      </c>
      <c r="I6" s="2784">
        <f>ROUND(F31/D31,2)</f>
        <v>0.49</v>
      </c>
      <c r="J6" s="2597"/>
      <c r="K6" s="2597"/>
      <c r="L6" s="2597"/>
      <c r="M6" s="2597"/>
      <c r="N6" s="2597"/>
      <c r="O6" s="2597"/>
      <c r="P6" s="2597"/>
    </row>
    <row r="7" spans="1:16" ht="14.4">
      <c r="A7" s="3271"/>
      <c r="B7" s="3272"/>
      <c r="C7" s="3273"/>
      <c r="D7" s="2739" t="s">
        <v>573</v>
      </c>
      <c r="E7" s="2746" t="s">
        <v>584</v>
      </c>
      <c r="F7" s="2597"/>
      <c r="G7" s="2747" t="s">
        <v>585</v>
      </c>
      <c r="H7" s="2714"/>
      <c r="I7" s="2785">
        <v>1</v>
      </c>
      <c r="J7" s="2786"/>
      <c r="K7" s="2597"/>
      <c r="L7" s="2597"/>
      <c r="M7" s="2597"/>
      <c r="N7" s="2597"/>
      <c r="O7" s="2597"/>
      <c r="P7" s="2597"/>
    </row>
    <row r="8" spans="1:16" ht="14.4">
      <c r="A8" s="2738" t="s">
        <v>586</v>
      </c>
      <c r="B8" s="2745" t="s">
        <v>587</v>
      </c>
      <c r="C8" s="2137" t="s">
        <v>588</v>
      </c>
      <c r="D8" s="2137">
        <f t="shared" ref="D8:D15" si="0">ROUND($D$3*E8/$E$3,2)</f>
        <v>56554.63</v>
      </c>
      <c r="E8" s="2748">
        <f>SUMIF('数据-基础表'!BB10:BK10,"地上",'数据-基础表'!BB5:BK5)</f>
        <v>27483.820000000003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56554.63</v>
      </c>
      <c r="E16" s="2751">
        <f>SUM(E8:E15)</f>
        <v>27483.820000000003</v>
      </c>
      <c r="F16" s="2597"/>
      <c r="G16" s="2597"/>
      <c r="H16" s="2752" t="s">
        <v>597</v>
      </c>
      <c r="I16" s="2787"/>
      <c r="J16" s="2185"/>
      <c r="K16" s="3274" t="s">
        <v>597</v>
      </c>
      <c r="L16" s="3275"/>
      <c r="M16" s="3275"/>
      <c r="N16" s="3275"/>
      <c r="O16" s="3275"/>
      <c r="P16" s="3276"/>
    </row>
    <row r="17" spans="1:19" ht="14.4">
      <c r="A17" s="2705" t="s">
        <v>598</v>
      </c>
      <c r="B17" s="2753" t="s">
        <v>599</v>
      </c>
      <c r="C17" s="2158" t="s">
        <v>600</v>
      </c>
      <c r="D17" s="2754" t="s">
        <v>573</v>
      </c>
      <c r="E17" s="2755" t="s">
        <v>574</v>
      </c>
      <c r="F17" s="2756"/>
      <c r="G17" s="2757"/>
      <c r="H17" s="2758" t="s">
        <v>601</v>
      </c>
      <c r="I17" s="2788" t="s">
        <v>602</v>
      </c>
      <c r="J17" s="2185"/>
      <c r="K17" s="3277" t="s">
        <v>603</v>
      </c>
      <c r="L17" s="3278"/>
      <c r="M17" s="3279"/>
      <c r="N17" s="3277" t="s">
        <v>604</v>
      </c>
      <c r="O17" s="3278"/>
      <c r="P17" s="3279"/>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3198" t="s">
        <v>2864</v>
      </c>
      <c r="D19" s="2137">
        <f>ROUND($D$3*E19/$E$3,2)</f>
        <v>56554.63</v>
      </c>
      <c r="E19" s="2766">
        <f t="shared" ref="E19:E26" si="1">SUM(F19:G19)</f>
        <v>27483.820000000003</v>
      </c>
      <c r="F19" s="2767">
        <f>'数据-基础表'!I5</f>
        <v>27483.820000000003</v>
      </c>
      <c r="G19" s="2171"/>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56554.63</v>
      </c>
      <c r="S19" s="2766">
        <f t="shared" si="5"/>
        <v>27483.820000000003</v>
      </c>
    </row>
    <row r="20" spans="1:19" ht="14.4">
      <c r="A20" s="2764"/>
      <c r="B20" s="2745" t="s">
        <v>613</v>
      </c>
      <c r="C20" s="2765"/>
      <c r="D20" s="2137">
        <f t="shared" ref="D20:D26" si="6">ROUND($D$3*E20/$E$3,2)</f>
        <v>0</v>
      </c>
      <c r="E20" s="2766">
        <f t="shared" si="1"/>
        <v>0</v>
      </c>
      <c r="F20" s="2767"/>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0</v>
      </c>
    </row>
    <row r="21" spans="1:19" ht="14.4">
      <c r="A21" s="2764"/>
      <c r="B21" s="2745" t="s">
        <v>613</v>
      </c>
      <c r="C21" s="2765"/>
      <c r="D21" s="2137">
        <f t="shared" si="6"/>
        <v>0</v>
      </c>
      <c r="E21" s="2766">
        <f t="shared" si="1"/>
        <v>0</v>
      </c>
      <c r="F21" s="2767"/>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0</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56554.63</v>
      </c>
      <c r="E27" s="2773">
        <f>IF(SUM(E19:E26)='数据-基础表'!BA5,SUM(E19:E26),IF(F27="地上面积有误","面积有误","地下面积有误"))</f>
        <v>27483.820000000003</v>
      </c>
      <c r="F27" s="2772">
        <f>IF(SUM(F19:F26)=E8,SUM(F19:F26),"地上面积有误")</f>
        <v>27483.820000000003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56554.63</v>
      </c>
      <c r="S27" s="2137">
        <f>IF(SUM(S19:S26)=$E$3,SUM(S19:S26),SUM(S19:S26)&amp;"误差"&amp;ROUND(SUM(S19:S26)-E3,2))</f>
        <v>27483.820000000003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56554.63</v>
      </c>
      <c r="E31" s="2779">
        <f>E27+E30</f>
        <v>27483.820000000003</v>
      </c>
      <c r="F31" s="2780">
        <f>F27+F30</f>
        <v>27483.820000000003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X15" sqref="X15"/>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10.10937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45838</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t="str">
        <f>'数据-汇总表'!C19</f>
        <v>工业</v>
      </c>
      <c r="B6" s="2578" t="str">
        <f>IF(A6=0,"","经营性")</f>
        <v>经营性</v>
      </c>
      <c r="C6" s="2579" t="s">
        <v>408</v>
      </c>
      <c r="D6" s="2580">
        <f>SUMIF(项目基本情况!C$12:I$12,C6,项目基本情况!C$14:I$14)</f>
        <v>50</v>
      </c>
      <c r="E6" s="2581">
        <f>IF(B6="","",SUMIF(项目基本情况!C$12:I$12,C6,项目基本情况!C$13:I$13))</f>
        <v>59587</v>
      </c>
      <c r="F6" s="2582">
        <f>SUMIF(项目基本情况!C$12:I$12,C6,项目基本情况!C$15:I$15)</f>
        <v>37.659999999999997</v>
      </c>
      <c r="G6" s="2583">
        <f>IF(ISERROR(ROUND(POWER(1+H6,D6-F6)*(POWER(1+H6,F6)-1)/(POWER(1+H6,D6)-1),3)),0,ROUND(POWER(1+H6,D6-F6)*(POWER(1+H6,F6)-1)/(POWER(1+H6,D6)-1),3))</f>
        <v>0.91</v>
      </c>
      <c r="H6" s="2584">
        <v>4.4999999999999998E-2</v>
      </c>
      <c r="I6" s="2584">
        <v>5.5E-2</v>
      </c>
      <c r="J6" s="2585">
        <v>7.0000000000000007E-2</v>
      </c>
      <c r="K6" s="2666">
        <f>SUMIF('数据-汇总表'!C$19:C$33,A6,'数据-汇总表'!E$19:E$33)</f>
        <v>27483.820000000003</v>
      </c>
      <c r="L6" s="2667">
        <v>2500</v>
      </c>
      <c r="M6" s="2668">
        <f t="shared" ref="M6:M14" si="0">ROUND(K6*L6/10000,0)</f>
        <v>6871</v>
      </c>
      <c r="N6" s="2669">
        <f>N18</f>
        <v>0.83</v>
      </c>
      <c r="O6" s="2668" t="str">
        <f>IF($N$5="成新度","——",ROUND(M6*N6,0))</f>
        <v>——</v>
      </c>
      <c r="P6" s="1072" t="str">
        <f>IF($N$5="成新度","——",M6-O6)</f>
        <v>——</v>
      </c>
      <c r="Q6" s="2686">
        <v>0.05</v>
      </c>
      <c r="R6" s="2687">
        <f ca="1">SUMIF('数据-汇总表'!C$19:C$33,A6,'数据-汇总表'!R$19:R$27)</f>
        <v>56554.63</v>
      </c>
      <c r="S6" s="2688">
        <f>IF('数据-汇总表'!$I$17="按面积比例",SUMIF('数据-汇总表'!C$19:C$33,A6,'数据-汇总表'!K$19:K$33),SUMIF('数据-汇总表'!C$19:C$33,A6,'数据-汇总表'!N$19:N$33))</f>
        <v>0</v>
      </c>
      <c r="T6" s="2689">
        <f>ROUND($L$14*S6/10000,0)</f>
        <v>0</v>
      </c>
      <c r="U6" s="2690">
        <v>1.2</v>
      </c>
      <c r="V6" s="2691">
        <v>1.4999999999999999E-2</v>
      </c>
      <c r="W6" s="2691">
        <v>0.1</v>
      </c>
      <c r="X6" s="2692"/>
      <c r="Y6" s="2706">
        <f>N6</f>
        <v>0.83</v>
      </c>
      <c r="Z6" s="2707"/>
      <c r="AA6" s="2585"/>
      <c r="AB6" s="2585"/>
      <c r="AC6" s="2692"/>
      <c r="AD6" s="2708"/>
      <c r="AE6" s="2709">
        <f ca="1">IF(AN6="",0,SUMIF(INDIRECT("'"&amp;AN6&amp;"'"&amp;"!E:E"),$AE$5,INDIRECT("'"&amp;AN6&amp;"'"&amp;"!F:F")))</f>
        <v>37.659999999999997</v>
      </c>
      <c r="AF6" s="2124"/>
      <c r="AG6" s="1602">
        <f>IF(AF6="",0,AE6-AF6)</f>
        <v>0</v>
      </c>
      <c r="AH6" s="2717"/>
      <c r="AI6" s="2718">
        <v>365</v>
      </c>
      <c r="AJ6" s="2124"/>
      <c r="AK6" s="2719">
        <v>3.0000000000000001E-3</v>
      </c>
      <c r="AL6" s="2720">
        <v>1E-3</v>
      </c>
      <c r="AM6" s="2721">
        <v>0.01</v>
      </c>
      <c r="AN6" s="2722" t="s">
        <v>2865</v>
      </c>
      <c r="AO6" s="1126">
        <f ca="1">SUMIF(INDIRECT("'"&amp;AN6&amp;"'"&amp;"!A:A"),"总价",INDIRECT("'"&amp;AN6&amp;"'"&amp;"!B:B"))</f>
        <v>17763</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6">
        <f>SUMIF('数据-汇总表'!C$19:C$33,A7,'数据-汇总表'!E$19:E$33)</f>
        <v>0</v>
      </c>
      <c r="L7" s="2667"/>
      <c r="M7" s="2668">
        <f t="shared" si="0"/>
        <v>0</v>
      </c>
      <c r="N7" s="2669"/>
      <c r="O7" s="2668" t="str">
        <f t="shared" ref="O7:O14" si="3">IF($N$5="成新度","——",ROUND(M7*N7,0))</f>
        <v>——</v>
      </c>
      <c r="P7" s="1072"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06"/>
      <c r="Z7" s="2707"/>
      <c r="AA7" s="2585"/>
      <c r="AB7" s="2585"/>
      <c r="AC7" s="2692"/>
      <c r="AD7" s="2708"/>
      <c r="AE7" s="2709">
        <f t="shared" ref="AE7:AE13" ca="1" si="6">IF(AN7="",0,SUMIF(INDIRECT("'"&amp;AN7&amp;"'"&amp;"!E:E"),$AE$5,INDIRECT("'"&amp;AN7&amp;"'"&amp;"!F:F")))</f>
        <v>0</v>
      </c>
      <c r="AF7" s="2124"/>
      <c r="AG7" s="1602">
        <f t="shared" ref="AG7:AG13" si="7">IF(AF7="",0,AE7-AF7)</f>
        <v>0</v>
      </c>
      <c r="AH7" s="2717"/>
      <c r="AI7" s="2718"/>
      <c r="AJ7" s="2124"/>
      <c r="AK7" s="2719"/>
      <c r="AL7" s="2720"/>
      <c r="AM7" s="2721"/>
      <c r="AN7" s="2722"/>
      <c r="AO7" s="1126" t="e">
        <f t="shared" ref="AO7:AO13" ca="1" si="8">SUMIF(INDIRECT("'"&amp;AN7&amp;"'"&amp;"!A:A"),"总价",INDIRECT("'"&amp;AN7&amp;"'"&amp;"!B:B"))</f>
        <v>#REF!</v>
      </c>
      <c r="AP7" s="2730">
        <f t="shared" ref="AP7:AP13" si="9">IF(C7="住宅",K7*L7,0)</f>
        <v>0</v>
      </c>
      <c r="AQ7" s="1126">
        <f t="shared" ref="AQ7:AQ13" si="10">ROUND($L$14*$N$14*S7/10000,0)</f>
        <v>0</v>
      </c>
      <c r="AR7" s="112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6">
        <f>SUMIF('数据-汇总表'!C$19:C$33,A8,'数据-汇总表'!E$19:E$33)</f>
        <v>0</v>
      </c>
      <c r="L8" s="2667"/>
      <c r="M8" s="2668">
        <f t="shared" si="0"/>
        <v>0</v>
      </c>
      <c r="N8" s="2669"/>
      <c r="O8" s="2668" t="str">
        <f t="shared" si="3"/>
        <v>——</v>
      </c>
      <c r="P8" s="1072"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0"/>
      <c r="V8" s="2691"/>
      <c r="W8" s="2691"/>
      <c r="X8" s="2692"/>
      <c r="Y8" s="2706"/>
      <c r="Z8" s="2707"/>
      <c r="AA8" s="2585"/>
      <c r="AB8" s="2585"/>
      <c r="AC8" s="2692"/>
      <c r="AD8" s="2708"/>
      <c r="AE8" s="2709">
        <f t="shared" ca="1" si="6"/>
        <v>0</v>
      </c>
      <c r="AF8" s="2124"/>
      <c r="AG8" s="1602">
        <f t="shared" si="7"/>
        <v>0</v>
      </c>
      <c r="AH8" s="2723"/>
      <c r="AI8" s="2718"/>
      <c r="AJ8" s="2124"/>
      <c r="AK8" s="2719"/>
      <c r="AL8" s="2720"/>
      <c r="AM8" s="2721"/>
      <c r="AN8" s="2722"/>
      <c r="AO8" s="1126" t="e">
        <f t="shared" ca="1" si="8"/>
        <v>#REF!</v>
      </c>
      <c r="AP8" s="2730">
        <f t="shared" si="9"/>
        <v>0</v>
      </c>
      <c r="AQ8" s="1126">
        <f t="shared" si="10"/>
        <v>0</v>
      </c>
      <c r="AR8" s="112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6"/>
        <v>0</v>
      </c>
      <c r="AF9" s="2124"/>
      <c r="AG9" s="1602">
        <f t="shared" si="7"/>
        <v>0</v>
      </c>
      <c r="AH9" s="2717"/>
      <c r="AI9" s="2718"/>
      <c r="AJ9" s="2124"/>
      <c r="AK9" s="2719"/>
      <c r="AL9" s="2720"/>
      <c r="AM9" s="2721"/>
      <c r="AN9" s="2722"/>
      <c r="AO9" s="1126" t="e">
        <f t="shared" ca="1" si="8"/>
        <v>#REF!</v>
      </c>
      <c r="AP9" s="2730">
        <f t="shared" si="9"/>
        <v>0</v>
      </c>
      <c r="AQ9" s="1126">
        <f t="shared" si="10"/>
        <v>0</v>
      </c>
      <c r="AR9" s="112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6"/>
        <v>0</v>
      </c>
      <c r="AF10" s="2124"/>
      <c r="AG10" s="1602">
        <f t="shared" si="7"/>
        <v>0</v>
      </c>
      <c r="AH10" s="2717"/>
      <c r="AI10" s="2718"/>
      <c r="AJ10" s="2124"/>
      <c r="AK10" s="2719"/>
      <c r="AL10" s="2720"/>
      <c r="AM10" s="2721"/>
      <c r="AN10" s="2722"/>
      <c r="AO10" s="1126" t="e">
        <f t="shared" ca="1" si="8"/>
        <v>#REF!</v>
      </c>
      <c r="AP10" s="2730">
        <f t="shared" si="9"/>
        <v>0</v>
      </c>
      <c r="AQ10" s="1126">
        <f t="shared" si="10"/>
        <v>0</v>
      </c>
      <c r="AR10" s="112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6"/>
        <v>0</v>
      </c>
      <c r="AF11" s="2124"/>
      <c r="AG11" s="1602">
        <f t="shared" si="7"/>
        <v>0</v>
      </c>
      <c r="AH11" s="2717"/>
      <c r="AI11" s="2718"/>
      <c r="AJ11" s="2124"/>
      <c r="AK11" s="2719"/>
      <c r="AL11" s="2720"/>
      <c r="AM11" s="2721"/>
      <c r="AN11" s="2722"/>
      <c r="AO11" s="1126" t="e">
        <f t="shared" ca="1" si="8"/>
        <v>#REF!</v>
      </c>
      <c r="AP11" s="2730">
        <f t="shared" si="9"/>
        <v>0</v>
      </c>
      <c r="AQ11" s="1126">
        <f t="shared" si="10"/>
        <v>0</v>
      </c>
      <c r="AR11" s="112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6"/>
        <v>0</v>
      </c>
      <c r="AF12" s="2124"/>
      <c r="AG12" s="1602">
        <f t="shared" si="7"/>
        <v>0</v>
      </c>
      <c r="AH12" s="2717"/>
      <c r="AI12" s="2718"/>
      <c r="AJ12" s="2124"/>
      <c r="AK12" s="2719"/>
      <c r="AL12" s="2720"/>
      <c r="AM12" s="2721"/>
      <c r="AN12" s="2722"/>
      <c r="AO12" s="1126" t="e">
        <f t="shared" ca="1" si="8"/>
        <v>#REF!</v>
      </c>
      <c r="AP12" s="2730">
        <f t="shared" si="9"/>
        <v>0</v>
      </c>
      <c r="AQ12" s="1126">
        <f t="shared" si="10"/>
        <v>0</v>
      </c>
      <c r="AR12" s="112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6"/>
        <v>0</v>
      </c>
      <c r="AF13" s="2124"/>
      <c r="AG13" s="1602">
        <f t="shared" si="7"/>
        <v>0</v>
      </c>
      <c r="AH13" s="2717"/>
      <c r="AI13" s="2718"/>
      <c r="AJ13" s="2124"/>
      <c r="AK13" s="2719"/>
      <c r="AL13" s="2720"/>
      <c r="AM13" s="2721"/>
      <c r="AN13" s="2722"/>
      <c r="AO13" s="1126" t="e">
        <f t="shared" ca="1" si="8"/>
        <v>#REF!</v>
      </c>
      <c r="AP13" s="2730">
        <f t="shared" si="9"/>
        <v>0</v>
      </c>
      <c r="AQ13" s="1126">
        <f t="shared" si="10"/>
        <v>0</v>
      </c>
      <c r="AR13" s="112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0.91</v>
      </c>
      <c r="H16" s="2593">
        <f>ROUND(SUMPRODUCT(H6:H13,K6:K13)/SUMPRODUCT((H6:H13&gt;0)*(K6:K13)),3)</f>
        <v>4.4999999999999998E-2</v>
      </c>
      <c r="I16" s="2674"/>
      <c r="J16" s="2674"/>
      <c r="K16" s="2675">
        <f>SUM(K6:K15)</f>
        <v>27483.820000000003</v>
      </c>
      <c r="L16" s="2676">
        <f>ROUND(M16*10000/SUM(K6:K14),0)</f>
        <v>2500</v>
      </c>
      <c r="M16" s="2676">
        <f>SUM(M6:M14)</f>
        <v>6871</v>
      </c>
      <c r="N16" s="2677">
        <f>ROUND(SUMPRODUCT(M6:M14,N6:N14)/M16,3)</f>
        <v>0.83</v>
      </c>
      <c r="O16" s="2676">
        <f>SUM(O6:O14)</f>
        <v>0</v>
      </c>
      <c r="P16" s="2676">
        <f>SUM(P6:P14)</f>
        <v>0</v>
      </c>
      <c r="Q16" s="2699">
        <f>ROUND(SUMPRODUCT(Q6:Q13,K6:K13)/SUMPRODUCT((Q6:Q13&gt;0)*(K6:K13)),2)</f>
        <v>0.05</v>
      </c>
      <c r="R16" s="2700">
        <f ca="1">SUM(R6:R13)</f>
        <v>56554.63</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2785</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2064</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2786</v>
      </c>
      <c r="N19" s="2408">
        <v>0.8</v>
      </c>
      <c r="O19" s="2408"/>
      <c r="P19" s="2408"/>
      <c r="Q19" s="2408"/>
      <c r="R19" s="2408"/>
      <c r="S19" s="2408"/>
      <c r="T19" s="2408"/>
      <c r="U19" s="3181"/>
      <c r="V19" s="3109"/>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1</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c r="V20" s="3181"/>
      <c r="W20" s="3184"/>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1</v>
      </c>
      <c r="C21" s="2597"/>
      <c r="D21" s="2598"/>
      <c r="E21" s="2597"/>
      <c r="F21" s="2597"/>
      <c r="G21" s="2597"/>
      <c r="H21" s="2597"/>
      <c r="I21" s="2597"/>
      <c r="J21" s="2597"/>
      <c r="K21" s="2678"/>
      <c r="L21" s="2678"/>
      <c r="M21" s="2408"/>
      <c r="N21" s="2408"/>
      <c r="O21" s="2408"/>
      <c r="P21" s="2408"/>
      <c r="Q21" s="2408"/>
      <c r="R21" s="2408"/>
      <c r="S21" s="2408"/>
      <c r="T21" s="2408"/>
      <c r="U21" s="3181"/>
      <c r="V21" s="3181"/>
      <c r="W21" s="3184"/>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1</v>
      </c>
      <c r="C22" s="2597"/>
      <c r="D22" s="2598"/>
      <c r="E22" s="2597"/>
      <c r="F22" s="2597"/>
      <c r="G22" s="2597"/>
      <c r="H22" s="2597"/>
      <c r="I22" s="2597"/>
      <c r="J22" s="2597"/>
      <c r="K22" s="2678"/>
      <c r="L22" s="2678"/>
      <c r="M22" s="2408"/>
      <c r="N22" s="2679" t="s">
        <v>2866</v>
      </c>
      <c r="O22" s="2408"/>
      <c r="P22" s="2679" t="s">
        <v>2867</v>
      </c>
      <c r="Q22" s="2408"/>
      <c r="R22" s="2408"/>
      <c r="S22" s="2408"/>
      <c r="T22" s="2408"/>
      <c r="U22" s="3181"/>
      <c r="V22" s="3181"/>
      <c r="W22" s="3184"/>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1</v>
      </c>
      <c r="C23" s="2597"/>
      <c r="D23" s="2598"/>
      <c r="E23" s="2597"/>
      <c r="F23" s="2597"/>
      <c r="G23" s="2597"/>
      <c r="H23" s="2597"/>
      <c r="I23" s="2597"/>
      <c r="J23" s="2597"/>
      <c r="K23" s="3195" t="s">
        <v>2857</v>
      </c>
      <c r="L23" s="3196" t="s">
        <v>2861</v>
      </c>
      <c r="M23" s="2837">
        <v>17271.7</v>
      </c>
      <c r="N23" s="2408">
        <v>2000</v>
      </c>
      <c r="O23" s="2408">
        <f>N23*M23/10000</f>
        <v>3454.34</v>
      </c>
      <c r="P23" s="2408">
        <v>0.6</v>
      </c>
      <c r="Q23" s="2408"/>
      <c r="R23" s="2408"/>
      <c r="S23" s="2408"/>
      <c r="T23" s="2408"/>
      <c r="U23" s="3181"/>
      <c r="V23" s="3181"/>
      <c r="W23" s="3184"/>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3195" t="s">
        <v>2858</v>
      </c>
      <c r="L24" s="3197" t="s">
        <v>2862</v>
      </c>
      <c r="M24" s="2837">
        <v>2053.5700000000002</v>
      </c>
      <c r="N24" s="2408">
        <v>2500</v>
      </c>
      <c r="O24" s="2408">
        <f t="shared" ref="O24:O26" si="12">N24*M24/10000</f>
        <v>513.39250000000004</v>
      </c>
      <c r="P24" s="2408">
        <v>1</v>
      </c>
      <c r="Q24" s="2408"/>
      <c r="R24" s="2408"/>
      <c r="S24" s="2408"/>
      <c r="T24" s="2408"/>
      <c r="U24" s="3109"/>
      <c r="V24" s="3181"/>
      <c r="W24" s="3184"/>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3195" t="s">
        <v>2859</v>
      </c>
      <c r="L25" s="3196" t="s">
        <v>2863</v>
      </c>
      <c r="M25" s="2837">
        <v>8094.97</v>
      </c>
      <c r="N25" s="2408">
        <v>3500</v>
      </c>
      <c r="O25" s="2408">
        <f t="shared" si="12"/>
        <v>2833.2395000000001</v>
      </c>
      <c r="P25" s="2408">
        <v>1.2</v>
      </c>
      <c r="Q25" s="2408"/>
      <c r="R25" s="2408"/>
      <c r="S25" s="2408"/>
      <c r="T25" s="2408"/>
      <c r="U25" s="2408"/>
      <c r="V25" s="3187"/>
      <c r="W25" s="3185"/>
      <c r="X25" s="3188"/>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3195" t="s">
        <v>2860</v>
      </c>
      <c r="L26" s="3196" t="s">
        <v>2861</v>
      </c>
      <c r="M26" s="2837">
        <f>44.14+19.44</f>
        <v>63.58</v>
      </c>
      <c r="N26" s="2408">
        <v>1500</v>
      </c>
      <c r="O26" s="2408">
        <f t="shared" si="12"/>
        <v>9.5370000000000008</v>
      </c>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c r="C27" s="2611" t="s">
        <v>679</v>
      </c>
      <c r="D27" s="2612"/>
      <c r="E27" s="1071"/>
      <c r="F27" s="1071"/>
      <c r="G27" s="2597"/>
      <c r="H27" s="2597"/>
      <c r="I27" s="2597"/>
      <c r="J27" s="2597"/>
      <c r="K27" s="2678"/>
      <c r="L27" s="2678"/>
      <c r="M27" s="2408"/>
      <c r="N27" s="3199">
        <f>O27*10000/K16</f>
        <v>2478.0066963034974</v>
      </c>
      <c r="O27" s="2408">
        <f>SUM(O23:O26)</f>
        <v>6810.509</v>
      </c>
      <c r="P27" s="3187">
        <f>(O23*P23+O24*P24+O25*P25)/O27</f>
        <v>0.87891872692628403</v>
      </c>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80</v>
      </c>
      <c r="C28" s="2615"/>
      <c r="D28" s="2612"/>
      <c r="E28" s="1071"/>
      <c r="F28" s="1071"/>
      <c r="G28" s="2597"/>
      <c r="H28" s="2597"/>
      <c r="I28" s="2597"/>
      <c r="J28" s="2597"/>
      <c r="K28" s="2678"/>
      <c r="L28" s="2678"/>
      <c r="M28" s="2679" t="s">
        <v>2868</v>
      </c>
      <c r="N28" s="2408">
        <f ca="1">(R16-M23-M24/3-M25/6-M26)*0.8</f>
        <v>29748.531999999996</v>
      </c>
      <c r="O28" s="2408"/>
      <c r="P28" s="2408">
        <v>0.05</v>
      </c>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f>B28*K16/10000</f>
        <v>219.87056000000001</v>
      </c>
      <c r="C29" s="2618" t="s">
        <v>682</v>
      </c>
      <c r="D29" s="2612"/>
      <c r="E29" s="1071"/>
      <c r="F29" s="1071"/>
      <c r="G29" s="2597"/>
      <c r="H29" s="2597"/>
      <c r="I29" s="2597"/>
      <c r="J29" s="2597"/>
      <c r="K29" s="2678"/>
      <c r="L29" s="2678"/>
      <c r="M29" s="2408"/>
      <c r="N29" s="2408"/>
      <c r="O29" s="2408"/>
      <c r="P29" s="3187">
        <f ca="1">(N28*P28+O27*P27)/O27</f>
        <v>1.0973204058610009</v>
      </c>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2838</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6" t="s">
        <v>731</v>
      </c>
      <c r="B1" s="3287"/>
      <c r="C1" s="3287"/>
      <c r="D1" s="3287"/>
      <c r="E1" s="3287"/>
      <c r="F1" s="3287"/>
      <c r="G1" s="3287"/>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2843</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2792</v>
      </c>
      <c r="D6" s="2515"/>
      <c r="E6" s="2520"/>
      <c r="F6" s="1896" t="s">
        <v>740</v>
      </c>
      <c r="G6" s="2521"/>
      <c r="H6" s="2397"/>
      <c r="I6" s="2397"/>
      <c r="J6" s="2397"/>
      <c r="K6" s="2397"/>
      <c r="L6" s="2397"/>
      <c r="M6" s="2397"/>
      <c r="N6" s="2397"/>
      <c r="O6" s="2397"/>
      <c r="P6" s="2397"/>
      <c r="Q6" s="2397"/>
    </row>
    <row r="7" spans="1:29">
      <c r="A7" s="2516"/>
      <c r="B7" s="1896" t="s">
        <v>563</v>
      </c>
      <c r="C7" s="3178" t="s">
        <v>2792</v>
      </c>
      <c r="D7" s="2522"/>
      <c r="E7" s="2523"/>
      <c r="F7" s="2524" t="s">
        <v>741</v>
      </c>
      <c r="G7" s="2525"/>
      <c r="H7" s="2397"/>
      <c r="I7" s="2397"/>
      <c r="J7" s="2397"/>
      <c r="K7" s="2397"/>
      <c r="L7" s="2397"/>
      <c r="M7" s="2397"/>
      <c r="N7" s="2397"/>
      <c r="O7" s="2397"/>
      <c r="P7" s="2397"/>
      <c r="Q7" s="2397"/>
    </row>
    <row r="8" spans="1:29">
      <c r="A8" s="2516"/>
      <c r="B8" s="1896" t="s">
        <v>740</v>
      </c>
      <c r="C8" s="3179" t="s">
        <v>2793</v>
      </c>
      <c r="D8" s="2522"/>
      <c r="E8" s="2522"/>
      <c r="F8" s="1458"/>
      <c r="G8" s="1458"/>
      <c r="H8" s="2397"/>
      <c r="I8" s="2397"/>
      <c r="J8" s="2397"/>
      <c r="K8" s="2397"/>
      <c r="L8" s="2397"/>
      <c r="M8" s="2397"/>
      <c r="N8" s="2397"/>
      <c r="O8" s="2397"/>
      <c r="P8" s="2397"/>
      <c r="Q8" s="2397"/>
    </row>
    <row r="9" spans="1:29">
      <c r="A9" s="2516"/>
      <c r="B9" s="1896" t="s">
        <v>742</v>
      </c>
      <c r="C9" s="3178" t="s">
        <v>2792</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C15" sqref="C15"/>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27483.820000000003</v>
      </c>
      <c r="C1" s="2491"/>
      <c r="D1" s="2491"/>
      <c r="E1" s="2491"/>
      <c r="F1" s="2491"/>
      <c r="G1" s="2492"/>
      <c r="H1" s="2492"/>
      <c r="I1" s="2492"/>
      <c r="J1" s="2492"/>
      <c r="K1" s="2492"/>
    </row>
    <row r="2" spans="1:11" ht="16.2">
      <c r="A2" s="2490" t="s">
        <v>749</v>
      </c>
      <c r="B2" s="2490">
        <f>SUM(C14:C23)</f>
        <v>56554.63</v>
      </c>
      <c r="C2" s="2491"/>
      <c r="D2" s="2491"/>
      <c r="E2" s="2491"/>
      <c r="F2" s="2491"/>
      <c r="G2" s="2492"/>
      <c r="H2" s="2492"/>
      <c r="I2" s="2492"/>
      <c r="J2" s="2492"/>
      <c r="K2" s="2492"/>
    </row>
    <row r="3" spans="1:11" ht="15.6">
      <c r="A3" s="2490" t="s">
        <v>750</v>
      </c>
      <c r="B3" s="2493">
        <f>项目基本情况!D3</f>
        <v>45838</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15696</v>
      </c>
      <c r="C5" s="2490">
        <f ca="1">IF(B5=D14,结果表!H102,ROUND(B5*10000/$B$1,0))</f>
        <v>5711</v>
      </c>
      <c r="D5" s="2490">
        <f ca="1">ROUND(B5*10000/$B$2,0)</f>
        <v>2775</v>
      </c>
      <c r="E5" s="2491">
        <f ca="1">B5*10000</f>
        <v>156960000</v>
      </c>
      <c r="F5" s="3288" t="str">
        <f ca="1">NUMBERSTRING(INT(E5*10000),2)&amp;"元整"</f>
        <v>壹兆伍仟陆佰玖拾陆亿元整</v>
      </c>
      <c r="G5" s="3289"/>
      <c r="H5" s="2492"/>
      <c r="I5" s="2492"/>
      <c r="J5" s="2492"/>
      <c r="K5" s="2492"/>
    </row>
    <row r="6" spans="1:11" ht="15.6">
      <c r="A6" s="2490" t="s">
        <v>756</v>
      </c>
      <c r="B6" s="2490">
        <f ca="1">SUM(G14:G23)</f>
        <v>15696</v>
      </c>
      <c r="C6" s="2490">
        <f ca="1">IF(B6=G14,结果表!H108,ROUND(B6*10000/$B$1,0))</f>
        <v>5711</v>
      </c>
      <c r="D6" s="2490">
        <f ca="1">ROUND(B6*10000/$B$2,0)</f>
        <v>2775</v>
      </c>
      <c r="E6" s="2491"/>
      <c r="F6" s="2492"/>
      <c r="G6" s="2492"/>
      <c r="H6" s="2492"/>
      <c r="I6" s="2492"/>
      <c r="J6" s="2492"/>
      <c r="K6" s="2492"/>
    </row>
    <row r="7" spans="1:11" ht="15.6">
      <c r="A7" s="2490" t="s">
        <v>757</v>
      </c>
      <c r="B7" s="2490">
        <f>SUM(H14:H23)</f>
        <v>0</v>
      </c>
      <c r="C7" s="2490" t="str">
        <f>IF(B7=H14,结果表!H110,ROUND(B7*10000/$B$1,0))</f>
        <v>——</v>
      </c>
      <c r="D7" s="2490">
        <f>ROUND(B7*10000/$B$2,0)</f>
        <v>0</v>
      </c>
      <c r="E7" s="2491"/>
      <c r="F7" s="2492"/>
      <c r="G7" s="2492"/>
      <c r="H7" s="2492"/>
      <c r="I7" s="2492"/>
      <c r="J7" s="2492"/>
      <c r="K7" s="2492"/>
    </row>
    <row r="8" spans="1:11" ht="15.6">
      <c r="A8" s="2490" t="s">
        <v>336</v>
      </c>
      <c r="B8" s="2490">
        <f>SUM(I14:I23)</f>
        <v>0</v>
      </c>
      <c r="C8" s="2490" t="str">
        <f>IF(B8=I14,结果表!H112,ROUND(B8*10000/$B$1,0))</f>
        <v>——</v>
      </c>
      <c r="D8" s="2490">
        <f>ROUND(B8*10000/$B$2,0)</f>
        <v>0</v>
      </c>
      <c r="E8" s="2491">
        <f>B8*10000</f>
        <v>0</v>
      </c>
      <c r="F8" s="3288" t="str">
        <f>NUMBERSTRING(INT(E8*10000),2)&amp;"元整"</f>
        <v>零元整</v>
      </c>
      <c r="G8" s="3289"/>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结果表!B118</f>
        <v>27483.820000000003</v>
      </c>
      <c r="C14" s="2501">
        <f>结果表!C118</f>
        <v>56554.63</v>
      </c>
      <c r="D14" s="2501">
        <f ca="1">结果表!H118</f>
        <v>15696</v>
      </c>
      <c r="E14" s="2501">
        <f ca="1">结果表!I118</f>
        <v>5711</v>
      </c>
      <c r="F14" s="2501">
        <f ca="1">ROUND(D14*10000/C14,0)</f>
        <v>2775</v>
      </c>
      <c r="G14" s="2501">
        <f ca="1">D14</f>
        <v>15696</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3" zoomScaleNormal="100" zoomScaleSheetLayoutView="100" zoomScalePageLayoutView="80" workbookViewId="0">
      <selection activeCell="F38" sqref="F3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t="s">
        <v>408</v>
      </c>
      <c r="D1" s="1998"/>
      <c r="E1" s="1998"/>
      <c r="F1" s="2117" t="s">
        <v>779</v>
      </c>
      <c r="G1" s="2118"/>
      <c r="H1" s="2117" t="str">
        <f>IF(G1="现房","——","估价对象范围")</f>
        <v>估价对象范围</v>
      </c>
      <c r="I1" s="2247"/>
    </row>
    <row r="2" spans="1:12" ht="21.75" customHeight="1">
      <c r="A2" s="3290" t="str">
        <f>项目基本情况!S2</f>
        <v>北京市平谷区兴谷东路39号房地产</v>
      </c>
      <c r="B2" s="3291"/>
      <c r="C2" s="3291"/>
      <c r="D2" s="3291"/>
      <c r="E2" s="3291"/>
      <c r="F2" s="3291"/>
      <c r="G2" s="3291"/>
      <c r="H2" s="3291"/>
      <c r="I2" s="3292"/>
    </row>
    <row r="3" spans="1:12" ht="13.2">
      <c r="A3" s="3293" t="s">
        <v>780</v>
      </c>
      <c r="B3" s="3294"/>
      <c r="C3" s="3294"/>
      <c r="D3" s="3294"/>
      <c r="E3" s="3294"/>
      <c r="F3" s="3294"/>
      <c r="G3" s="3294"/>
      <c r="H3" s="3294"/>
      <c r="I3" s="3294"/>
    </row>
    <row r="4" spans="1:12" ht="14.4">
      <c r="A4" s="2119" t="s">
        <v>781</v>
      </c>
      <c r="B4" s="2120" t="s">
        <v>782</v>
      </c>
      <c r="C4" s="2121" t="s">
        <v>2874</v>
      </c>
      <c r="D4" s="2121" t="s">
        <v>2865</v>
      </c>
      <c r="E4" s="3295" t="s">
        <v>783</v>
      </c>
      <c r="F4" s="3296"/>
      <c r="G4" s="3296"/>
      <c r="H4" s="3296"/>
      <c r="I4" s="3297"/>
      <c r="K4" s="1418" t="str">
        <f>IF(ISNUMBER(FIND("比较法",结果表!C4)),"比较法",IF(ISNUMBER(FIND("成本法",结果表!C4)),"成本法",IF(ISNUMBER(FIND("假设开发法",结果表!C4)),"假设开发法",IF(ISNUMBER(FIND("收益法",结果表!C4)),"收益法","基准地价系数修正法"))))</f>
        <v>成本法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340" t="s">
        <v>784</v>
      </c>
      <c r="B5" s="3378">
        <v>25</v>
      </c>
      <c r="C5" s="3310"/>
      <c r="D5" s="3309"/>
      <c r="E5" s="1895" t="s">
        <v>785</v>
      </c>
      <c r="F5" s="2125"/>
      <c r="G5" s="2125"/>
      <c r="H5" s="2125"/>
      <c r="I5" s="2249"/>
    </row>
    <row r="6" spans="1:12" ht="13.2">
      <c r="A6" s="3340"/>
      <c r="B6" s="3378"/>
      <c r="C6" s="3311"/>
      <c r="D6" s="3309"/>
      <c r="E6" s="1895" t="s">
        <v>786</v>
      </c>
      <c r="F6" s="2125"/>
      <c r="G6" s="2125"/>
      <c r="H6" s="2125"/>
      <c r="I6" s="2249"/>
    </row>
    <row r="7" spans="1:12" ht="13.2">
      <c r="A7" s="3340"/>
      <c r="B7" s="3378"/>
      <c r="C7" s="3312"/>
      <c r="D7" s="3309"/>
      <c r="E7" s="1895" t="s">
        <v>787</v>
      </c>
      <c r="F7" s="2125"/>
      <c r="G7" s="2125"/>
      <c r="H7" s="2125"/>
      <c r="I7" s="2249"/>
    </row>
    <row r="8" spans="1:12" ht="13.2">
      <c r="A8" s="3340" t="s">
        <v>788</v>
      </c>
      <c r="B8" s="3378">
        <v>15</v>
      </c>
      <c r="C8" s="3310"/>
      <c r="D8" s="3309"/>
      <c r="E8" s="1895" t="s">
        <v>789</v>
      </c>
      <c r="F8" s="2125"/>
      <c r="G8" s="2125"/>
      <c r="H8" s="2125"/>
      <c r="I8" s="2249"/>
    </row>
    <row r="9" spans="1:12" ht="13.2">
      <c r="A9" s="3340"/>
      <c r="B9" s="3378"/>
      <c r="C9" s="3312"/>
      <c r="D9" s="3309"/>
      <c r="E9" s="1895" t="s">
        <v>790</v>
      </c>
      <c r="F9" s="2125"/>
      <c r="G9" s="2125"/>
      <c r="H9" s="2125"/>
      <c r="I9" s="2249"/>
    </row>
    <row r="10" spans="1:12" ht="13.2">
      <c r="A10" s="3340" t="s">
        <v>791</v>
      </c>
      <c r="B10" s="3378">
        <v>15</v>
      </c>
      <c r="C10" s="3310"/>
      <c r="D10" s="3309"/>
      <c r="E10" s="1895" t="s">
        <v>792</v>
      </c>
      <c r="F10" s="2125"/>
      <c r="G10" s="2125"/>
      <c r="H10" s="2125"/>
      <c r="I10" s="2249"/>
    </row>
    <row r="11" spans="1:12" ht="13.2">
      <c r="A11" s="3340"/>
      <c r="B11" s="3378"/>
      <c r="C11" s="3312"/>
      <c r="D11" s="3309"/>
      <c r="E11" s="1895" t="s">
        <v>793</v>
      </c>
      <c r="F11" s="2125"/>
      <c r="G11" s="2125"/>
      <c r="H11" s="2125"/>
      <c r="I11" s="2249"/>
    </row>
    <row r="12" spans="1:12" ht="13.2">
      <c r="A12" s="3340" t="s">
        <v>794</v>
      </c>
      <c r="B12" s="3378">
        <v>15</v>
      </c>
      <c r="C12" s="3310"/>
      <c r="D12" s="3309"/>
      <c r="E12" s="1895" t="s">
        <v>795</v>
      </c>
      <c r="F12" s="2125"/>
      <c r="G12" s="2125"/>
      <c r="H12" s="2125"/>
      <c r="I12" s="2249"/>
    </row>
    <row r="13" spans="1:12" ht="13.2">
      <c r="A13" s="3340"/>
      <c r="B13" s="3378"/>
      <c r="C13" s="3312"/>
      <c r="D13" s="3309"/>
      <c r="E13" s="1895" t="s">
        <v>796</v>
      </c>
      <c r="F13" s="2125"/>
      <c r="G13" s="2125"/>
      <c r="H13" s="2125"/>
      <c r="I13" s="2249"/>
    </row>
    <row r="14" spans="1:12" ht="13.2">
      <c r="A14" s="3340" t="s">
        <v>797</v>
      </c>
      <c r="B14" s="3378">
        <v>30</v>
      </c>
      <c r="C14" s="3310">
        <v>4</v>
      </c>
      <c r="D14" s="3309">
        <v>6</v>
      </c>
      <c r="E14" s="1895" t="s">
        <v>798</v>
      </c>
      <c r="F14" s="2125"/>
      <c r="G14" s="2125"/>
      <c r="H14" s="2125"/>
      <c r="I14" s="2249"/>
    </row>
    <row r="15" spans="1:12" ht="13.2">
      <c r="A15" s="3340"/>
      <c r="B15" s="3378"/>
      <c r="C15" s="3311"/>
      <c r="D15" s="3309"/>
      <c r="E15" s="1895" t="s">
        <v>799</v>
      </c>
      <c r="F15" s="2125"/>
      <c r="G15" s="2125"/>
      <c r="H15" s="2125"/>
      <c r="I15" s="2249"/>
    </row>
    <row r="16" spans="1:12" ht="13.2">
      <c r="A16" s="3340"/>
      <c r="B16" s="3378"/>
      <c r="C16" s="3312"/>
      <c r="D16" s="3309"/>
      <c r="E16" s="1895" t="s">
        <v>800</v>
      </c>
      <c r="F16" s="2125"/>
      <c r="G16" s="2125"/>
      <c r="H16" s="2125"/>
      <c r="I16" s="2249"/>
    </row>
    <row r="17" spans="1:36" ht="14.4">
      <c r="A17" s="2126" t="s">
        <v>801</v>
      </c>
      <c r="B17" s="2127"/>
      <c r="C17" s="2128">
        <f>SUM(C5:C16)</f>
        <v>4</v>
      </c>
      <c r="D17" s="2128">
        <f>SUM(D5:D16)</f>
        <v>6</v>
      </c>
      <c r="E17" s="1458"/>
      <c r="F17" s="1458"/>
      <c r="G17" s="1458"/>
      <c r="H17" s="1458"/>
      <c r="I17" s="1458"/>
      <c r="K17" s="1855"/>
      <c r="L17" s="1855" t="s">
        <v>802</v>
      </c>
      <c r="M17" s="1855" t="s">
        <v>803</v>
      </c>
    </row>
    <row r="18" spans="1:36" ht="31.95" customHeight="1">
      <c r="A18" s="2129" t="s">
        <v>804</v>
      </c>
      <c r="B18" s="2130"/>
      <c r="C18" s="2131">
        <f>ROUND(C17/SUM(C17:D17),2)</f>
        <v>0.4</v>
      </c>
      <c r="D18" s="2131">
        <f>1-C18</f>
        <v>0.6</v>
      </c>
      <c r="E18" s="3298" t="s">
        <v>805</v>
      </c>
      <c r="F18" s="3299"/>
      <c r="G18" s="3299"/>
      <c r="H18" s="3299"/>
      <c r="I18" s="3299"/>
      <c r="K18" s="1855" t="s">
        <v>469</v>
      </c>
      <c r="L18" s="1855">
        <f>IF(C1="",'数据-汇总表'!E3,SUMIF(项目类型,C1,'数据-汇总表'!E17:E26)+SUMIF(项目类型,C1,'数据-汇总表'!I17:I26))</f>
        <v>27483.820000000003</v>
      </c>
      <c r="M18" s="1855">
        <f>IF(C1="",'数据-汇总表'!E3,SUMIF(项目类型,C1,'数据-汇总表'!E17:E26))</f>
        <v>27483.820000000003</v>
      </c>
    </row>
    <row r="19" spans="1:36" ht="14.4">
      <c r="A19" s="1129" t="s">
        <v>806</v>
      </c>
      <c r="B19" s="2132" t="s">
        <v>807</v>
      </c>
      <c r="C19" s="2133">
        <f ca="1">SUMIF(INDIRECT("'"&amp;C4&amp;"'"&amp;"!A:A"),结果表!B19,INDIRECT("'"&amp;C4&amp;"'"&amp;"!B:B"))</f>
        <v>12595</v>
      </c>
      <c r="D19" s="1245">
        <f ca="1">SUMIF(INDIRECT("'"&amp;D4&amp;"'"&amp;"!A:A"),结果表!B19,INDIRECT("'"&amp;D4&amp;"'"&amp;"!B:B"))</f>
        <v>17763</v>
      </c>
      <c r="E19" s="1129" t="s">
        <v>808</v>
      </c>
      <c r="F19" s="2132" t="s">
        <v>807</v>
      </c>
      <c r="G19" s="2134">
        <f ca="1">ROUND(C19*$C$18+D19*$D$18,0)</f>
        <v>15696</v>
      </c>
      <c r="H19" s="2135" t="s">
        <v>809</v>
      </c>
      <c r="I19" s="1458"/>
      <c r="K19" s="1855" t="s">
        <v>473</v>
      </c>
      <c r="L19" s="1855">
        <f>IF(C1="",'数据-汇总表'!D3,SUMIF(项目类型,C1,'数据-汇总表'!D17:D26)+SUMIF(项目类型,C1,'数据-汇总表'!H17:H27))</f>
        <v>56554.63</v>
      </c>
      <c r="M19" s="1855">
        <f>IF(C1="",'数据-汇总表'!D3,SUMIF(项目类型,C1,'数据-汇总表'!D17:D26))</f>
        <v>56554.63</v>
      </c>
    </row>
    <row r="20" spans="1:36" ht="14.4">
      <c r="A20" s="2136"/>
      <c r="B20" s="2137" t="s">
        <v>810</v>
      </c>
      <c r="C20" s="1599">
        <f ca="1">SUMIF(INDIRECT("'"&amp;C4&amp;"'"&amp;"!A:A"),结果表!B20,INDIRECT("'"&amp;C4&amp;"'"&amp;"!B:B"))</f>
        <v>4583</v>
      </c>
      <c r="D20" s="1602">
        <f ca="1">SUMIF(INDIRECT("'"&amp;D4&amp;"'"&amp;"!A:A"),结果表!B20,INDIRECT("'"&amp;D4&amp;"'"&amp;"!B:B"))</f>
        <v>6463</v>
      </c>
      <c r="E20" s="2136"/>
      <c r="F20" s="2137" t="s">
        <v>810</v>
      </c>
      <c r="G20" s="2138">
        <f ca="1">ROUND(C20*$C$18+D20*$D$18,0)</f>
        <v>5711</v>
      </c>
      <c r="H20" s="2007" t="s">
        <v>811</v>
      </c>
      <c r="I20" s="1458"/>
    </row>
    <row r="21" spans="1:36" ht="15" customHeight="1">
      <c r="A21" s="1135"/>
      <c r="B21" s="2139" t="s">
        <v>812</v>
      </c>
      <c r="C21" s="2140">
        <f ca="1">ROUND(C19*10000/L19,0)</f>
        <v>2227</v>
      </c>
      <c r="D21" s="2141">
        <f ca="1">ROUND(D19*10000/L19,0)</f>
        <v>3141</v>
      </c>
      <c r="E21" s="1135"/>
      <c r="F21" s="2139" t="s">
        <v>812</v>
      </c>
      <c r="G21" s="2142">
        <f ca="1">ROUND(G19*10000/L19,0)</f>
        <v>2775</v>
      </c>
      <c r="H21" s="2143" t="s">
        <v>811</v>
      </c>
      <c r="I21" s="1458"/>
    </row>
    <row r="22" spans="1:36" ht="14.4">
      <c r="A22" s="2144" t="s">
        <v>813</v>
      </c>
      <c r="B22" s="2145"/>
      <c r="C22" s="2146"/>
      <c r="D22" s="2147">
        <f ca="1">IF(C19&lt;D19,D19/C19-1,C19/D19-1)</f>
        <v>0.41032155617308463</v>
      </c>
      <c r="E22" s="1458"/>
      <c r="F22" s="1458"/>
      <c r="G22" s="1458"/>
      <c r="H22" s="1458"/>
      <c r="I22" s="1458"/>
    </row>
    <row r="23" spans="1:36" ht="13.2">
      <c r="A23" s="1998"/>
      <c r="B23" s="1998"/>
      <c r="C23" s="1998"/>
      <c r="D23" s="1998"/>
      <c r="E23" s="1458"/>
      <c r="F23" s="1458"/>
      <c r="G23" s="1458"/>
      <c r="H23" s="1458"/>
      <c r="I23" s="1458"/>
    </row>
    <row r="24" spans="1:36" ht="14.4">
      <c r="A24" s="3371" t="s">
        <v>814</v>
      </c>
      <c r="B24" s="2132" t="s">
        <v>807</v>
      </c>
      <c r="C24" s="2134">
        <f>IF(B30=0,0,D30)</f>
        <v>0</v>
      </c>
      <c r="D24" s="2148"/>
      <c r="E24" s="1458"/>
      <c r="F24" s="1458"/>
      <c r="G24" s="1458"/>
      <c r="H24" s="1458"/>
      <c r="I24" s="1458"/>
    </row>
    <row r="25" spans="1:36" ht="14.4">
      <c r="A25" s="3372"/>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5711</v>
      </c>
      <c r="D32" s="2160" t="s">
        <v>823</v>
      </c>
      <c r="E32" s="1458"/>
      <c r="F32" s="1458"/>
      <c r="G32" s="1458"/>
      <c r="H32" s="1458"/>
      <c r="I32" s="1458"/>
    </row>
    <row r="33" spans="1:15" ht="14.4">
      <c r="A33" s="2161" t="s">
        <v>824</v>
      </c>
      <c r="B33" s="1895"/>
      <c r="C33" s="2162" t="s">
        <v>2875</v>
      </c>
      <c r="D33" s="2163" t="s">
        <v>2874</v>
      </c>
      <c r="E33" s="2164" t="s">
        <v>825</v>
      </c>
      <c r="F33" s="2165" t="str">
        <f>IF(D32="楼面单价","取值（单价）","取值（总价）")</f>
        <v>取值（单价）</v>
      </c>
      <c r="G33" s="1458"/>
      <c r="H33" s="1458"/>
      <c r="I33" s="1458"/>
    </row>
    <row r="34" spans="1:15" ht="14.4">
      <c r="A34" s="2166"/>
      <c r="B34" s="2167" t="s">
        <v>826</v>
      </c>
      <c r="C34" s="2168">
        <f ca="1">IF(C33="自定义",F34,C32-C35)</f>
        <v>2222</v>
      </c>
      <c r="D34" s="2169">
        <f ca="1">IF(C33="自定义",ROUND(C34/C32,3),IF(C33="收益比率",SUMIF(INDIRECT("'"&amp;D33&amp;"'"&amp;"!b:b"),"土地收益比率",INDIRECT("'"&amp;D33&amp;"'"&amp;"!c:c")),SUMIF(INDIRECT("'"&amp;D33&amp;"'"&amp;"!b:b"),"土地成本比率",INDIRECT("'"&amp;D33&amp;"'"&amp;"!c:c"))))</f>
        <v>0.38900000000000001</v>
      </c>
      <c r="E34" s="2170" t="s">
        <v>827</v>
      </c>
      <c r="F34" s="2171"/>
      <c r="G34" s="1458"/>
      <c r="H34" s="1458"/>
      <c r="I34" s="1458"/>
    </row>
    <row r="35" spans="1:15" ht="14.4">
      <c r="A35" s="2172"/>
      <c r="B35" s="2173" t="s">
        <v>828</v>
      </c>
      <c r="C35" s="2174">
        <f ca="1">IF(C33="自定义",F35,ROUND(C32*D35,0))</f>
        <v>3489</v>
      </c>
      <c r="D35" s="2175">
        <f ca="1">IF(C33="自定义",ROUND(C35/C32,3),IF(C33="收益比率",SUMIF(INDIRECT("'"&amp;D33&amp;"'"&amp;"!b:b"),"建筑物收益比率",INDIRECT("'"&amp;D33&amp;"'"&amp;"!c:c")),SUMIF(INDIRECT("'"&amp;D33&amp;"'"&amp;"!b:b"),"建筑物成本比率",INDIRECT("'"&amp;D33&amp;"'"&amp;"!c:c"))))</f>
        <v>0.61099999999999999</v>
      </c>
      <c r="E35" s="2176" t="s">
        <v>829</v>
      </c>
      <c r="F35" s="2177"/>
      <c r="G35" s="1458"/>
      <c r="H35" s="1458"/>
      <c r="I35" s="1458"/>
    </row>
    <row r="36" spans="1:15" ht="14.4">
      <c r="A36" s="3373" t="s">
        <v>830</v>
      </c>
      <c r="B36" s="2178" t="s">
        <v>831</v>
      </c>
      <c r="C36" s="2179"/>
      <c r="D36" s="2180"/>
      <c r="E36" s="2181"/>
      <c r="F36" s="2182"/>
      <c r="G36" s="1458"/>
      <c r="H36" s="1458"/>
      <c r="I36" s="1458"/>
    </row>
    <row r="37" spans="1:15" ht="14.4">
      <c r="A37" s="3374"/>
      <c r="B37" s="2183" t="s">
        <v>832</v>
      </c>
      <c r="C37" s="2184"/>
      <c r="D37" s="2185"/>
      <c r="E37" s="2185"/>
      <c r="F37" s="2182"/>
      <c r="G37" s="1458"/>
      <c r="H37" s="1458"/>
      <c r="I37" s="1458"/>
    </row>
    <row r="38" spans="1:15" ht="14.4">
      <c r="A38" s="3375"/>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00" t="s">
        <v>841</v>
      </c>
      <c r="B45" s="3301"/>
      <c r="C45" s="3302"/>
      <c r="D45" s="2204">
        <f ca="1">ROUND(H101*F45,4)</f>
        <v>15696</v>
      </c>
      <c r="E45" s="2205" t="s">
        <v>842</v>
      </c>
      <c r="F45" s="2206">
        <v>1</v>
      </c>
      <c r="G45" s="1865" t="s">
        <v>843</v>
      </c>
      <c r="H45" s="1458"/>
      <c r="I45" s="1458"/>
      <c r="J45" s="3303" t="s">
        <v>844</v>
      </c>
      <c r="K45" s="3303"/>
      <c r="L45" s="3303"/>
      <c r="M45" s="3303"/>
      <c r="N45" s="3303"/>
      <c r="O45" s="3303"/>
    </row>
    <row r="46" spans="1:15" ht="14.25" customHeight="1">
      <c r="A46" s="3304" t="s">
        <v>845</v>
      </c>
      <c r="B46" s="3305"/>
      <c r="C46" s="3305"/>
      <c r="D46" s="3305"/>
      <c r="E46" s="3305"/>
      <c r="F46" s="3305"/>
      <c r="G46" s="3306"/>
      <c r="H46" s="2207"/>
      <c r="I46" s="1459"/>
      <c r="J46" s="576">
        <v>1</v>
      </c>
      <c r="K46" s="3307" t="s">
        <v>846</v>
      </c>
      <c r="L46" s="3307"/>
      <c r="M46" s="3308"/>
      <c r="N46" s="3308"/>
      <c r="O46" s="3308"/>
    </row>
    <row r="47" spans="1:15" ht="12" customHeight="1">
      <c r="A47" s="2208" t="s">
        <v>847</v>
      </c>
      <c r="B47" s="2209"/>
      <c r="C47" s="2210"/>
      <c r="D47" s="1904" t="s">
        <v>848</v>
      </c>
      <c r="E47" s="1855" t="s">
        <v>849</v>
      </c>
      <c r="F47" s="2211" t="s">
        <v>850</v>
      </c>
      <c r="G47" s="2212" t="s">
        <v>851</v>
      </c>
      <c r="H47" s="2213"/>
      <c r="I47" s="1459"/>
      <c r="J47" s="576">
        <v>2</v>
      </c>
      <c r="K47" s="3307" t="s">
        <v>852</v>
      </c>
      <c r="L47" s="3307"/>
      <c r="M47" s="3313">
        <f>'数据-取费表'!B2</f>
        <v>45838</v>
      </c>
      <c r="N47" s="3313"/>
      <c r="O47" s="3313"/>
    </row>
    <row r="48" spans="1:15" ht="39.6">
      <c r="A48" s="3314" t="s">
        <v>853</v>
      </c>
      <c r="B48" s="3315"/>
      <c r="C48" s="3315"/>
      <c r="D48" s="2005">
        <f ca="1">IF(H48="情况1",0,IF(H48="情况2",D52,IF(H48="情况3",D53,IF(H48="情况4",D54))))</f>
        <v>822.17139999999995</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7" t="s">
        <v>856</v>
      </c>
      <c r="L48" s="3307"/>
      <c r="M48" s="3316">
        <f ca="1">H101</f>
        <v>15696</v>
      </c>
      <c r="N48" s="3316"/>
      <c r="O48" s="3316"/>
    </row>
    <row r="49" spans="1:35" ht="25.5" customHeight="1">
      <c r="A49" s="2214" t="s">
        <v>857</v>
      </c>
      <c r="B49" s="3317" t="s">
        <v>858</v>
      </c>
      <c r="C49" s="3317"/>
      <c r="D49" s="2218">
        <v>0</v>
      </c>
      <c r="E49" s="1914" t="s">
        <v>859</v>
      </c>
      <c r="F49" s="2219" t="s">
        <v>124</v>
      </c>
      <c r="G49" s="3323"/>
      <c r="H49" s="2220" t="s">
        <v>860</v>
      </c>
      <c r="I49" s="2255"/>
      <c r="J49" s="576">
        <v>4</v>
      </c>
      <c r="K49" s="3307" t="str">
        <f>IF(项目基本情况!E8="房地产抵押价值","房地产抵押价值","抵押担保权已注销时的房地产抵押价值")</f>
        <v>房地产抵押价值</v>
      </c>
      <c r="L49" s="3307"/>
      <c r="M49" s="3316">
        <f ca="1">IF(项目基本情况!E8="房地产抵押价值",H107,H109)</f>
        <v>15696</v>
      </c>
      <c r="N49" s="3316"/>
      <c r="O49" s="3316"/>
    </row>
    <row r="50" spans="1:35" ht="25.5" customHeight="1">
      <c r="A50" s="2221"/>
      <c r="B50" s="3317" t="s">
        <v>861</v>
      </c>
      <c r="C50" s="3317"/>
      <c r="D50" s="2222"/>
      <c r="E50" s="1929"/>
      <c r="F50" s="2219"/>
      <c r="G50" s="3324"/>
      <c r="H50" s="2223" t="s">
        <v>862</v>
      </c>
      <c r="I50" s="2255"/>
      <c r="J50" s="3303" t="s">
        <v>863</v>
      </c>
      <c r="K50" s="3303"/>
      <c r="L50" s="3303"/>
      <c r="M50" s="3303"/>
      <c r="N50" s="3303"/>
      <c r="O50" s="3303"/>
    </row>
    <row r="51" spans="1:35" ht="20.399999999999999" customHeight="1">
      <c r="A51" s="2224"/>
      <c r="B51" s="3317" t="s">
        <v>864</v>
      </c>
      <c r="C51" s="3317"/>
      <c r="D51" s="1904"/>
      <c r="E51" s="1918"/>
      <c r="F51" s="2219"/>
      <c r="G51" s="3325"/>
      <c r="H51" s="2223" t="s">
        <v>865</v>
      </c>
      <c r="I51" s="2255"/>
      <c r="J51" s="2254" t="s">
        <v>866</v>
      </c>
      <c r="K51" s="3307" t="s">
        <v>867</v>
      </c>
      <c r="L51" s="3307"/>
      <c r="M51" s="2254" t="s">
        <v>868</v>
      </c>
      <c r="N51" s="2254" t="s">
        <v>869</v>
      </c>
      <c r="O51" s="2254" t="s">
        <v>870</v>
      </c>
    </row>
    <row r="52" spans="1:35" ht="24" customHeight="1">
      <c r="A52" s="2225" t="s">
        <v>871</v>
      </c>
      <c r="B52" s="3317" t="s">
        <v>872</v>
      </c>
      <c r="C52" s="3317"/>
      <c r="D52" s="1904">
        <f ca="1">ROUND(D45*'数据-取费表'!B41/(1+'数据-取费表'!C42),0)</f>
        <v>822</v>
      </c>
      <c r="E52" s="1908" t="s">
        <v>873</v>
      </c>
      <c r="F52" s="2226">
        <f>'数据-取费表'!B41</f>
        <v>5.5000000000000007E-2</v>
      </c>
      <c r="G52" s="2227"/>
      <c r="H52" s="2019"/>
      <c r="I52" s="2256"/>
      <c r="J52" s="576">
        <v>1</v>
      </c>
      <c r="K52" s="3319" t="s">
        <v>874</v>
      </c>
      <c r="L52" s="3319"/>
      <c r="M52" s="2257">
        <f ca="1">D48</f>
        <v>822.17139999999995</v>
      </c>
      <c r="N52" s="576" t="str">
        <f>E48</f>
        <v>(销售额-原购置价)×税（费）率</v>
      </c>
      <c r="O52" s="2258">
        <f>F48</f>
        <v>5.5000000000000007E-2</v>
      </c>
    </row>
    <row r="53" spans="1:35" ht="12" customHeight="1">
      <c r="A53" s="2225" t="s">
        <v>875</v>
      </c>
      <c r="B53" s="3320" t="s">
        <v>876</v>
      </c>
      <c r="C53" s="3321"/>
      <c r="D53" s="1904">
        <f ca="1">ROUND(D45*'数据-取费表'!B41/(1+'数据-取费表'!C42),0)</f>
        <v>822</v>
      </c>
      <c r="E53" s="1908" t="s">
        <v>873</v>
      </c>
      <c r="F53" s="2226">
        <f>'数据-取费表'!B41</f>
        <v>5.5000000000000007E-2</v>
      </c>
      <c r="G53" s="2227"/>
      <c r="H53" s="2019"/>
      <c r="I53" s="2256"/>
      <c r="J53" s="576">
        <v>2</v>
      </c>
      <c r="K53" s="3319" t="s">
        <v>877</v>
      </c>
      <c r="L53" s="3319"/>
      <c r="M53" s="2257">
        <f t="shared" ref="M53:O54" ca="1" si="0">D55</f>
        <v>7.8479999999999999</v>
      </c>
      <c r="N53" s="576" t="str">
        <f t="shared" si="0"/>
        <v>销售额×税（费）率</v>
      </c>
      <c r="O53" s="2258">
        <f t="shared" si="0"/>
        <v>5.0000000000000001E-4</v>
      </c>
    </row>
    <row r="54" spans="1:35" ht="12" customHeight="1">
      <c r="A54" s="2225" t="s">
        <v>878</v>
      </c>
      <c r="B54" s="3320" t="s">
        <v>879</v>
      </c>
      <c r="C54" s="3321"/>
      <c r="D54" s="1904">
        <f ca="1">C68</f>
        <v>822.17139999999995</v>
      </c>
      <c r="E54" s="1918" t="s">
        <v>880</v>
      </c>
      <c r="F54" s="2226">
        <f>'数据-取费表'!B41</f>
        <v>5.5000000000000007E-2</v>
      </c>
      <c r="G54" s="2227"/>
      <c r="H54" s="2228"/>
      <c r="I54" s="2256"/>
      <c r="J54" s="576">
        <v>3</v>
      </c>
      <c r="K54" s="3319" t="s">
        <v>881</v>
      </c>
      <c r="L54" s="3319"/>
      <c r="M54" s="2257">
        <f t="shared" ca="1" si="0"/>
        <v>8898.1370999999999</v>
      </c>
      <c r="N54" s="576" t="str">
        <f t="shared" si="0"/>
        <v>增值额×税（费）率</v>
      </c>
      <c r="O54" s="2259" t="str">
        <f t="shared" si="0"/>
        <v>——</v>
      </c>
    </row>
    <row r="55" spans="1:35" ht="24" customHeight="1">
      <c r="A55" s="3322" t="s">
        <v>882</v>
      </c>
      <c r="B55" s="3315"/>
      <c r="C55" s="3315"/>
      <c r="D55" s="2229">
        <f ca="1">IF(H55="个人住宅",0,ROUND(D45*I55,4))</f>
        <v>7.8479999999999999</v>
      </c>
      <c r="E55" s="1908" t="s">
        <v>883</v>
      </c>
      <c r="F55" s="2226">
        <f>IF(H55="正常",I55,"免征")</f>
        <v>5.0000000000000001E-4</v>
      </c>
      <c r="G55" s="2227"/>
      <c r="H55" s="2217" t="s">
        <v>884</v>
      </c>
      <c r="I55" s="2260">
        <f>'数据-取费表'!B49</f>
        <v>5.0000000000000001E-4</v>
      </c>
      <c r="J55" s="576">
        <f>IF(H59="非个人房产","",4)</f>
        <v>4</v>
      </c>
      <c r="K55" s="3319" t="str">
        <f>IF(H59="非个人房产","——","个人所得税")</f>
        <v>个人所得税</v>
      </c>
      <c r="L55" s="3319"/>
      <c r="M55" s="2261">
        <f ca="1">D59</f>
        <v>156.96</v>
      </c>
      <c r="N55" s="557" t="str">
        <f>E59</f>
        <v>销售额×税（费）率</v>
      </c>
      <c r="O55" s="2262">
        <f>F59</f>
        <v>0.01</v>
      </c>
    </row>
    <row r="56" spans="1:35" ht="25.2">
      <c r="A56" s="3322" t="s">
        <v>885</v>
      </c>
      <c r="B56" s="3315"/>
      <c r="C56" s="3315"/>
      <c r="D56" s="2005">
        <f ca="1">IF(H56="个人住宅",D57,D58)</f>
        <v>8898.1370999999999</v>
      </c>
      <c r="E56" s="1908" t="s">
        <v>886</v>
      </c>
      <c r="F56" s="2226" t="str">
        <f>IF(H56="正常",F58,"免征")</f>
        <v>——</v>
      </c>
      <c r="G56" s="2230" t="s">
        <v>887</v>
      </c>
      <c r="H56" s="2231" t="s">
        <v>884</v>
      </c>
      <c r="I56" s="2239"/>
      <c r="J56" s="576" t="str">
        <f>IF(项目基本情况!K6="上海银行",IF(J55="",4,J55+1),"")</f>
        <v/>
      </c>
      <c r="K56" s="3326" t="str">
        <f>IF(项目基本情况!K6="上海银行","其他处置费用","")</f>
        <v/>
      </c>
      <c r="L56" s="3327"/>
      <c r="M56" s="2257" t="str">
        <f>IF(项目基本情况!K6="上海银行",M69,"")</f>
        <v/>
      </c>
      <c r="N56" s="3326" t="str">
        <f>IF(项目基本情况!K6="上海银行","包含处置中涉及的律师、诉讼、拍卖、评估等费用","")</f>
        <v/>
      </c>
      <c r="O56" s="3328"/>
    </row>
    <row r="57" spans="1:35" ht="13.2">
      <c r="A57" s="2225" t="s">
        <v>857</v>
      </c>
      <c r="B57" s="3320" t="s">
        <v>888</v>
      </c>
      <c r="C57" s="3321"/>
      <c r="D57" s="2218">
        <v>0</v>
      </c>
      <c r="E57" s="1914" t="s">
        <v>859</v>
      </c>
      <c r="F57" s="1855"/>
      <c r="G57" s="2227"/>
      <c r="H57" s="2232"/>
      <c r="I57" s="2239"/>
      <c r="J57" s="3319">
        <f>IF(AND(J55="",J56=""),4,IF(项目基本情况!K6="上海银行",结果表!J56+1,结果表!J55+1))</f>
        <v>5</v>
      </c>
      <c r="K57" s="3319" t="s">
        <v>889</v>
      </c>
      <c r="L57" s="2264" t="s">
        <v>890</v>
      </c>
      <c r="M57" s="2265"/>
      <c r="N57" s="2266">
        <f ca="1">SUMIF(M52:M56,"&lt;9e307")</f>
        <v>9885.1164999999983</v>
      </c>
      <c r="O57" s="2267"/>
      <c r="P57" s="2268">
        <f ca="1">N57/M49</f>
        <v>0.62978570973496417</v>
      </c>
    </row>
    <row r="58" spans="1:35" ht="25.2">
      <c r="A58" s="2225" t="s">
        <v>871</v>
      </c>
      <c r="B58" s="3320" t="s">
        <v>891</v>
      </c>
      <c r="C58" s="3317"/>
      <c r="D58" s="2005">
        <f ca="1">IF(H58="转让取得",C81,C97)</f>
        <v>8898.1370999999999</v>
      </c>
      <c r="E58" s="1908" t="s">
        <v>886</v>
      </c>
      <c r="F58" s="1855" t="s">
        <v>124</v>
      </c>
      <c r="G58" s="2227"/>
      <c r="H58" s="2231" t="s">
        <v>892</v>
      </c>
      <c r="I58" s="2239"/>
      <c r="J58" s="3319"/>
      <c r="K58" s="3319"/>
      <c r="L58" s="2264" t="s">
        <v>893</v>
      </c>
      <c r="M58" s="2269"/>
      <c r="N58" s="2270" t="str">
        <f ca="1">NUMBERSTRING(INT(N57*10000),2)&amp;"元整"</f>
        <v>玖仟捌佰捌拾伍万壹仟壹佰陆拾伍元整</v>
      </c>
      <c r="O58" s="2271"/>
    </row>
    <row r="59" spans="1:35" ht="26.4">
      <c r="A59" s="3329" t="s">
        <v>894</v>
      </c>
      <c r="B59" s="3330"/>
      <c r="C59" s="3330"/>
      <c r="D59" s="3177">
        <f ca="1">IF(H59="非个人房产","——",IF(H59="个人住宅（满五唯一有凭证）",0,IF(H59="个人其他（无凭证）",ROUND(D45*F59,4),ROUND(C67*F59,4))))</f>
        <v>156.96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2791</v>
      </c>
      <c r="I59" s="2272" t="s">
        <v>895</v>
      </c>
      <c r="J59" s="3334">
        <f>J57+1</f>
        <v>6</v>
      </c>
      <c r="K59" s="3319" t="s">
        <v>896</v>
      </c>
      <c r="L59" s="576" t="s">
        <v>890</v>
      </c>
      <c r="M59" s="2273"/>
      <c r="N59" s="2274">
        <f ca="1">M49-N57</f>
        <v>5810.8835000000017</v>
      </c>
      <c r="O59" s="2275"/>
    </row>
    <row r="60" spans="1:35" ht="12" customHeight="1">
      <c r="A60" s="2237"/>
      <c r="B60" s="1998"/>
      <c r="C60" s="1998"/>
      <c r="D60" s="1998"/>
      <c r="E60" s="2238"/>
      <c r="F60" s="2239"/>
      <c r="G60" s="2239"/>
      <c r="H60" s="1459"/>
      <c r="I60" s="1458"/>
      <c r="J60" s="3335"/>
      <c r="K60" s="3319"/>
      <c r="L60" s="2264" t="s">
        <v>893</v>
      </c>
      <c r="M60" s="2269"/>
      <c r="N60" s="2270" t="str">
        <f ca="1">NUMBERSTRING(INT(N59*10000),2)&amp;"元整"</f>
        <v>伍仟捌佰壹拾万捌仟捌佰叁拾伍元整</v>
      </c>
      <c r="O60" s="2271"/>
    </row>
    <row r="61" spans="1:35" ht="13.2">
      <c r="A61" s="3331" t="s">
        <v>897</v>
      </c>
      <c r="B61" s="3331"/>
      <c r="C61" s="3331"/>
      <c r="D61" s="3331"/>
      <c r="E61" s="3331"/>
      <c r="F61" s="2239"/>
      <c r="G61" s="2239"/>
      <c r="H61" s="1459"/>
      <c r="I61" s="1458"/>
      <c r="J61" s="576">
        <f>J59+1</f>
        <v>7</v>
      </c>
      <c r="K61" s="3319" t="s">
        <v>898</v>
      </c>
      <c r="L61" s="3319"/>
      <c r="M61" s="2276"/>
      <c r="N61" s="2488">
        <f ca="1">ROUND(N59*10000/'数据-汇总表'!E3,0)</f>
        <v>2114</v>
      </c>
      <c r="O61" s="2277"/>
    </row>
    <row r="62" spans="1:35" ht="13.2">
      <c r="A62" s="3332" t="s">
        <v>899</v>
      </c>
      <c r="B62" s="3333"/>
      <c r="C62" s="528"/>
      <c r="D62" s="528" t="s">
        <v>900</v>
      </c>
      <c r="E62" s="2240" t="s">
        <v>851</v>
      </c>
      <c r="F62" s="2239"/>
      <c r="G62" s="2239"/>
      <c r="H62" s="1459"/>
      <c r="I62" s="1458"/>
    </row>
    <row r="63" spans="1:35" ht="13.2">
      <c r="A63" s="2241" t="s">
        <v>901</v>
      </c>
      <c r="B63" s="586" t="s">
        <v>902</v>
      </c>
      <c r="C63" s="2242">
        <f ca="1">ROUND((C64+C65)/(1+'数据-取费表'!C42),4)</f>
        <v>14948.571400000001</v>
      </c>
      <c r="D63" s="586"/>
      <c r="E63" s="2243"/>
      <c r="F63" s="2239"/>
      <c r="G63" s="2239"/>
      <c r="H63" s="1459"/>
      <c r="I63" s="1458"/>
      <c r="J63" s="3318" t="s">
        <v>903</v>
      </c>
      <c r="K63" s="2278" t="s">
        <v>904</v>
      </c>
      <c r="L63" s="2278">
        <f ca="1">IF(M49&gt;10000,M49*0.5%,IF(AND(M49&gt;1000,M49&lt;=10000),M49*1%,IF(AND(M49&gt;100,M49&lt;=1000),M49*3%,IF(AND(M49&gt;10,M49&lt;=100),M49*5%,M49*8%))))</f>
        <v>78.48</v>
      </c>
      <c r="M63" s="1855">
        <f ca="1">ROUND(L63,1)</f>
        <v>78.5</v>
      </c>
      <c r="N63" s="2279"/>
      <c r="Z63" s="2113"/>
      <c r="AI63" s="2114"/>
    </row>
    <row r="64" spans="1:35" ht="14.25" customHeight="1">
      <c r="A64" s="2244" t="s">
        <v>905</v>
      </c>
      <c r="B64" s="509" t="s">
        <v>906</v>
      </c>
      <c r="C64" s="2245">
        <f ca="1">D45</f>
        <v>15696</v>
      </c>
      <c r="D64" s="509" t="s">
        <v>124</v>
      </c>
      <c r="E64" s="2246"/>
      <c r="F64" s="2239"/>
      <c r="G64" s="2239"/>
      <c r="H64" s="1459"/>
      <c r="I64" s="1458"/>
      <c r="J64" s="3318"/>
      <c r="K64" s="2278" t="s">
        <v>907</v>
      </c>
      <c r="L64" s="2278">
        <f ca="1">IF(M49&gt;2000,M49*0.5%,IF(AND(M49&gt;1000,M49&lt;=2000),M49*0.6%,IF(AND(M49&gt;500,M49&lt;=1000),M49*0.7%,IF(AND(M49&gt;200,M49&lt;=500),M49*0.8%,IF(AND(M49&gt;100,M49&lt;=200),M49*0.9%,IF(AND(M49&gt;50,M49&lt;=100),M49*1%,IF(AND(M49&gt;20,M49&lt;=50),M49*1.5%,IF(AND(M49&gt;10,M49&lt;=20),M49*2%,IF(AND(M49&gt;1,M49&lt;=10),M49*2.5%)))))))))</f>
        <v>78.48</v>
      </c>
      <c r="M64" s="1855">
        <f t="shared" ref="M64:M65" ca="1" si="1">ROUND(L64,1)</f>
        <v>78.5</v>
      </c>
      <c r="N64" s="2019" t="s">
        <v>908</v>
      </c>
      <c r="Z64" s="2113"/>
      <c r="AI64" s="2114"/>
    </row>
    <row r="65" spans="1:35" ht="14.25" customHeight="1">
      <c r="A65" s="2244" t="s">
        <v>909</v>
      </c>
      <c r="B65" s="509" t="s">
        <v>910</v>
      </c>
      <c r="C65" s="2281"/>
      <c r="D65" s="509"/>
      <c r="E65" s="2246"/>
      <c r="F65" s="2239"/>
      <c r="G65" s="2239"/>
      <c r="H65" s="1459"/>
      <c r="I65" s="1458"/>
      <c r="J65" s="3318"/>
      <c r="K65" s="2278" t="s">
        <v>911</v>
      </c>
      <c r="L65" s="2278">
        <f ca="1">IF(M49&gt;1000,M49*0.1%,IF(AND(M49&gt;500,M49&lt;=1000),M49*0.5%,IF(AND(M49&gt;50,M49&lt;=500),M49*1%,IF(AND(M49&gt;1,M49&lt;=50),M49*1.5%))))</f>
        <v>15.696</v>
      </c>
      <c r="M65" s="1855">
        <f t="shared" ca="1" si="1"/>
        <v>15.7</v>
      </c>
      <c r="N65" s="2019" t="s">
        <v>908</v>
      </c>
      <c r="Z65" s="2113"/>
      <c r="AI65" s="2114"/>
    </row>
    <row r="66" spans="1:35" ht="14.25" customHeight="1">
      <c r="A66" s="2241" t="s">
        <v>912</v>
      </c>
      <c r="B66" s="2282" t="s">
        <v>913</v>
      </c>
      <c r="C66" s="2283"/>
      <c r="D66" s="2282" t="s">
        <v>124</v>
      </c>
      <c r="E66" s="2284" t="s">
        <v>914</v>
      </c>
      <c r="F66" s="2239"/>
      <c r="G66" s="2239"/>
      <c r="H66" s="1459"/>
      <c r="I66" s="1458"/>
      <c r="J66" s="3318"/>
      <c r="K66" s="2278" t="s">
        <v>915</v>
      </c>
      <c r="L66" s="2278">
        <f ca="1">M49*0.5%</f>
        <v>78.48</v>
      </c>
      <c r="M66" s="1855">
        <f ca="1">IF(L66&gt;0.5,0.5,ROUND(L66,0))</f>
        <v>0.5</v>
      </c>
      <c r="N66" s="2019" t="s">
        <v>916</v>
      </c>
      <c r="Z66" s="2113"/>
      <c r="AI66" s="2114"/>
    </row>
    <row r="67" spans="1:35" ht="14.25" customHeight="1">
      <c r="A67" s="2241" t="s">
        <v>917</v>
      </c>
      <c r="B67" s="2282" t="s">
        <v>918</v>
      </c>
      <c r="C67" s="2285">
        <f ca="1">C63-C66</f>
        <v>14948.571400000001</v>
      </c>
      <c r="D67" s="509" t="s">
        <v>124</v>
      </c>
      <c r="E67" s="2246"/>
      <c r="F67" s="2239"/>
      <c r="G67" s="2239"/>
      <c r="H67" s="1459"/>
      <c r="I67" s="1458"/>
      <c r="J67" s="3318"/>
      <c r="K67" s="2278" t="s">
        <v>919</v>
      </c>
      <c r="L67" s="2278">
        <f ca="1">IF(M49&gt;=10000,(8.25+(M49-10000)*0.01%),IF(AND(M49&gt;=8000,M49&lt;10000),(7.85+(M49-8000)*0.02%),IF(AND(M49&gt;=5000,M49&lt;8000),(6.65+(M49-5000)*0.04%),IF(AND(M49&gt;=2000,M49&lt;5000),(4.25+(PM49-2000)*0.08%),IF(AND(M49&gt;=1000,M49&lt;2000),(2.75+(M49-1000)*0.15%),IF(AND(M49&gt;=100,M49&lt;1000),(0.5+(M49-100)*0.25%),IF(AND(M49&gt;0,M49&lt;100),M49*0.5%)))))))</f>
        <v>8.8195999999999994</v>
      </c>
      <c r="M67" s="1855">
        <f ca="1">ROUND(L67*0.9,1)</f>
        <v>7.9</v>
      </c>
      <c r="N67" s="2279"/>
      <c r="Z67" s="2113"/>
      <c r="AI67" s="2114"/>
    </row>
    <row r="68" spans="1:35" ht="14.25" customHeight="1">
      <c r="A68" s="2286" t="s">
        <v>920</v>
      </c>
      <c r="B68" s="2287" t="s">
        <v>921</v>
      </c>
      <c r="C68" s="2288">
        <f ca="1">IF(C67&lt;=0,0,ROUND(C67*D68,4))</f>
        <v>822.17139999999995</v>
      </c>
      <c r="D68" s="771">
        <f>'数据-取费表'!B41</f>
        <v>5.5000000000000007E-2</v>
      </c>
      <c r="E68" s="2289"/>
      <c r="F68" s="2239"/>
      <c r="G68" s="2239"/>
      <c r="H68" s="1459"/>
      <c r="I68" s="1458"/>
      <c r="J68" s="3318"/>
      <c r="K68" s="2278" t="s">
        <v>922</v>
      </c>
      <c r="L68" s="2278">
        <f ca="1">IF(M49&gt;10000,M49*0.5%,IF(AND(M49&gt;5000,M49&lt;=10000),M49*1%,IF(AND(M49&gt;1000,M49&lt;=5000),M49*2%,IF(AND(M49&gt;200,M49&lt;=1000),M49*3%,M49*5%))))</f>
        <v>78.48</v>
      </c>
      <c r="M68" s="1855">
        <f ca="1">ROUND(L68,1)</f>
        <v>78.5</v>
      </c>
      <c r="N68" s="2279"/>
      <c r="Z68" s="2113"/>
      <c r="AI68" s="2114"/>
    </row>
    <row r="69" spans="1:35" ht="16.5" customHeight="1">
      <c r="A69" s="2290"/>
      <c r="B69" s="2291"/>
      <c r="C69" s="2292"/>
      <c r="D69" s="693"/>
      <c r="E69" s="2293"/>
      <c r="F69" s="2238"/>
      <c r="G69" s="2238"/>
      <c r="H69" s="2198"/>
      <c r="I69" s="1998"/>
      <c r="J69" s="3318"/>
      <c r="K69" s="2278" t="s">
        <v>923</v>
      </c>
      <c r="L69" s="2278"/>
      <c r="M69" s="1855">
        <f ca="1">ROUND(SUM(M63:M68),0)</f>
        <v>260</v>
      </c>
      <c r="N69" s="2358">
        <f ca="1">M69/M49</f>
        <v>1.6564729867482163E-2</v>
      </c>
      <c r="Z69" s="2113"/>
      <c r="AI69" s="2114"/>
    </row>
    <row r="70" spans="1:35" s="886" customFormat="1" ht="13.8">
      <c r="A70" s="3356" t="s">
        <v>924</v>
      </c>
      <c r="B70" s="3357"/>
      <c r="C70" s="3357"/>
      <c r="D70" s="3357"/>
      <c r="E70" s="3357"/>
      <c r="F70" s="3357"/>
      <c r="G70" s="3357"/>
      <c r="H70" s="3357"/>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14948.571400000001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74.742900000000006</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0" t="s">
        <v>935</v>
      </c>
      <c r="F76" s="3317"/>
      <c r="G76" s="3317"/>
      <c r="H76" s="335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74.742900000000006</v>
      </c>
      <c r="D78" s="2310">
        <f>'数据-取费表'!B43</f>
        <v>5.000000000000001E-3</v>
      </c>
      <c r="E78" s="3359" t="s">
        <v>941</v>
      </c>
      <c r="F78" s="3360"/>
      <c r="G78" s="3360"/>
      <c r="H78" s="3361"/>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14873.828500000001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198.9998849389039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8898.1370999999999</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6" t="s">
        <v>946</v>
      </c>
      <c r="B83" s="3357"/>
      <c r="C83" s="3357"/>
      <c r="D83" s="3357"/>
      <c r="E83" s="3357"/>
      <c r="F83" s="3357"/>
      <c r="G83" s="3357"/>
      <c r="H83" s="3357"/>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14949</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75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68" t="s">
        <v>954</v>
      </c>
      <c r="H90" s="3369"/>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9" t="s">
        <v>958</v>
      </c>
      <c r="F91" s="3360"/>
      <c r="G91" s="3360"/>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9" t="s">
        <v>961</v>
      </c>
      <c r="F92" s="3360"/>
      <c r="G92" s="3360"/>
      <c r="H92" s="3361"/>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75</v>
      </c>
      <c r="D93" s="2310">
        <f>'数据-取费表'!B43</f>
        <v>5.000000000000001E-3</v>
      </c>
      <c r="E93" s="3359" t="s">
        <v>941</v>
      </c>
      <c r="F93" s="3360"/>
      <c r="G93" s="3360"/>
      <c r="H93" s="3361"/>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1" t="s">
        <v>966</v>
      </c>
      <c r="F94" s="3382"/>
      <c r="G94" s="3382"/>
      <c r="H94" s="3383"/>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14874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198.32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8898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2" t="s">
        <v>968</v>
      </c>
      <c r="B100" s="3283"/>
      <c r="C100" s="3283"/>
      <c r="D100" s="3344"/>
      <c r="E100" s="3283" t="s">
        <v>969</v>
      </c>
      <c r="F100" s="3283"/>
      <c r="G100" s="3283"/>
      <c r="H100" s="3344"/>
      <c r="I100" s="1458"/>
    </row>
    <row r="101" spans="1:35" ht="18.75" customHeight="1">
      <c r="A101" s="3345" t="s">
        <v>970</v>
      </c>
      <c r="B101" s="3346"/>
      <c r="C101" s="2334" t="str">
        <f>C4</f>
        <v>成本法</v>
      </c>
      <c r="D101" s="2335" t="str">
        <f>D4</f>
        <v>收益法</v>
      </c>
      <c r="E101" s="3367" t="s">
        <v>971</v>
      </c>
      <c r="F101" s="3363"/>
      <c r="G101" s="2337" t="s">
        <v>972</v>
      </c>
      <c r="H101" s="2338">
        <f ca="1">H118</f>
        <v>15696</v>
      </c>
      <c r="I101" s="1458"/>
    </row>
    <row r="102" spans="1:35" ht="18.75" customHeight="1">
      <c r="A102" s="3376" t="s">
        <v>973</v>
      </c>
      <c r="B102" s="2339" t="s">
        <v>972</v>
      </c>
      <c r="C102" s="2334">
        <f ca="1">IF(D32="楼面单价",ROUND(C19,0),C19)</f>
        <v>12595</v>
      </c>
      <c r="D102" s="2335">
        <f ca="1">IF(D32="楼面单价",ROUND(D19,0),D19)</f>
        <v>17763</v>
      </c>
      <c r="E102" s="3367"/>
      <c r="F102" s="3363"/>
      <c r="G102" s="2337" t="s">
        <v>99</v>
      </c>
      <c r="H102" s="2227">
        <f ca="1">I118</f>
        <v>5711</v>
      </c>
      <c r="I102" s="1458"/>
    </row>
    <row r="103" spans="1:35" ht="42.75" customHeight="1">
      <c r="A103" s="3376"/>
      <c r="B103" s="2339" t="s">
        <v>99</v>
      </c>
      <c r="C103" s="2340">
        <f ca="1">C20</f>
        <v>4583</v>
      </c>
      <c r="D103" s="2341">
        <f ca="1">D20</f>
        <v>6463</v>
      </c>
      <c r="E103" s="3347" t="s">
        <v>974</v>
      </c>
      <c r="F103" s="3348"/>
      <c r="G103" s="2342" t="s">
        <v>102</v>
      </c>
      <c r="H103" s="2338">
        <f>IF(D36="正常操作",H104+H105+H106,H105+H106)</f>
        <v>0</v>
      </c>
      <c r="I103" s="1458"/>
    </row>
    <row r="104" spans="1:35" ht="18.75" customHeight="1">
      <c r="A104" s="3376" t="s">
        <v>975</v>
      </c>
      <c r="B104" s="2343" t="s">
        <v>972</v>
      </c>
      <c r="C104" s="2344">
        <f ca="1">H118</f>
        <v>15696</v>
      </c>
      <c r="D104" s="2345"/>
      <c r="E104" s="2183" t="s">
        <v>976</v>
      </c>
      <c r="F104" s="2346"/>
      <c r="G104" s="2342" t="s">
        <v>102</v>
      </c>
      <c r="H104" s="2347">
        <f>IF(D36="同一抵押权人同一抵押物续贷",C36&amp;"（续贷，未扣减，详见特别提示）",C36)</f>
        <v>0</v>
      </c>
      <c r="I104" s="1458"/>
    </row>
    <row r="105" spans="1:35" ht="18.75" customHeight="1">
      <c r="A105" s="3377"/>
      <c r="B105" s="2348" t="s">
        <v>99</v>
      </c>
      <c r="C105" s="2349">
        <f ca="1">I118</f>
        <v>5711</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2" t="str">
        <f>IF(项目基本情况!E8="已注销","——","3.房地产抵押价值")</f>
        <v>3.房地产抵押价值</v>
      </c>
      <c r="F107" s="3363"/>
      <c r="G107" s="2337" t="s">
        <v>972</v>
      </c>
      <c r="H107" s="2338">
        <f ca="1">IF(E107="——","——",H101-H103)</f>
        <v>15696</v>
      </c>
      <c r="I107" s="1458"/>
    </row>
    <row r="108" spans="1:35" ht="18.75" customHeight="1">
      <c r="A108" s="1458"/>
      <c r="B108" s="1458"/>
      <c r="C108" s="1458"/>
      <c r="D108" s="1458"/>
      <c r="E108" s="3362"/>
      <c r="F108" s="3363"/>
      <c r="G108" s="2337" t="s">
        <v>99</v>
      </c>
      <c r="H108" s="2227">
        <f ca="1">IF(H107=H101,H102,ROUND(H107*10000/'数据-汇总表'!E3,0))</f>
        <v>5711</v>
      </c>
      <c r="I108" s="1458"/>
    </row>
    <row r="109" spans="1:35" ht="18.75" customHeight="1">
      <c r="A109" s="1458"/>
      <c r="B109" s="1458"/>
      <c r="C109" s="1458"/>
      <c r="D109" s="1458"/>
      <c r="E109" s="3362" t="str">
        <f>IF(项目基本情况!E8="已注销及未注销","4.抵押担保权已注销时的房地产抵押价值",IF(项目基本情况!E8="已注销","3.抵押担保权已注销时的房地产抵押价值","——"))</f>
        <v>——</v>
      </c>
      <c r="F109" s="3363"/>
      <c r="G109" s="2337" t="s">
        <v>972</v>
      </c>
      <c r="H109" s="2353" t="str">
        <f>IF(E109="——","——",H101-H105-H106)</f>
        <v>——</v>
      </c>
      <c r="I109" s="1458"/>
    </row>
    <row r="110" spans="1:35" ht="18.75" customHeight="1">
      <c r="A110" s="1458"/>
      <c r="B110" s="1458"/>
      <c r="C110" s="1458"/>
      <c r="D110" s="1458"/>
      <c r="E110" s="3362"/>
      <c r="F110" s="3363"/>
      <c r="G110" s="2337" t="s">
        <v>99</v>
      </c>
      <c r="H110" s="2227" t="str">
        <f>IF(H109="——","——",ROUND(H109*10000/'数据-汇总表'!E3,0))</f>
        <v>——</v>
      </c>
      <c r="I110" s="1458"/>
    </row>
    <row r="111" spans="1:35" ht="18.75" customHeight="1">
      <c r="A111" s="1458"/>
      <c r="B111" s="1458"/>
      <c r="C111" s="1458"/>
      <c r="D111" s="1458"/>
      <c r="E111" s="3364" t="str">
        <f>IF(项目基本情况!E9="抵押净值",IF(OR(项目基本情况!E8="已注销",项目基本情况!E8="房地产抵押价值"),"4.抵押净值","5.抵押净值"),"——")</f>
        <v>——</v>
      </c>
      <c r="F111" s="3336"/>
      <c r="G111" s="2337" t="s">
        <v>972</v>
      </c>
      <c r="H111" s="2338" t="str">
        <f>IF(E111="——","——",N59)</f>
        <v>——</v>
      </c>
      <c r="I111" s="1458"/>
    </row>
    <row r="112" spans="1:35" ht="18.75" customHeight="1">
      <c r="A112" s="1458"/>
      <c r="B112" s="1458"/>
      <c r="C112" s="1458"/>
      <c r="D112" s="1458"/>
      <c r="E112" s="3365"/>
      <c r="F112" s="3366"/>
      <c r="G112" s="2354" t="s">
        <v>99</v>
      </c>
      <c r="H112" s="2355" t="str">
        <f>IF(E111="——","——",N61)</f>
        <v>——</v>
      </c>
      <c r="I112" s="1458"/>
    </row>
    <row r="113" spans="1:27" ht="18.75" customHeight="1">
      <c r="A113" s="1458"/>
      <c r="B113" s="1458"/>
      <c r="C113" s="1458"/>
      <c r="D113" s="1458"/>
      <c r="E113" s="3349" t="s">
        <v>978</v>
      </c>
      <c r="F113" s="3349"/>
      <c r="G113" s="3349"/>
      <c r="H113" s="3349"/>
      <c r="I113" s="1458"/>
    </row>
    <row r="114" spans="1:27" ht="3.75" customHeight="1">
      <c r="A114" s="1998"/>
      <c r="B114" s="1998"/>
      <c r="C114" s="1998"/>
      <c r="D114" s="1998"/>
      <c r="E114" s="2237"/>
      <c r="F114" s="2237"/>
      <c r="G114" s="2237"/>
      <c r="H114" s="2237"/>
      <c r="I114" s="1998"/>
    </row>
    <row r="115" spans="1:27" ht="18.75" customHeight="1">
      <c r="A115" s="3350" t="s">
        <v>980</v>
      </c>
      <c r="B115" s="3351"/>
      <c r="C115" s="3351"/>
      <c r="D115" s="3351"/>
      <c r="E115" s="3351"/>
      <c r="F115" s="3351"/>
      <c r="G115" s="3351"/>
      <c r="H115" s="3351"/>
      <c r="I115" s="3352"/>
    </row>
    <row r="116" spans="1:27" ht="27" customHeight="1">
      <c r="A116" s="3340" t="s">
        <v>981</v>
      </c>
      <c r="B116" s="3379" t="s">
        <v>982</v>
      </c>
      <c r="C116" s="3379" t="s">
        <v>983</v>
      </c>
      <c r="D116" s="3353" t="s">
        <v>984</v>
      </c>
      <c r="E116" s="3354"/>
      <c r="F116" s="3355" t="s">
        <v>985</v>
      </c>
      <c r="G116" s="3355"/>
      <c r="H116" s="3340" t="s">
        <v>986</v>
      </c>
      <c r="I116" s="3340"/>
    </row>
    <row r="117" spans="1:27" ht="18.75" customHeight="1">
      <c r="A117" s="3340"/>
      <c r="B117" s="3380"/>
      <c r="C117" s="3380"/>
      <c r="D117" s="868" t="s">
        <v>987</v>
      </c>
      <c r="E117" s="868" t="s">
        <v>810</v>
      </c>
      <c r="F117" s="868" t="s">
        <v>987</v>
      </c>
      <c r="G117" s="868" t="s">
        <v>810</v>
      </c>
      <c r="H117" s="868" t="s">
        <v>987</v>
      </c>
      <c r="I117" s="868" t="s">
        <v>810</v>
      </c>
    </row>
    <row r="118" spans="1:27" ht="24.75" customHeight="1">
      <c r="A118" s="2356" t="str">
        <f>项目基本情况!S2</f>
        <v>北京市平谷区兴谷东路39号房地产</v>
      </c>
      <c r="B118" s="868">
        <f>M18</f>
        <v>27483.820000000003</v>
      </c>
      <c r="C118" s="868">
        <f>M19</f>
        <v>56554.63</v>
      </c>
      <c r="D118" s="868">
        <f ca="1">ROUND(IF(D32="总价",C34,E118*B118/10000),0)</f>
        <v>6107</v>
      </c>
      <c r="E118" s="868">
        <f ca="1">ROUND(IF(C33="自定义",IF(D32="楼面单价",C34,D118*10000/B118),I118-G118),0)</f>
        <v>2222</v>
      </c>
      <c r="F118" s="868">
        <f ca="1">ROUND(IF(D32="总价",C35,G118*B118/10000),0)</f>
        <v>9589</v>
      </c>
      <c r="G118" s="868">
        <f ca="1">ROUND(IF(D32="楼面单价",C35,F118*10000/B118),0)</f>
        <v>3489</v>
      </c>
      <c r="H118" s="2357">
        <f ca="1">ROUND(IF(D32="总价",C32,I118*B118/10000),0)</f>
        <v>15696</v>
      </c>
      <c r="I118" s="868">
        <f ca="1">ROUND(IF(D32="楼面单价",C32,H118*10000/B118),0)</f>
        <v>5711</v>
      </c>
    </row>
    <row r="119" spans="1:27" ht="18.75" customHeight="1">
      <c r="A119" s="3340" t="s">
        <v>988</v>
      </c>
      <c r="B119" s="3340"/>
      <c r="C119" s="3340"/>
      <c r="D119" s="3341" t="str">
        <f ca="1">NUMBERSTRING(INT(D118*10000),2)&amp;"元整"</f>
        <v>陆仟壹佰零柒万元整</v>
      </c>
      <c r="E119" s="3343"/>
      <c r="F119" s="3341" t="str">
        <f ca="1">NUMBERSTRING(INT(F118*10000),2)&amp;"元整"</f>
        <v>玖仟伍佰捌拾玖万元整</v>
      </c>
      <c r="G119" s="3343"/>
      <c r="H119" s="3341" t="str">
        <f ca="1">NUMBERSTRING(INT(H118*10000),2)&amp;"元整"</f>
        <v>壹亿伍仟陆佰玖拾陆万元整</v>
      </c>
      <c r="I119" s="3343"/>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1" t="s">
        <v>988</v>
      </c>
      <c r="B121" s="3342"/>
      <c r="C121" s="3343"/>
      <c r="D121" s="3341" t="str">
        <f>IF(D120=0,"零元整",NUMBERSTRING(INT(D120*10000),2)&amp;"元整")</f>
        <v>零元整</v>
      </c>
      <c r="E121" s="3342"/>
      <c r="F121" s="3342"/>
      <c r="G121" s="3342"/>
      <c r="H121" s="3342"/>
      <c r="I121" s="3343"/>
      <c r="AA121" s="1417"/>
    </row>
    <row r="122" spans="1:27" ht="18.75" customHeight="1">
      <c r="A122" s="3336" t="str">
        <f>IF(项目基本情况!B9="房地产市场价值","",MID(E107,3,LEN(E107)-2))</f>
        <v>房地产抵押价值</v>
      </c>
      <c r="B122" s="3336"/>
      <c r="C122" s="3336"/>
      <c r="D122" s="3337">
        <f ca="1">H107</f>
        <v>15696</v>
      </c>
      <c r="E122" s="3338"/>
      <c r="F122" s="3338"/>
      <c r="G122" s="3338"/>
      <c r="H122" s="3338"/>
      <c r="I122" s="3339"/>
      <c r="AA122" s="1417"/>
    </row>
    <row r="123" spans="1:27" ht="18.75" customHeight="1">
      <c r="A123" s="3340" t="s">
        <v>988</v>
      </c>
      <c r="B123" s="3340"/>
      <c r="C123" s="3340"/>
      <c r="D123" s="3341" t="str">
        <f ca="1">NUMBERSTRING(INT(D122*10000),2)&amp;"元整"</f>
        <v>壹亿伍仟陆佰玖拾陆万元整</v>
      </c>
      <c r="E123" s="3342"/>
      <c r="F123" s="3342"/>
      <c r="G123" s="3342"/>
      <c r="H123" s="3342"/>
      <c r="I123" s="3343"/>
      <c r="AA123" s="1417"/>
    </row>
    <row r="124" spans="1:27" ht="18.75" customHeight="1">
      <c r="A124" s="3336" t="str">
        <f>IF(项目基本情况!B9="房地产市场价值","",MID(E109,3,LEN(E109)-2))</f>
        <v/>
      </c>
      <c r="B124" s="3336"/>
      <c r="C124" s="3336"/>
      <c r="D124" s="3337" t="str">
        <f>H109</f>
        <v>——</v>
      </c>
      <c r="E124" s="3338"/>
      <c r="F124" s="3338"/>
      <c r="G124" s="3338"/>
      <c r="H124" s="3338"/>
      <c r="I124" s="3339"/>
      <c r="AA124" s="1417"/>
    </row>
    <row r="125" spans="1:27" ht="18.75" customHeight="1">
      <c r="A125" s="3340" t="s">
        <v>988</v>
      </c>
      <c r="B125" s="3340"/>
      <c r="C125" s="3340"/>
      <c r="D125" s="3341" t="e">
        <f>NUMBERSTRING(INT(D124*10000),2)&amp;"元整"</f>
        <v>#VALUE!</v>
      </c>
      <c r="E125" s="3342"/>
      <c r="F125" s="3342"/>
      <c r="G125" s="3342"/>
      <c r="H125" s="3342"/>
      <c r="I125" s="3343"/>
      <c r="AA125" s="1417"/>
    </row>
    <row r="126" spans="1:27" ht="18.75" customHeight="1">
      <c r="A126" s="3336" t="str">
        <f>IF(项目基本情况!B9="房地产市场价值","",MID(E111,3,LEN(E111)-2))</f>
        <v/>
      </c>
      <c r="B126" s="3336"/>
      <c r="C126" s="3336"/>
      <c r="D126" s="3337" t="str">
        <f>H111</f>
        <v>——</v>
      </c>
      <c r="E126" s="3338"/>
      <c r="F126" s="3338"/>
      <c r="G126" s="3338"/>
      <c r="H126" s="3338"/>
      <c r="I126" s="3339"/>
      <c r="AA126" s="1417"/>
    </row>
    <row r="127" spans="1:27" ht="18.75" customHeight="1">
      <c r="A127" s="3340" t="s">
        <v>988</v>
      </c>
      <c r="B127" s="3340"/>
      <c r="C127" s="3340"/>
      <c r="D127" s="3341" t="e">
        <f>NUMBERSTRING(INT(D126*10000),2)&amp;"元整"</f>
        <v>#VALUE!</v>
      </c>
      <c r="E127" s="3342"/>
      <c r="F127" s="3342"/>
      <c r="G127" s="3342"/>
      <c r="H127" s="3342"/>
      <c r="I127" s="3343"/>
      <c r="AA127" s="1417"/>
    </row>
    <row r="128" spans="1:27" ht="21.75" customHeight="1">
      <c r="A128" s="3370" t="s">
        <v>113</v>
      </c>
      <c r="B128" s="3370"/>
      <c r="C128" s="3370"/>
      <c r="D128" s="3370"/>
      <c r="E128" s="3370"/>
      <c r="F128" s="3370"/>
      <c r="G128" s="3370"/>
      <c r="H128" s="3370"/>
      <c r="I128" s="3370"/>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9" zoomScaleNormal="80" workbookViewId="0">
      <selection activeCell="C6" sqref="C6"/>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56554.63</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f>C30</f>
        <v>3789</v>
      </c>
      <c r="C2" s="508" t="s">
        <v>998</v>
      </c>
      <c r="D2" s="509" t="s">
        <v>1726</v>
      </c>
      <c r="E2" s="510" t="s">
        <v>408</v>
      </c>
      <c r="F2" s="509" t="s">
        <v>1727</v>
      </c>
      <c r="G2" s="511" t="str">
        <f>IF(E2="商业",项目基本情况!B37,IF(E2="办公",项目基本情况!C37,IF(E2="住宅",项目基本情况!D37,IF(E2="工业",项目基本情况!E37,项目基本情况!F37))))</f>
        <v>十级</v>
      </c>
      <c r="H2" s="509" t="s">
        <v>1728</v>
      </c>
      <c r="I2" s="511" t="str">
        <f>IF(E2="商业",项目基本情况!B38,IF(E2="办公",项目基本情况!C38,IF(E2="住宅",项目基本情况!D38,IF(E2="工业",项目基本情况!E38,项目基本情况!F38))))</f>
        <v>Ⅹ-平1</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1.5418000000000001</v>
      </c>
      <c r="T2" s="796">
        <f t="shared" ref="T2:T16" si="0">ROUND($C$5*$C$22*$C$23*$C$24*S2*$C$28,0)</f>
        <v>1032</v>
      </c>
      <c r="U2" s="797"/>
      <c r="V2" s="796">
        <f>ROUND(T2*U2/10000,0)</f>
        <v>0</v>
      </c>
      <c r="W2" s="795"/>
      <c r="X2" s="795"/>
      <c r="Y2" s="795"/>
      <c r="Z2" s="795"/>
      <c r="AA2" s="795"/>
      <c r="AB2" s="795"/>
      <c r="AC2" s="806"/>
      <c r="AD2" s="807"/>
      <c r="AE2" s="807"/>
      <c r="AF2" s="807"/>
      <c r="AG2" s="807"/>
      <c r="AH2" s="807"/>
      <c r="AI2" s="807"/>
      <c r="AJ2" s="816"/>
    </row>
    <row r="3" spans="1:36" ht="15.6">
      <c r="A3" s="348" t="s">
        <v>999</v>
      </c>
      <c r="B3" s="349">
        <f>ROUND(B2*10000/D1,0)</f>
        <v>670</v>
      </c>
      <c r="C3" s="508" t="s">
        <v>1000</v>
      </c>
      <c r="D3" s="509" t="s">
        <v>1730</v>
      </c>
      <c r="E3" s="512" t="s">
        <v>1973</v>
      </c>
      <c r="F3" s="513" t="s">
        <v>1732</v>
      </c>
      <c r="G3" s="514">
        <f>IF(F3="宗地容积率",'数据-汇总表'!I4,IF(F3="估价对象容积率",'数据-汇总表'!I6,'数据-汇总表'!I7))</f>
        <v>1</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1.1883999999999999</v>
      </c>
      <c r="T3" s="796">
        <f t="shared" si="0"/>
        <v>796</v>
      </c>
      <c r="U3" s="797"/>
      <c r="V3" s="796">
        <f t="shared" ref="V3:V16" si="1">ROUND(T3*U3/10000,0)</f>
        <v>0</v>
      </c>
      <c r="W3" s="795"/>
      <c r="X3" s="795"/>
      <c r="Y3" s="795"/>
      <c r="Z3" s="795"/>
      <c r="AA3" s="795"/>
      <c r="AB3" s="795"/>
      <c r="AC3" s="806"/>
      <c r="AD3" s="807"/>
      <c r="AE3" s="807"/>
      <c r="AF3" s="807"/>
      <c r="AG3" s="807"/>
      <c r="AH3" s="807"/>
      <c r="AI3" s="807"/>
      <c r="AJ3" s="816"/>
    </row>
    <row r="4" spans="1:36" ht="15.6">
      <c r="A4" s="3384"/>
      <c r="B4" s="3385"/>
      <c r="C4" s="3385"/>
      <c r="D4" s="3386"/>
      <c r="E4" s="3386"/>
      <c r="F4" s="3386"/>
      <c r="G4" s="3386"/>
      <c r="H4" s="3386"/>
      <c r="I4" s="3386"/>
      <c r="J4" s="3387"/>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0.96940000000000004</v>
      </c>
      <c r="T4" s="796">
        <f t="shared" si="0"/>
        <v>649</v>
      </c>
      <c r="U4" s="797"/>
      <c r="V4" s="796">
        <f t="shared" si="1"/>
        <v>0</v>
      </c>
      <c r="W4" s="795"/>
      <c r="X4" s="795"/>
      <c r="Y4" s="795"/>
      <c r="Z4" s="795"/>
      <c r="AA4" s="795"/>
      <c r="AB4" s="795"/>
      <c r="AC4" s="806"/>
      <c r="AD4" s="807"/>
      <c r="AE4" s="807"/>
      <c r="AF4" s="807"/>
      <c r="AG4" s="807"/>
      <c r="AH4" s="807"/>
      <c r="AI4" s="807"/>
      <c r="AJ4" s="816"/>
    </row>
    <row r="5" spans="1:36" s="498" customFormat="1" ht="15">
      <c r="A5" s="515" t="s">
        <v>901</v>
      </c>
      <c r="B5" s="516" t="s">
        <v>1737</v>
      </c>
      <c r="C5" s="517">
        <f>ROUND(IF(E2="商业",C6*C7*C17+C20,(IF(E2="住宅",C6*C13*C17+C20,IF(E2="办公",C6*C12*C17+C20,C6+C20)))),0)</f>
        <v>730</v>
      </c>
      <c r="D5" s="518">
        <f>ROUND(C6*C17+C20,0)</f>
        <v>730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0.82299999999999995</v>
      </c>
      <c r="T5" s="796">
        <f t="shared" si="0"/>
        <v>551</v>
      </c>
      <c r="U5" s="797"/>
      <c r="V5" s="796">
        <f t="shared" si="1"/>
        <v>0</v>
      </c>
      <c r="W5" s="795"/>
      <c r="X5" s="795"/>
      <c r="Y5" s="795"/>
      <c r="Z5" s="795"/>
      <c r="AA5" s="795"/>
      <c r="AB5" s="795"/>
      <c r="AC5" s="808"/>
      <c r="AD5" s="809"/>
      <c r="AE5" s="809"/>
      <c r="AF5" s="809"/>
      <c r="AG5" s="809"/>
      <c r="AH5" s="809"/>
      <c r="AI5" s="809"/>
      <c r="AJ5" s="817"/>
    </row>
    <row r="6" spans="1:36" ht="15">
      <c r="A6" s="521" t="s">
        <v>1002</v>
      </c>
      <c r="B6" s="522" t="s">
        <v>1739</v>
      </c>
      <c r="C6" s="523">
        <f>SUMIF(L1:L12,G2,M1:M12)</f>
        <v>730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0.74980000000000002</v>
      </c>
      <c r="T6" s="796">
        <f t="shared" si="0"/>
        <v>502</v>
      </c>
      <c r="U6" s="797"/>
      <c r="V6" s="796">
        <f t="shared" si="1"/>
        <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1745</v>
      </c>
      <c r="X7" s="800" t="str">
        <f>G2</f>
        <v>十级</v>
      </c>
      <c r="Y7" s="800" t="s">
        <v>1746</v>
      </c>
      <c r="Z7" s="810">
        <f>G3</f>
        <v>1</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388" t="s">
        <v>1751</v>
      </c>
      <c r="X8" s="3389"/>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02"/>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730</v>
      </c>
      <c r="N10" s="707">
        <f>SUMPRODUCT((因素修正幅度!B327:B357=I2)*(因素修正幅度!C3:G3=E2)*(因素修正幅度!C327:G357))</f>
        <v>0.14399999999999999</v>
      </c>
      <c r="O10" s="499"/>
      <c r="P10" s="499"/>
      <c r="Q10" s="499"/>
      <c r="R10" s="794">
        <v>9</v>
      </c>
      <c r="S10" s="797"/>
      <c r="T10" s="796">
        <f t="shared" si="0"/>
        <v>0</v>
      </c>
      <c r="U10" s="797"/>
      <c r="V10" s="796">
        <f t="shared" si="1"/>
        <v>0</v>
      </c>
      <c r="W10" s="340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394" t="s">
        <v>1800</v>
      </c>
      <c r="B20" s="586" t="s">
        <v>1801</v>
      </c>
      <c r="C20" s="587">
        <f>ROUND(IF(F21="与级别开发程度一致",0,(G21-E21)/C21),0)</f>
        <v>0</v>
      </c>
      <c r="D20" s="588" t="s">
        <v>1802</v>
      </c>
      <c r="E20" s="589"/>
      <c r="F20" s="3390" t="s">
        <v>1803</v>
      </c>
      <c r="G20" s="3391"/>
      <c r="H20" s="590" t="s">
        <v>342</v>
      </c>
      <c r="I20" s="590" t="s">
        <v>343</v>
      </c>
      <c r="J20" s="729" t="s">
        <v>344</v>
      </c>
      <c r="K20" s="730" t="s">
        <v>345</v>
      </c>
      <c r="L20" s="730" t="s">
        <v>346</v>
      </c>
      <c r="M20" s="730"/>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395"/>
      <c r="B21" s="591" t="s">
        <v>1804</v>
      </c>
      <c r="C21" s="592">
        <f>IF(E3="M4科研用地",SUMPRODUCT((修正!A2:A7=E3)*(修正!B1:M1=G2)*(修正!B2:M7)),SUMPRODUCT((修正!A2:A7=E2)*(修正!B1:M1=G2)*(修正!B2:M7)))</f>
        <v>1</v>
      </c>
      <c r="D21" s="593" t="str">
        <f>IF(OR(G2="八级",G2="九级",G2="十级",G2="十一级",G2="十二级"),"五通一平","七通一平")</f>
        <v>五通一平</v>
      </c>
      <c r="E21" s="594">
        <f>SUMPRODUCT((修正!B1:M1=G2)*(修正!B17:M17))</f>
        <v>185</v>
      </c>
      <c r="F21" s="595" t="s">
        <v>2869</v>
      </c>
      <c r="G21" s="596">
        <f>SUM(H21:O21)</f>
        <v>185</v>
      </c>
      <c r="H21" s="592">
        <f>SUMPRODUCT((七通一平=H20)*(修正!B1:M1=G2)*(修正!B8:M16))</f>
        <v>60</v>
      </c>
      <c r="I21" s="592">
        <f>SUMPRODUCT((七通一平=I20)*(修正!B1:M1=G2)*(修正!B8:M16))</f>
        <v>50</v>
      </c>
      <c r="J21" s="732">
        <f>SUMPRODUCT((七通一平=J20)*(修正!B1:M1=G2)*(修正!B8:M16))</f>
        <v>10</v>
      </c>
      <c r="K21" s="592">
        <f>SUMPRODUCT((七通一平=K20)*(修正!B1:M1=G2)*(修正!B8:M16))</f>
        <v>20</v>
      </c>
      <c r="L21" s="592">
        <f>SUMPRODUCT((七通一平=L20)*(修正!B1:M1=G2)*(修正!B8:M16))</f>
        <v>35</v>
      </c>
      <c r="M21" s="592">
        <f>SUMPRODUCT((七通一平=M20)*(修正!B1:M1=G2)*(修正!B8:M16))</f>
        <v>0</v>
      </c>
      <c r="N21" s="592">
        <f>SUMPRODUCT((七通一平=N20)*(修正!B1:M1=G2)*(修正!B8:M16))</f>
        <v>10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1.0017</v>
      </c>
      <c r="D23" s="605" t="s">
        <v>1807</v>
      </c>
      <c r="E23" s="606">
        <v>44197</v>
      </c>
      <c r="F23" s="605" t="s">
        <v>1808</v>
      </c>
      <c r="G23" s="607">
        <f>'数据-取费表'!B2</f>
        <v>45838</v>
      </c>
      <c r="H23" s="608" t="s">
        <v>2870</v>
      </c>
      <c r="I23" s="738">
        <f>IF(H23="季度增幅（自定义）",SUMIF(N25:N28,E2,O25:O28),"")</f>
        <v>1E-4</v>
      </c>
      <c r="J23" s="739" t="s">
        <v>2871</v>
      </c>
      <c r="K23" s="735"/>
      <c r="L23" s="740" t="s">
        <v>1809</v>
      </c>
      <c r="M23" s="741">
        <f>ROUND(SUMIF(地价!B2:G2,E2,地价!B16:G16),0)</f>
        <v>318</v>
      </c>
      <c r="N23" s="742" t="s">
        <v>1810</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1811</v>
      </c>
      <c r="C24" s="611">
        <f>ROUND(POWER(1+G24,J24-I24)*(POWER(1+G24,I24)-1)/(POWER(1+G24,J24)-1),4)</f>
        <v>0.92110000000000003</v>
      </c>
      <c r="D24" s="612" t="s">
        <v>1812</v>
      </c>
      <c r="E24" s="613">
        <f>存贷款利率!E28/100</f>
        <v>4.3499999999999997E-2</v>
      </c>
      <c r="F24" s="612" t="s">
        <v>1813</v>
      </c>
      <c r="G24" s="614">
        <f>SUMIF(M30:Q30,E2,M33:Q33)</f>
        <v>0.05</v>
      </c>
      <c r="H24" s="612" t="s">
        <v>1814</v>
      </c>
      <c r="I24" s="744">
        <f>SUMIF('数据-取费表'!C6:C15,E2,'数据-取费表'!F6:F15)/COUNTIF('数据-取费表'!C6:C15,E2)</f>
        <v>37.659999999999997</v>
      </c>
      <c r="J24" s="745">
        <f>IF(E2="住宅",70,IF(E2="商业",40,50))</f>
        <v>50</v>
      </c>
      <c r="K24" s="735"/>
      <c r="L24" s="746" t="s">
        <v>1815</v>
      </c>
      <c r="M24" s="747">
        <f>ROUND(SUMPRODUCT((地价!A4:A16=YEAR(G23)&amp;"-"&amp;ROUNDUP(MONTH(G23)/3,0))*(地价!B2:G2=E2)*(地价!B4:G16)),0)</f>
        <v>0</v>
      </c>
      <c r="N24" s="748" t="s">
        <v>1816</v>
      </c>
      <c r="O24" s="749" t="s">
        <v>1817</v>
      </c>
      <c r="P24" s="750" t="s">
        <v>1818</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1819</v>
      </c>
      <c r="C25" s="617">
        <f>IF(B25="容积率修正",IF(G3&lt;10,D26,J26),C27)</f>
        <v>1</v>
      </c>
      <c r="D25" s="618"/>
      <c r="E25" s="618"/>
      <c r="F25" s="618"/>
      <c r="G25" s="618"/>
      <c r="H25" s="618"/>
      <c r="I25" s="618"/>
      <c r="J25" s="751"/>
      <c r="K25" s="735"/>
      <c r="L25" s="736"/>
      <c r="M25" s="736"/>
      <c r="N25" s="752" t="s">
        <v>1820</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1821</v>
      </c>
      <c r="B26" s="620" t="s">
        <v>1822</v>
      </c>
      <c r="C26" s="620" t="s">
        <v>1823</v>
      </c>
      <c r="D26" s="621">
        <f>IF(E26=G26,F26,IF(G3&lt;10,ROUND(F26+(H26-F26)*(G3-E26)/(G26-E26),4),"——"))</f>
        <v>1</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1824</v>
      </c>
      <c r="J26" s="755" t="str">
        <f>IF(G3&gt;=10,D115,"——")</f>
        <v>——</v>
      </c>
      <c r="K26" s="735"/>
      <c r="L26" s="736"/>
      <c r="M26" s="736"/>
      <c r="N26" s="752" t="s">
        <v>1825</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1826</v>
      </c>
      <c r="B27" s="622" t="s">
        <v>1827</v>
      </c>
      <c r="C27" s="623">
        <f>ROUND(IF(I3&lt;6,SUMPRODUCT((B106:B110=I3)*(C105:N105=G2)*(C106:N110)),SUMIF(C105:N105,G2,C112:N112)),4)</f>
        <v>0</v>
      </c>
      <c r="D27" s="507"/>
      <c r="E27" s="507"/>
      <c r="F27" s="624"/>
      <c r="G27" s="625"/>
      <c r="H27" s="626"/>
      <c r="I27" s="756"/>
      <c r="J27" s="757"/>
      <c r="K27" s="499"/>
      <c r="L27" s="500"/>
      <c r="M27" s="500"/>
      <c r="N27" s="752" t="s">
        <v>1828</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1829</v>
      </c>
      <c r="B28" s="603" t="s">
        <v>1830</v>
      </c>
      <c r="C28" s="604">
        <f>SUMIF(A47:A101,E2,B47:B101)</f>
        <v>0.99419999999999997</v>
      </c>
      <c r="D28" s="627"/>
      <c r="E28" s="628"/>
      <c r="F28" s="628"/>
      <c r="G28" s="628"/>
      <c r="H28" s="628"/>
      <c r="I28" s="628"/>
      <c r="J28" s="758"/>
      <c r="K28" s="735"/>
      <c r="L28" s="736"/>
      <c r="M28" s="736"/>
      <c r="N28" s="759" t="s">
        <v>1831</v>
      </c>
      <c r="O28" s="760">
        <v>1E-4</v>
      </c>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1832</v>
      </c>
      <c r="B29" s="629" t="s">
        <v>1833</v>
      </c>
      <c r="C29" s="630"/>
      <c r="D29" s="533"/>
      <c r="E29" s="533"/>
      <c r="F29" s="631"/>
      <c r="G29" s="533"/>
      <c r="H29" s="533"/>
      <c r="I29" s="533"/>
      <c r="J29" s="715"/>
      <c r="K29" s="499"/>
      <c r="L29" s="500"/>
      <c r="M29" s="500"/>
      <c r="N29" s="762" t="s">
        <v>1834</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1835</v>
      </c>
      <c r="C30" s="633">
        <f>IF(B25="容积率修正",E33+SUM(E37:E42),SUM(V2:V16)+SUM(E37:E42))</f>
        <v>3789</v>
      </c>
      <c r="D30" s="634"/>
      <c r="E30" s="507"/>
      <c r="F30" s="635"/>
      <c r="G30" s="507"/>
      <c r="H30" s="507"/>
      <c r="I30" s="507"/>
      <c r="J30" s="765"/>
      <c r="K30" s="499"/>
      <c r="L30" s="766" t="s">
        <v>1726</v>
      </c>
      <c r="M30" s="767" t="s">
        <v>1836</v>
      </c>
      <c r="N30" s="767" t="s">
        <v>1837</v>
      </c>
      <c r="O30" s="767" t="s">
        <v>1838</v>
      </c>
      <c r="P30" s="767" t="s">
        <v>1839</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1840</v>
      </c>
      <c r="C31" s="636">
        <f>E34+SUM(I37:I42)</f>
        <v>0</v>
      </c>
      <c r="D31" s="637"/>
      <c r="E31" s="638"/>
      <c r="F31" s="639"/>
      <c r="G31" s="638"/>
      <c r="H31" s="638"/>
      <c r="I31" s="638"/>
      <c r="J31" s="768"/>
      <c r="K31" s="499"/>
      <c r="L31" s="769" t="s">
        <v>1841</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1842</v>
      </c>
      <c r="C32" s="642" t="s">
        <v>1843</v>
      </c>
      <c r="D32" s="642" t="s">
        <v>574</v>
      </c>
      <c r="E32" s="643" t="s">
        <v>1844</v>
      </c>
      <c r="F32" s="644"/>
      <c r="G32" s="555"/>
      <c r="H32" s="555"/>
      <c r="I32" s="555"/>
      <c r="J32" s="721"/>
      <c r="K32" s="499"/>
      <c r="L32" s="770" t="s">
        <v>1813</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1845</v>
      </c>
      <c r="C33" s="647">
        <f>ROUND(C5*C22*C23*C24*C25*C28,0)</f>
        <v>670</v>
      </c>
      <c r="D33" s="648">
        <f>'数据-基础表'!A3</f>
        <v>56554.63</v>
      </c>
      <c r="E33" s="649">
        <f>ROUND(C33*D33/10000,0)</f>
        <v>3789</v>
      </c>
      <c r="F33" s="650" t="s">
        <v>1846</v>
      </c>
      <c r="G33" s="651"/>
      <c r="H33" s="651"/>
      <c r="I33" s="651"/>
      <c r="J33" s="772"/>
      <c r="K33" s="499"/>
      <c r="L33" s="773" t="s">
        <v>1847</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1848</v>
      </c>
      <c r="C34" s="593">
        <f>ROUND(IF(E2="工业",C33*M42,IF(B25="楼层修正",SUM(V2:V16)*M41*10000/D34,C33*M41)),0)</f>
        <v>101</v>
      </c>
      <c r="D34" s="654"/>
      <c r="E34" s="649">
        <f>ROUND(IF(B25="楼层修正",SUM(V2:V16)*M40,C34*D34/10000),0)</f>
        <v>0</v>
      </c>
      <c r="F34" s="655" t="s">
        <v>1849</v>
      </c>
      <c r="G34" s="656"/>
      <c r="H34" s="656"/>
      <c r="I34" s="656"/>
      <c r="J34" s="775"/>
      <c r="K34" s="499"/>
      <c r="L34" s="773" t="s">
        <v>1850</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1851</v>
      </c>
      <c r="C35" s="659" t="s">
        <v>1852</v>
      </c>
      <c r="D35" s="555"/>
      <c r="E35" s="660"/>
      <c r="F35" s="660"/>
      <c r="G35" s="553" t="s">
        <v>1849</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1843</v>
      </c>
      <c r="D36" s="663" t="s">
        <v>574</v>
      </c>
      <c r="E36" s="663" t="s">
        <v>1844</v>
      </c>
      <c r="F36" s="506" t="s">
        <v>1853</v>
      </c>
      <c r="G36" s="664" t="s">
        <v>1843</v>
      </c>
      <c r="H36" s="664" t="s">
        <v>574</v>
      </c>
      <c r="I36" s="664" t="s">
        <v>1844</v>
      </c>
      <c r="J36" s="393"/>
      <c r="K36" s="674" t="s">
        <v>1854</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396"/>
      <c r="B37" s="665" t="s">
        <v>1855</v>
      </c>
      <c r="C37" s="647">
        <f>ROUND(D5*C22*C23*C24*C28*F37,0)</f>
        <v>335</v>
      </c>
      <c r="D37" s="648"/>
      <c r="E37" s="511">
        <f>ROUND(C37*D37/10000,0)</f>
        <v>0</v>
      </c>
      <c r="F37" s="511">
        <f>SUMIF(修正!A57:A68,G2,修正!B57:B68)</f>
        <v>0.5</v>
      </c>
      <c r="G37" s="511">
        <f>ROUND(IF(E2="工业",C37*$M$42,C37*$M$41),0)</f>
        <v>50</v>
      </c>
      <c r="H37" s="511">
        <f>D37</f>
        <v>0</v>
      </c>
      <c r="I37" s="511">
        <f>ROUND(G37*H37/10000,0)</f>
        <v>0</v>
      </c>
      <c r="J37" s="779"/>
      <c r="K37" s="780" t="s">
        <v>1856</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397"/>
      <c r="B38" s="558" t="s">
        <v>1857</v>
      </c>
      <c r="C38" s="647">
        <f>ROUND(D5*C22*C23*C24*C28*F38,0)</f>
        <v>134</v>
      </c>
      <c r="D38" s="648"/>
      <c r="E38" s="511">
        <f t="shared" ref="E38:E42" si="4">ROUND(C38*D38/10000,0)</f>
        <v>0</v>
      </c>
      <c r="F38" s="511">
        <f>SUMIF(修正!A57:A68,G2,修正!C57:C68)</f>
        <v>0.2</v>
      </c>
      <c r="G38" s="511">
        <f>ROUND(IF(E2="工业",C38*$M$42,C38*$M$41),0)</f>
        <v>20</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397"/>
      <c r="B39" s="558" t="s">
        <v>1858</v>
      </c>
      <c r="C39" s="647">
        <f>ROUND(D5*C22*C23*C24*C28*F39,0)</f>
        <v>134</v>
      </c>
      <c r="D39" s="648"/>
      <c r="E39" s="511">
        <f t="shared" si="4"/>
        <v>0</v>
      </c>
      <c r="F39" s="511">
        <f>SUMIF(修正!A57:A68,G2,修正!D57:D68)</f>
        <v>0.2</v>
      </c>
      <c r="G39" s="511">
        <f>ROUND(IF(E2="工业",C39*$M$42,C39*$M$41),0)</f>
        <v>20</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1859</v>
      </c>
      <c r="C40" s="511">
        <f>ROUND(D5*C22*C23*C24*C28*F40,0)</f>
        <v>134</v>
      </c>
      <c r="D40" s="648"/>
      <c r="E40" s="511">
        <f t="shared" si="4"/>
        <v>0</v>
      </c>
      <c r="F40" s="647">
        <f>SUMIF(修正!A57:A68,G2,修正!E57:E68)</f>
        <v>0.2</v>
      </c>
      <c r="G40" s="511">
        <f>ROUND(IF(E2="工业",C40*$M$42,C40*$M$41),0)</f>
        <v>20</v>
      </c>
      <c r="H40" s="511">
        <f t="shared" si="5"/>
        <v>0</v>
      </c>
      <c r="I40" s="511">
        <f t="shared" si="6"/>
        <v>0</v>
      </c>
      <c r="J40" s="781"/>
      <c r="L40" s="782" t="s">
        <v>1860</v>
      </c>
      <c r="M40" s="783"/>
      <c r="Z40" s="670"/>
      <c r="AA40" s="670"/>
      <c r="AB40" s="670"/>
      <c r="AC40" s="670"/>
      <c r="AD40" s="670"/>
      <c r="AE40" s="670"/>
      <c r="AF40" s="670"/>
      <c r="AG40" s="670"/>
      <c r="AH40" s="670"/>
      <c r="AI40" s="670"/>
      <c r="AJ40" s="670"/>
    </row>
    <row r="41" spans="1:37" s="499" customFormat="1">
      <c r="A41" s="667"/>
      <c r="B41" s="558" t="s">
        <v>1861</v>
      </c>
      <c r="C41" s="511">
        <f>ROUND(D5*C22*C23*C44*C28*F41,0)</f>
        <v>0</v>
      </c>
      <c r="D41" s="648"/>
      <c r="E41" s="511">
        <f t="shared" si="4"/>
        <v>0</v>
      </c>
      <c r="F41" s="647">
        <f>SUMIF(修正!A57:A68,G2,修正!F57:F68)</f>
        <v>0.2</v>
      </c>
      <c r="G41" s="511">
        <f>ROUND(IF(E2="工业",C41*$M$42,C41*$M$41),0)</f>
        <v>0</v>
      </c>
      <c r="H41" s="511">
        <f t="shared" si="5"/>
        <v>0</v>
      </c>
      <c r="I41" s="511">
        <f t="shared" si="6"/>
        <v>0</v>
      </c>
      <c r="J41" s="781"/>
      <c r="L41" s="784" t="s">
        <v>1862</v>
      </c>
      <c r="M41" s="785">
        <v>0.25</v>
      </c>
      <c r="Z41" s="670"/>
      <c r="AA41" s="670"/>
      <c r="AB41" s="670"/>
      <c r="AC41" s="670"/>
      <c r="AD41" s="670"/>
      <c r="AE41" s="670"/>
      <c r="AF41" s="670"/>
      <c r="AG41" s="670"/>
      <c r="AH41" s="670"/>
      <c r="AI41" s="670"/>
      <c r="AJ41" s="670"/>
    </row>
    <row r="42" spans="1:37" s="499" customFormat="1">
      <c r="A42" s="652"/>
      <c r="B42" s="668" t="s">
        <v>1863</v>
      </c>
      <c r="C42" s="593">
        <f>ROUND(D5*C22*C23*C44*C28*F42,0)</f>
        <v>0</v>
      </c>
      <c r="D42" s="654"/>
      <c r="E42" s="593">
        <f t="shared" si="4"/>
        <v>0</v>
      </c>
      <c r="F42" s="669">
        <f>SUMIF(修正!A57:A68,G2,修正!G57:G68)</f>
        <v>0.1</v>
      </c>
      <c r="G42" s="593">
        <f>ROUND(IF(E2="工业",C42*$M$42,C42*$M$41),0)</f>
        <v>0</v>
      </c>
      <c r="H42" s="593">
        <f t="shared" si="5"/>
        <v>0</v>
      </c>
      <c r="I42" s="593">
        <f t="shared" si="6"/>
        <v>0</v>
      </c>
      <c r="J42" s="786"/>
      <c r="L42" s="787" t="s">
        <v>1839</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1864</v>
      </c>
      <c r="C44" s="506">
        <f>ROUND(POWER(1+E44,H44-G44)*(POWER(1+E44,G44)-1)/(POWER(1+E44,H44)-1),4)</f>
        <v>0</v>
      </c>
      <c r="D44" s="511" t="s">
        <v>1813</v>
      </c>
      <c r="E44" s="672">
        <f>G24</f>
        <v>0.05</v>
      </c>
      <c r="F44" s="511" t="s">
        <v>1814</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1865</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1866</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1867</v>
      </c>
      <c r="B49" s="686" t="s">
        <v>1868</v>
      </c>
      <c r="C49" s="686" t="s">
        <v>1869</v>
      </c>
      <c r="D49" s="686" t="s">
        <v>1870</v>
      </c>
      <c r="E49" s="687" t="s">
        <v>1871</v>
      </c>
      <c r="F49" s="688" t="s">
        <v>1872</v>
      </c>
      <c r="G49" s="686" t="s">
        <v>1615</v>
      </c>
      <c r="H49" s="689" t="s">
        <v>1873</v>
      </c>
      <c r="I49" s="686" t="s">
        <v>1874</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1875</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1876</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1877</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1878</v>
      </c>
      <c r="B53" s="698" t="s">
        <v>1879</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1880</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1881</v>
      </c>
      <c r="B55" s="699" t="s">
        <v>1882</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1883</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1884</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1885</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1886</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1867</v>
      </c>
      <c r="B60" s="686"/>
      <c r="C60" s="686" t="s">
        <v>1869</v>
      </c>
      <c r="D60" s="686" t="s">
        <v>1870</v>
      </c>
      <c r="E60" s="687" t="s">
        <v>1871</v>
      </c>
      <c r="F60" s="688" t="s">
        <v>1887</v>
      </c>
      <c r="G60" s="686" t="s">
        <v>1615</v>
      </c>
      <c r="H60" s="689" t="s">
        <v>1873</v>
      </c>
      <c r="I60" s="686" t="s">
        <v>1874</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1888</v>
      </c>
      <c r="B61" s="690">
        <f>估价对象房地状况!C17</f>
        <v>0</v>
      </c>
      <c r="C61" s="564" t="s">
        <v>1371</v>
      </c>
      <c r="D61" s="691">
        <f t="shared" ref="D61:D69" si="12">SUMIF($J$60:$N$60,C61,J61:N61)</f>
        <v>0</v>
      </c>
      <c r="E61" s="692">
        <f>ROUND(SUM(D61:D69),4)</f>
        <v>1.6799999999999999E-2</v>
      </c>
      <c r="F61" s="693" t="str">
        <f>IF(E2="办公",SUMIF(L1:L12,G2,N1:N12),"——")</f>
        <v>——</v>
      </c>
      <c r="G61" s="694">
        <v>1.6199999999999999E-2</v>
      </c>
      <c r="H61" s="695" t="str">
        <f t="shared" ref="H61:H69" si="13">IFERROR(ROUNDDOWN($F$61*I61/2,4),"——")</f>
        <v>——</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1876</v>
      </c>
      <c r="B62" s="686" t="str">
        <f>估价对象房地状况!C18</f>
        <v>一般</v>
      </c>
      <c r="C62" s="564" t="s">
        <v>1371</v>
      </c>
      <c r="D62" s="691">
        <f t="shared" si="12"/>
        <v>0</v>
      </c>
      <c r="E62" s="696"/>
      <c r="F62" s="693"/>
      <c r="G62" s="694">
        <v>1.6899999999999998E-2</v>
      </c>
      <c r="H62" s="695" t="str">
        <f t="shared" si="13"/>
        <v>——</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1877</v>
      </c>
      <c r="B63" s="686">
        <f>估价对象房地状况!C19</f>
        <v>0</v>
      </c>
      <c r="C63" s="564" t="s">
        <v>1371</v>
      </c>
      <c r="D63" s="691">
        <f t="shared" si="12"/>
        <v>0</v>
      </c>
      <c r="E63" s="696"/>
      <c r="F63" s="693"/>
      <c r="G63" s="694">
        <v>7.1000000000000004E-3</v>
      </c>
      <c r="H63" s="695" t="str">
        <f t="shared" si="13"/>
        <v>——</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1878</v>
      </c>
      <c r="B64" s="698" t="s">
        <v>1879</v>
      </c>
      <c r="C64" s="564" t="s">
        <v>1371</v>
      </c>
      <c r="D64" s="691">
        <f t="shared" si="12"/>
        <v>0</v>
      </c>
      <c r="E64" s="696"/>
      <c r="F64" s="693"/>
      <c r="G64" s="694">
        <v>3.2000000000000002E-3</v>
      </c>
      <c r="H64" s="695" t="str">
        <f t="shared" si="13"/>
        <v>——</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1880</v>
      </c>
      <c r="B65" s="686">
        <f>估价对象房地状况!C24</f>
        <v>0</v>
      </c>
      <c r="C65" s="564" t="s">
        <v>1889</v>
      </c>
      <c r="D65" s="691">
        <f t="shared" si="12"/>
        <v>-3.2000000000000002E-3</v>
      </c>
      <c r="E65" s="696"/>
      <c r="F65" s="693"/>
      <c r="G65" s="694">
        <v>3.2000000000000002E-3</v>
      </c>
      <c r="H65" s="695" t="str">
        <f t="shared" si="13"/>
        <v>——</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1881</v>
      </c>
      <c r="B66" s="699" t="s">
        <v>1882</v>
      </c>
      <c r="C66" s="564" t="s">
        <v>1371</v>
      </c>
      <c r="D66" s="691">
        <f t="shared" si="12"/>
        <v>0</v>
      </c>
      <c r="E66" s="696"/>
      <c r="F66" s="693"/>
      <c r="G66" s="694">
        <v>3.8999999999999998E-3</v>
      </c>
      <c r="H66" s="695" t="str">
        <f t="shared" si="13"/>
        <v>——</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1883</v>
      </c>
      <c r="B67" s="701" t="str">
        <f>估价对象房地状况!C21</f>
        <v>一般</v>
      </c>
      <c r="C67" s="564" t="s">
        <v>1374</v>
      </c>
      <c r="D67" s="691">
        <f t="shared" si="12"/>
        <v>3.8999999999999998E-3</v>
      </c>
      <c r="E67" s="696"/>
      <c r="F67" s="693"/>
      <c r="G67" s="694">
        <v>3.8999999999999998E-3</v>
      </c>
      <c r="H67" s="695" t="str">
        <f t="shared" si="13"/>
        <v>——</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1884</v>
      </c>
      <c r="B68" s="701" t="str">
        <f>估价对象房地状况!C22</f>
        <v>七通</v>
      </c>
      <c r="C68" s="564" t="s">
        <v>1890</v>
      </c>
      <c r="D68" s="691">
        <f t="shared" si="12"/>
        <v>1.1599999999999999E-2</v>
      </c>
      <c r="E68" s="696"/>
      <c r="F68" s="693"/>
      <c r="G68" s="694">
        <v>5.7999999999999996E-3</v>
      </c>
      <c r="H68" s="695" t="str">
        <f t="shared" si="13"/>
        <v>——</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1885</v>
      </c>
      <c r="B69" s="823" t="str">
        <f>估价对象房地状况!C20</f>
        <v>一般</v>
      </c>
      <c r="C69" s="564" t="s">
        <v>1374</v>
      </c>
      <c r="D69" s="691">
        <f t="shared" si="12"/>
        <v>4.4999999999999997E-3</v>
      </c>
      <c r="E69" s="704"/>
      <c r="F69" s="693"/>
      <c r="G69" s="694">
        <v>4.4999999999999997E-3</v>
      </c>
      <c r="H69" s="695" t="str">
        <f t="shared" si="13"/>
        <v>——</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1891</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1867</v>
      </c>
      <c r="B71" s="686"/>
      <c r="C71" s="686" t="s">
        <v>1869</v>
      </c>
      <c r="D71" s="686" t="s">
        <v>1870</v>
      </c>
      <c r="E71" s="687" t="s">
        <v>1871</v>
      </c>
      <c r="F71" s="688" t="s">
        <v>1887</v>
      </c>
      <c r="G71" s="686" t="s">
        <v>1615</v>
      </c>
      <c r="H71" s="689" t="s">
        <v>1873</v>
      </c>
      <c r="I71" s="686" t="s">
        <v>1874</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1892</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1876</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1877</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1893</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1883</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1884</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1881</v>
      </c>
      <c r="B78" s="699" t="s">
        <v>1882</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1885</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1894</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1895</v>
      </c>
      <c r="B81" s="680">
        <f>1+E83</f>
        <v>0.99419999999999997</v>
      </c>
      <c r="C81" s="682"/>
      <c r="D81" s="682"/>
      <c r="E81" s="683"/>
      <c r="F81" s="684"/>
      <c r="G81" s="678"/>
      <c r="H81" s="678"/>
      <c r="I81" s="678"/>
      <c r="J81" s="677"/>
      <c r="K81" s="677"/>
      <c r="L81" s="677"/>
      <c r="M81" s="677"/>
      <c r="N81" s="677"/>
      <c r="Z81" s="503"/>
      <c r="AA81" s="501"/>
      <c r="AG81" s="505"/>
      <c r="AK81" s="501"/>
    </row>
    <row r="82" spans="1:37" ht="25.2">
      <c r="A82" s="685" t="s">
        <v>1867</v>
      </c>
      <c r="B82" s="686"/>
      <c r="C82" s="686" t="s">
        <v>1869</v>
      </c>
      <c r="D82" s="686" t="s">
        <v>1870</v>
      </c>
      <c r="E82" s="687" t="s">
        <v>1871</v>
      </c>
      <c r="F82" s="688" t="s">
        <v>1887</v>
      </c>
      <c r="G82" s="686" t="s">
        <v>1615</v>
      </c>
      <c r="H82" s="689" t="s">
        <v>1873</v>
      </c>
      <c r="I82" s="686" t="s">
        <v>1874</v>
      </c>
      <c r="J82" s="790" t="s">
        <v>1416</v>
      </c>
      <c r="K82" s="790" t="s">
        <v>1417</v>
      </c>
      <c r="L82" s="790" t="s">
        <v>1418</v>
      </c>
      <c r="M82" s="790" t="s">
        <v>1419</v>
      </c>
      <c r="N82" s="790" t="s">
        <v>1420</v>
      </c>
      <c r="Z82" s="503"/>
      <c r="AA82" s="501"/>
      <c r="AG82" s="505"/>
      <c r="AK82" s="501"/>
    </row>
    <row r="83" spans="1:37" ht="24">
      <c r="A83" s="685" t="s">
        <v>1896</v>
      </c>
      <c r="B83" s="686">
        <f>估价对象房地状况!G15</f>
        <v>0</v>
      </c>
      <c r="C83" s="564" t="s">
        <v>1371</v>
      </c>
      <c r="D83" s="691">
        <f t="shared" ref="D83:D90" si="22">SUMIF($J$82:$N$82,C83,J83:N83)</f>
        <v>0</v>
      </c>
      <c r="E83" s="692">
        <f>ROUND(SUM(D83:D90),4)</f>
        <v>-5.7999999999999996E-3</v>
      </c>
      <c r="F83" s="693">
        <f>IF(E2="工业",SUMIF(L1:L12,G2,N1:N12),"——")</f>
        <v>0.14399999999999999</v>
      </c>
      <c r="G83" s="694">
        <v>1.8700000000000001E-2</v>
      </c>
      <c r="H83" s="695">
        <f t="shared" ref="H83:H90" si="23">IFERROR(ROUNDDOWN($F$83*I83/2,4),"——")</f>
        <v>1.8700000000000001E-2</v>
      </c>
      <c r="I83" s="791">
        <v>0.26</v>
      </c>
      <c r="J83" s="792">
        <f t="shared" ref="J83:J90" si="24">K83+$G83</f>
        <v>3.7400000000000003E-2</v>
      </c>
      <c r="K83" s="792">
        <f t="shared" ref="K83:K90" si="25">$L83+$G83</f>
        <v>1.8700000000000001E-2</v>
      </c>
      <c r="L83" s="792">
        <v>0</v>
      </c>
      <c r="M83" s="792">
        <f t="shared" ref="M83:N90" si="26">L83-$G83</f>
        <v>-1.8700000000000001E-2</v>
      </c>
      <c r="N83" s="792">
        <f t="shared" si="26"/>
        <v>-3.7400000000000003E-2</v>
      </c>
      <c r="Z83" s="503"/>
      <c r="AA83" s="501"/>
      <c r="AG83" s="505"/>
      <c r="AK83" s="501"/>
    </row>
    <row r="84" spans="1:37" ht="24">
      <c r="A84" s="685" t="s">
        <v>1876</v>
      </c>
      <c r="B84" s="686">
        <f>估价对象房地状况!G16</f>
        <v>0</v>
      </c>
      <c r="C84" s="564" t="s">
        <v>1889</v>
      </c>
      <c r="D84" s="691">
        <f t="shared" si="22"/>
        <v>-2.1600000000000001E-2</v>
      </c>
      <c r="E84" s="824"/>
      <c r="F84" s="693"/>
      <c r="G84" s="694">
        <v>2.1600000000000001E-2</v>
      </c>
      <c r="H84" s="695">
        <f t="shared" si="23"/>
        <v>2.1600000000000001E-2</v>
      </c>
      <c r="I84" s="791">
        <v>0.3</v>
      </c>
      <c r="J84" s="792">
        <f t="shared" si="24"/>
        <v>4.3200000000000002E-2</v>
      </c>
      <c r="K84" s="792">
        <f t="shared" si="25"/>
        <v>2.1600000000000001E-2</v>
      </c>
      <c r="L84" s="792">
        <v>0</v>
      </c>
      <c r="M84" s="792">
        <f t="shared" si="26"/>
        <v>-2.1600000000000001E-2</v>
      </c>
      <c r="N84" s="792">
        <f t="shared" si="26"/>
        <v>-4.3200000000000002E-2</v>
      </c>
      <c r="Z84" s="503"/>
      <c r="AA84" s="501"/>
      <c r="AG84" s="505"/>
      <c r="AK84" s="501"/>
    </row>
    <row r="85" spans="1:37" ht="48">
      <c r="A85" s="697" t="s">
        <v>1877</v>
      </c>
      <c r="B85" s="686">
        <f>估价对象房地状况!G17</f>
        <v>0</v>
      </c>
      <c r="C85" s="564" t="s">
        <v>1374</v>
      </c>
      <c r="D85" s="691">
        <f t="shared" si="22"/>
        <v>7.1999999999999998E-3</v>
      </c>
      <c r="E85" s="824"/>
      <c r="F85" s="693"/>
      <c r="G85" s="694">
        <v>7.1999999999999998E-3</v>
      </c>
      <c r="H85" s="695">
        <f t="shared" si="23"/>
        <v>7.1999999999999998E-3</v>
      </c>
      <c r="I85" s="791">
        <v>0.1</v>
      </c>
      <c r="J85" s="792">
        <f t="shared" si="24"/>
        <v>1.44E-2</v>
      </c>
      <c r="K85" s="792">
        <f t="shared" si="25"/>
        <v>7.1999999999999998E-3</v>
      </c>
      <c r="L85" s="792">
        <v>0</v>
      </c>
      <c r="M85" s="792">
        <f t="shared" si="26"/>
        <v>-7.1999999999999998E-3</v>
      </c>
      <c r="N85" s="792">
        <f t="shared" si="26"/>
        <v>-1.44E-2</v>
      </c>
      <c r="Z85" s="503"/>
      <c r="AA85" s="501"/>
      <c r="AG85" s="505"/>
      <c r="AK85" s="501"/>
    </row>
    <row r="86" spans="1:37" ht="13.8">
      <c r="A86" s="685" t="s">
        <v>1893</v>
      </c>
      <c r="B86" s="686">
        <f>估价对象房地状况!G22</f>
        <v>0</v>
      </c>
      <c r="C86" s="564" t="s">
        <v>1371</v>
      </c>
      <c r="D86" s="691">
        <f t="shared" si="22"/>
        <v>0</v>
      </c>
      <c r="E86" s="824"/>
      <c r="F86" s="693"/>
      <c r="G86" s="694">
        <v>3.5999999999999999E-3</v>
      </c>
      <c r="H86" s="695">
        <f t="shared" si="23"/>
        <v>3.5999999999999999E-3</v>
      </c>
      <c r="I86" s="791">
        <v>0.05</v>
      </c>
      <c r="J86" s="792">
        <f t="shared" si="24"/>
        <v>7.1999999999999998E-3</v>
      </c>
      <c r="K86" s="792">
        <f t="shared" si="25"/>
        <v>3.5999999999999999E-3</v>
      </c>
      <c r="L86" s="792">
        <v>0</v>
      </c>
      <c r="M86" s="792">
        <f t="shared" si="26"/>
        <v>-3.5999999999999999E-3</v>
      </c>
      <c r="N86" s="792">
        <f t="shared" si="26"/>
        <v>-7.1999999999999998E-3</v>
      </c>
      <c r="Z86" s="503"/>
      <c r="AA86" s="501"/>
      <c r="AG86" s="505"/>
      <c r="AK86" s="501"/>
    </row>
    <row r="87" spans="1:37" ht="24">
      <c r="A87" s="685" t="s">
        <v>1883</v>
      </c>
      <c r="B87" s="701">
        <f>估价对象房地状况!G19</f>
        <v>0</v>
      </c>
      <c r="C87" s="564" t="s">
        <v>1889</v>
      </c>
      <c r="D87" s="691">
        <f t="shared" si="22"/>
        <v>-4.3E-3</v>
      </c>
      <c r="E87" s="824"/>
      <c r="F87" s="693"/>
      <c r="G87" s="694">
        <v>4.3E-3</v>
      </c>
      <c r="H87" s="695">
        <f t="shared" si="23"/>
        <v>4.3E-3</v>
      </c>
      <c r="I87" s="791">
        <v>0.06</v>
      </c>
      <c r="J87" s="792">
        <f t="shared" si="24"/>
        <v>8.6E-3</v>
      </c>
      <c r="K87" s="792">
        <f t="shared" si="25"/>
        <v>4.3E-3</v>
      </c>
      <c r="L87" s="792">
        <v>0</v>
      </c>
      <c r="M87" s="792">
        <f t="shared" si="26"/>
        <v>-4.3E-3</v>
      </c>
      <c r="N87" s="792">
        <f t="shared" si="26"/>
        <v>-8.6E-3</v>
      </c>
    </row>
    <row r="88" spans="1:37" ht="24">
      <c r="A88" s="685" t="s">
        <v>1884</v>
      </c>
      <c r="B88" s="701">
        <f>估价对象房地状况!G20</f>
        <v>0</v>
      </c>
      <c r="C88" s="564" t="s">
        <v>1374</v>
      </c>
      <c r="D88" s="691">
        <f t="shared" si="22"/>
        <v>8.6E-3</v>
      </c>
      <c r="E88" s="824"/>
      <c r="F88" s="693"/>
      <c r="G88" s="694">
        <v>8.6E-3</v>
      </c>
      <c r="H88" s="695">
        <f t="shared" si="23"/>
        <v>8.6E-3</v>
      </c>
      <c r="I88" s="791">
        <v>0.12</v>
      </c>
      <c r="J88" s="792">
        <f t="shared" si="24"/>
        <v>1.72E-2</v>
      </c>
      <c r="K88" s="792">
        <f t="shared" si="25"/>
        <v>8.6E-3</v>
      </c>
      <c r="L88" s="792">
        <v>0</v>
      </c>
      <c r="M88" s="792">
        <f t="shared" si="26"/>
        <v>-8.6E-3</v>
      </c>
      <c r="N88" s="792">
        <f t="shared" si="26"/>
        <v>-1.72E-2</v>
      </c>
    </row>
    <row r="89" spans="1:37" ht="36">
      <c r="A89" s="685" t="s">
        <v>1881</v>
      </c>
      <c r="B89" s="699" t="s">
        <v>1897</v>
      </c>
      <c r="C89" s="564" t="s">
        <v>1374</v>
      </c>
      <c r="D89" s="691">
        <f t="shared" si="22"/>
        <v>4.3E-3</v>
      </c>
      <c r="E89" s="824"/>
      <c r="F89" s="693"/>
      <c r="G89" s="694">
        <v>4.3E-3</v>
      </c>
      <c r="H89" s="695">
        <f t="shared" si="23"/>
        <v>4.3E-3</v>
      </c>
      <c r="I89" s="791">
        <v>0.06</v>
      </c>
      <c r="J89" s="792">
        <f t="shared" si="24"/>
        <v>8.6E-3</v>
      </c>
      <c r="K89" s="792">
        <f t="shared" si="25"/>
        <v>4.3E-3</v>
      </c>
      <c r="L89" s="792">
        <v>0</v>
      </c>
      <c r="M89" s="792">
        <f t="shared" si="26"/>
        <v>-4.3E-3</v>
      </c>
      <c r="N89" s="792">
        <f t="shared" si="26"/>
        <v>-8.6E-3</v>
      </c>
    </row>
    <row r="90" spans="1:37" ht="13.8">
      <c r="A90" s="702" t="s">
        <v>1898</v>
      </c>
      <c r="B90" s="827">
        <f>估价对象房地状况!G18</f>
        <v>0</v>
      </c>
      <c r="C90" s="564" t="s">
        <v>1371</v>
      </c>
      <c r="D90" s="691">
        <f t="shared" si="22"/>
        <v>0</v>
      </c>
      <c r="E90" s="826"/>
      <c r="F90" s="693"/>
      <c r="G90" s="694">
        <v>3.5999999999999999E-3</v>
      </c>
      <c r="H90" s="695">
        <f t="shared" si="23"/>
        <v>3.5999999999999999E-3</v>
      </c>
      <c r="I90" s="793">
        <v>0.05</v>
      </c>
      <c r="J90" s="792">
        <f t="shared" si="24"/>
        <v>7.1999999999999998E-3</v>
      </c>
      <c r="K90" s="792">
        <f t="shared" si="25"/>
        <v>3.5999999999999999E-3</v>
      </c>
      <c r="L90" s="792">
        <v>0</v>
      </c>
      <c r="M90" s="792">
        <f t="shared" si="26"/>
        <v>-3.5999999999999999E-3</v>
      </c>
      <c r="N90" s="792">
        <f t="shared" si="26"/>
        <v>-7.1999999999999998E-3</v>
      </c>
    </row>
    <row r="91" spans="1:37" ht="13.8">
      <c r="A91" s="828" t="s">
        <v>280</v>
      </c>
      <c r="B91" s="829">
        <f>1+E93</f>
        <v>1</v>
      </c>
      <c r="C91" s="830"/>
      <c r="D91" s="831"/>
      <c r="E91" s="693"/>
      <c r="F91" s="693"/>
      <c r="G91" s="832"/>
      <c r="H91" s="833"/>
      <c r="I91" s="866"/>
      <c r="J91" s="867"/>
      <c r="K91" s="867"/>
      <c r="L91" s="867"/>
      <c r="M91" s="867"/>
      <c r="N91" s="867"/>
    </row>
    <row r="92" spans="1:37" ht="25.2">
      <c r="A92" s="834" t="s">
        <v>1867</v>
      </c>
      <c r="B92" s="576"/>
      <c r="C92" s="576" t="s">
        <v>1869</v>
      </c>
      <c r="D92" s="576" t="s">
        <v>1870</v>
      </c>
      <c r="E92" s="804" t="s">
        <v>1871</v>
      </c>
      <c r="F92" s="835" t="s">
        <v>1887</v>
      </c>
      <c r="G92" s="576" t="s">
        <v>1615</v>
      </c>
      <c r="H92" s="836" t="s">
        <v>1873</v>
      </c>
      <c r="I92" s="576" t="s">
        <v>1874</v>
      </c>
      <c r="J92" s="868" t="s">
        <v>1416</v>
      </c>
      <c r="K92" s="868" t="s">
        <v>1417</v>
      </c>
      <c r="L92" s="868" t="s">
        <v>1418</v>
      </c>
      <c r="M92" s="868" t="s">
        <v>1419</v>
      </c>
      <c r="N92" s="868" t="s">
        <v>1420</v>
      </c>
    </row>
    <row r="93" spans="1:37" ht="24">
      <c r="A93" s="697" t="s">
        <v>1899</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1876</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1877</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1878</v>
      </c>
      <c r="B96" s="842" t="s">
        <v>1879</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1880</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1881</v>
      </c>
      <c r="B98" s="843" t="s">
        <v>1882</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1883</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1884</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1885</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392" t="s">
        <v>1900</v>
      </c>
      <c r="B103" s="3392"/>
      <c r="C103" s="3392"/>
      <c r="D103" s="3392"/>
      <c r="E103" s="3392"/>
      <c r="F103" s="3392"/>
      <c r="G103" s="3392"/>
      <c r="H103" s="3392"/>
      <c r="I103" s="3392"/>
      <c r="J103" s="3392"/>
      <c r="K103" s="847"/>
      <c r="L103" s="847"/>
      <c r="M103" s="847"/>
      <c r="N103" s="847"/>
    </row>
    <row r="104" spans="1:14">
      <c r="A104" s="3398" t="s">
        <v>1901</v>
      </c>
      <c r="B104" s="3398" t="s">
        <v>1902</v>
      </c>
      <c r="C104" s="849" t="s">
        <v>1903</v>
      </c>
      <c r="D104" s="850"/>
      <c r="E104" s="850"/>
      <c r="F104" s="850"/>
      <c r="G104" s="850"/>
      <c r="H104" s="850"/>
      <c r="I104" s="850"/>
      <c r="J104" s="869"/>
      <c r="K104" s="870"/>
      <c r="L104" s="870"/>
      <c r="M104" s="870"/>
      <c r="N104" s="870"/>
    </row>
    <row r="105" spans="1:14">
      <c r="A105" s="3398"/>
      <c r="B105" s="3398"/>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399" t="s">
        <v>1904</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0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0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0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0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00"/>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01"/>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393" t="s">
        <v>1905</v>
      </c>
      <c r="B113" s="3393"/>
      <c r="C113" s="3393"/>
      <c r="D113" s="3393"/>
      <c r="E113" s="3393"/>
      <c r="F113" s="3393"/>
      <c r="G113" s="3393"/>
      <c r="H113" s="3393"/>
      <c r="I113" s="3393"/>
      <c r="J113" s="339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1906</v>
      </c>
      <c r="B116" s="855">
        <f>G3</f>
        <v>1</v>
      </c>
      <c r="C116" s="856" t="s">
        <v>1907</v>
      </c>
      <c r="D116" s="857">
        <f>SUMPRODUCT((A118:A122=F116)*(B117:M117=H116)*B118:M122)</f>
        <v>0.57150000000000001</v>
      </c>
      <c r="E116" s="509" t="s">
        <v>1726</v>
      </c>
      <c r="F116" s="858" t="str">
        <f>E2</f>
        <v>工业</v>
      </c>
      <c r="G116" s="509" t="s">
        <v>1727</v>
      </c>
      <c r="H116" s="858" t="str">
        <f>G2</f>
        <v>十级</v>
      </c>
      <c r="I116" s="509"/>
      <c r="J116" s="871"/>
      <c r="K116" s="871"/>
      <c r="L116" s="871"/>
      <c r="M116" s="871"/>
      <c r="N116" s="853"/>
    </row>
    <row r="117" spans="1:14">
      <c r="A117" s="859"/>
      <c r="B117" s="860" t="s">
        <v>1908</v>
      </c>
      <c r="C117" s="860" t="s">
        <v>1909</v>
      </c>
      <c r="D117" s="860" t="s">
        <v>1910</v>
      </c>
      <c r="E117" s="861" t="s">
        <v>1911</v>
      </c>
      <c r="F117" s="861" t="s">
        <v>1912</v>
      </c>
      <c r="G117" s="861" t="s">
        <v>1913</v>
      </c>
      <c r="H117" s="862" t="s">
        <v>1914</v>
      </c>
      <c r="I117" s="862" t="s">
        <v>1915</v>
      </c>
      <c r="J117" s="872" t="s">
        <v>1916</v>
      </c>
      <c r="K117" s="872" t="s">
        <v>1917</v>
      </c>
      <c r="L117" s="872" t="s">
        <v>1918</v>
      </c>
      <c r="M117" s="873" t="s">
        <v>1919</v>
      </c>
      <c r="N117" s="853"/>
    </row>
    <row r="118" spans="1:14">
      <c r="A118" s="769" t="s">
        <v>1836</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5">I118</f>
        <v>0.8306</v>
      </c>
      <c r="K118" s="836">
        <f t="shared" si="35"/>
        <v>0.8306</v>
      </c>
      <c r="L118" s="836">
        <f t="shared" si="35"/>
        <v>0.8306</v>
      </c>
      <c r="M118" s="874">
        <f t="shared" si="35"/>
        <v>0.8306</v>
      </c>
      <c r="N118" s="853"/>
    </row>
    <row r="119" spans="1:14">
      <c r="A119" s="769" t="s">
        <v>1837</v>
      </c>
      <c r="B119" s="836">
        <f>ROUND(0.993-0.0112*B116,4)</f>
        <v>0.98180000000000001</v>
      </c>
      <c r="C119" s="836">
        <f>B119</f>
        <v>0.98180000000000001</v>
      </c>
      <c r="D119" s="836">
        <f>ROUND(0.9415-0.0142*B116,4)</f>
        <v>0.92730000000000001</v>
      </c>
      <c r="E119" s="836">
        <f t="shared" ref="E119:H120" si="36">D119</f>
        <v>0.92730000000000001</v>
      </c>
      <c r="F119" s="836">
        <f t="shared" si="36"/>
        <v>0.92730000000000001</v>
      </c>
      <c r="G119" s="836">
        <f t="shared" si="36"/>
        <v>0.92730000000000001</v>
      </c>
      <c r="H119" s="836">
        <f t="shared" si="36"/>
        <v>0.92730000000000001</v>
      </c>
      <c r="I119" s="836">
        <f>ROUND(0.838-0.0182*B116,4)</f>
        <v>0.81979999999999997</v>
      </c>
      <c r="J119" s="836">
        <f t="shared" si="35"/>
        <v>0.81979999999999997</v>
      </c>
      <c r="K119" s="836">
        <f t="shared" si="35"/>
        <v>0.81979999999999997</v>
      </c>
      <c r="L119" s="836">
        <f t="shared" si="35"/>
        <v>0.81979999999999997</v>
      </c>
      <c r="M119" s="874">
        <f t="shared" si="35"/>
        <v>0.81979999999999997</v>
      </c>
      <c r="N119" s="853"/>
    </row>
    <row r="120" spans="1:14">
      <c r="A120" s="769" t="s">
        <v>1838</v>
      </c>
      <c r="B120" s="836">
        <f>ROUND(0.9448-0.0115*B116,4)</f>
        <v>0.93330000000000002</v>
      </c>
      <c r="C120" s="836">
        <f>B120</f>
        <v>0.93330000000000002</v>
      </c>
      <c r="D120" s="836">
        <f>ROUND(0.937-0.0145*B116,4)</f>
        <v>0.92249999999999999</v>
      </c>
      <c r="E120" s="836">
        <f t="shared" si="36"/>
        <v>0.92249999999999999</v>
      </c>
      <c r="F120" s="836">
        <f t="shared" si="36"/>
        <v>0.92249999999999999</v>
      </c>
      <c r="G120" s="836">
        <f t="shared" si="36"/>
        <v>0.92249999999999999</v>
      </c>
      <c r="H120" s="836">
        <f t="shared" si="36"/>
        <v>0.92249999999999999</v>
      </c>
      <c r="I120" s="836">
        <f>ROUND(0.7965-0.0185*B116,4)</f>
        <v>0.77800000000000002</v>
      </c>
      <c r="J120" s="836">
        <f t="shared" si="35"/>
        <v>0.77800000000000002</v>
      </c>
      <c r="K120" s="836">
        <f t="shared" si="35"/>
        <v>0.77800000000000002</v>
      </c>
      <c r="L120" s="836">
        <f t="shared" si="35"/>
        <v>0.77800000000000002</v>
      </c>
      <c r="M120" s="874">
        <f t="shared" si="35"/>
        <v>0.77800000000000002</v>
      </c>
      <c r="N120" s="853"/>
    </row>
    <row r="121" spans="1:14">
      <c r="A121" s="863" t="s">
        <v>1839</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5"/>
        <v>0.57150000000000001</v>
      </c>
      <c r="K121" s="864">
        <f t="shared" si="35"/>
        <v>0.57150000000000001</v>
      </c>
      <c r="L121" s="864">
        <f t="shared" si="35"/>
        <v>0.57150000000000001</v>
      </c>
      <c r="M121" s="875">
        <f t="shared" si="35"/>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7">D122</f>
        <v>0.88200000000000001</v>
      </c>
      <c r="F122" s="836">
        <f t="shared" si="37"/>
        <v>0.88200000000000001</v>
      </c>
      <c r="G122" s="836">
        <f t="shared" si="37"/>
        <v>0.88200000000000001</v>
      </c>
      <c r="H122" s="836">
        <f t="shared" si="37"/>
        <v>0.88200000000000001</v>
      </c>
      <c r="I122" s="836">
        <f>ROUND(0.7632-0.0166*B116,4)</f>
        <v>0.74660000000000004</v>
      </c>
      <c r="J122" s="836">
        <f t="shared" si="35"/>
        <v>0.74660000000000004</v>
      </c>
      <c r="K122" s="836">
        <f t="shared" si="35"/>
        <v>0.74660000000000004</v>
      </c>
      <c r="L122" s="836">
        <f t="shared" si="35"/>
        <v>0.74660000000000004</v>
      </c>
      <c r="M122" s="874">
        <f t="shared" si="35"/>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200" t="str">
        <f>项目基本情况!B1</f>
        <v>北京市平谷区兴谷东路39号房地产抵押价值预评估</v>
      </c>
      <c r="C37" s="3200"/>
      <c r="D37" s="3200"/>
      <c r="E37" s="3200"/>
      <c r="F37" s="3200"/>
      <c r="G37" s="3200"/>
      <c r="H37" s="3200"/>
      <c r="I37" s="3200"/>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P43" sqref="P43"/>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7</v>
      </c>
    </row>
    <row r="2" spans="1:9" s="333" customFormat="1" ht="18" customHeight="1">
      <c r="A2" s="345" t="s">
        <v>997</v>
      </c>
      <c r="B2" s="346">
        <f ca="1">IF(D2="——",C52,C52-E2)</f>
        <v>12595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4583</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4124.8705600000003</v>
      </c>
      <c r="D5" s="355" t="s">
        <v>1004</v>
      </c>
      <c r="E5" s="356" t="s">
        <v>1005</v>
      </c>
      <c r="F5" s="356" t="s">
        <v>900</v>
      </c>
      <c r="G5" s="357"/>
    </row>
    <row r="6" spans="1:9" s="335" customFormat="1" ht="13.5" customHeight="1">
      <c r="A6" s="358" t="s">
        <v>1006</v>
      </c>
      <c r="B6" s="359" t="s">
        <v>1007</v>
      </c>
      <c r="C6" s="360">
        <f>基准地价修正!E33</f>
        <v>3789</v>
      </c>
      <c r="D6" s="361"/>
      <c r="E6" s="362"/>
      <c r="F6" s="362"/>
      <c r="G6" s="363"/>
    </row>
    <row r="7" spans="1:9" s="335" customFormat="1" ht="13.5" customHeight="1">
      <c r="A7" s="358" t="s">
        <v>1008</v>
      </c>
      <c r="B7" s="359" t="s">
        <v>1009</v>
      </c>
      <c r="C7" s="364">
        <f>ROUND(C6*F7,0)</f>
        <v>116</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219.87056000000001</v>
      </c>
      <c r="D8" s="366"/>
      <c r="E8" s="364"/>
      <c r="F8" s="365"/>
      <c r="G8" s="885" t="s">
        <v>1712</v>
      </c>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0</v>
      </c>
      <c r="F9" s="365"/>
      <c r="G9" s="2485" t="s">
        <v>2872</v>
      </c>
      <c r="H9" s="2486"/>
      <c r="I9" s="2487" t="s">
        <v>1014</v>
      </c>
    </row>
    <row r="10" spans="1:9" s="335" customFormat="1" ht="13.5" customHeight="1">
      <c r="A10" s="368" t="s">
        <v>1015</v>
      </c>
      <c r="B10" s="369" t="s">
        <v>1016</v>
      </c>
      <c r="C10" s="370">
        <f ca="1">ROUND(D10*E10/10000,0)</f>
        <v>220</v>
      </c>
      <c r="D10" s="371">
        <f ca="1">IF(B1="",'数据-汇总表'!E6,IF(INDIRECT("'数据-取费表'!c"&amp;$G$1)="住宅",INDIRECT("'数据-取费表'!s"&amp;$G$1),INDIRECT("'数据-取费表'!k"&amp;$G$1)+INDIRECT("'数据-取费表'!s"&amp;$G$1)))</f>
        <v>27483.820000000003</v>
      </c>
      <c r="E10" s="370">
        <f>'数据-取费表'!B28</f>
        <v>80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IF(G19="已包含在土地取得成本中","0",ROUND(D19*E19/10000,0))</f>
        <v>0</v>
      </c>
      <c r="D19" s="356">
        <f ca="1">D9+D10</f>
        <v>27483.820000000003</v>
      </c>
      <c r="E19" s="355">
        <f>'数据-取费表'!B31</f>
        <v>200</v>
      </c>
      <c r="F19" s="377"/>
      <c r="G19" s="885" t="s">
        <v>1713</v>
      </c>
    </row>
    <row r="20" spans="1:7" s="335" customFormat="1" ht="13.5" customHeight="1">
      <c r="A20" s="353" t="s">
        <v>1035</v>
      </c>
      <c r="B20" s="354" t="s">
        <v>1036</v>
      </c>
      <c r="C20" s="378">
        <f>ROUND((C5+C19)*F20,0)</f>
        <v>82</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125</v>
      </c>
      <c r="D22" s="381">
        <f ca="1">C26</f>
        <v>2.9999999999999997E-4</v>
      </c>
      <c r="E22" s="382" t="s">
        <v>1040</v>
      </c>
      <c r="F22" s="385">
        <f ca="1">'数据-取费表'!B40</f>
        <v>0.03</v>
      </c>
      <c r="G22" s="383" t="str">
        <f>IF('数据-取费表'!B22&lt;=1,"单利计息","复利计息")</f>
        <v>单利计息</v>
      </c>
    </row>
    <row r="23" spans="1:7" s="335" customFormat="1" ht="13.5" customHeight="1">
      <c r="A23" s="386" t="s">
        <v>1006</v>
      </c>
      <c r="B23" s="359" t="s">
        <v>1044</v>
      </c>
      <c r="C23" s="387">
        <f ca="1">ROUND(IF('数据-取费表'!B22&lt;=1,C5*F22*'数据-取费表'!B23,C5*(POWER((1+F22),'数据-取费表'!B23)-1)),0)</f>
        <v>124</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1</v>
      </c>
      <c r="D25" s="388"/>
      <c r="E25" s="391"/>
      <c r="F25" s="389"/>
      <c r="G25" s="392" t="s">
        <v>1049</v>
      </c>
    </row>
    <row r="26" spans="1:7" s="335" customFormat="1">
      <c r="A26" s="386" t="s">
        <v>1050</v>
      </c>
      <c r="B26" s="359" t="s">
        <v>1051</v>
      </c>
      <c r="C26" s="388">
        <f ca="1">ROUND(IF('数据-取费表'!B22&lt;=1,F21*F22*'数据-取费表'!B23/2,F21*(POWER((1+F22),'数据-取费表'!B23/2)-1)),4)</f>
        <v>2.9999999999999997E-4</v>
      </c>
      <c r="D26" s="388"/>
      <c r="E26" s="391"/>
      <c r="F26" s="389"/>
      <c r="G26" s="393"/>
    </row>
    <row r="27" spans="1:7" s="335" customFormat="1" ht="26.4">
      <c r="A27" s="353" t="s">
        <v>1052</v>
      </c>
      <c r="B27" s="394" t="s">
        <v>1053</v>
      </c>
      <c r="C27" s="395">
        <f ca="1">C28</f>
        <v>210</v>
      </c>
      <c r="D27" s="381">
        <f ca="1">C29</f>
        <v>1E-3</v>
      </c>
      <c r="E27" s="382" t="s">
        <v>1040</v>
      </c>
      <c r="F27" s="396">
        <f ca="1">IF(B1="",'数据-取费表'!Q16,INDIRECT("'数据-取费表'!q"&amp;$G$1))</f>
        <v>0.05</v>
      </c>
      <c r="G27" s="397" t="s">
        <v>1054</v>
      </c>
    </row>
    <row r="28" spans="1:7" s="335" customFormat="1" ht="13.5" customHeight="1">
      <c r="A28" s="386" t="s">
        <v>1006</v>
      </c>
      <c r="B28" s="398" t="s">
        <v>1055</v>
      </c>
      <c r="C28" s="399">
        <f ca="1">ROUND((C5+C19+C20)*F27*'数据-取费表'!B21/'数据-取费表'!B20,0)</f>
        <v>210</v>
      </c>
      <c r="D28" s="381"/>
      <c r="E28" s="382"/>
      <c r="F28" s="396"/>
      <c r="G28" s="397"/>
    </row>
    <row r="29" spans="1:7" s="335" customFormat="1" ht="13.5" customHeight="1">
      <c r="A29" s="386" t="s">
        <v>1008</v>
      </c>
      <c r="B29" s="398" t="s">
        <v>1056</v>
      </c>
      <c r="C29" s="388">
        <f ca="1">ROUND(C21*F27*'数据-取费表'!B21/'数据-取费表'!B20,4)</f>
        <v>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4903</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7902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6871</v>
      </c>
      <c r="D34" s="361"/>
      <c r="E34" s="364"/>
      <c r="F34" s="407">
        <f ca="1">IF('数据-取费表'!B24=0,1,IF(B1="",'数据-取费表'!N16,INDIRECT("'数据-取费表'!n"&amp;$G$1)))</f>
        <v>1</v>
      </c>
      <c r="G34" s="363" t="s">
        <v>1065</v>
      </c>
    </row>
    <row r="35" spans="1:7" ht="13.5" customHeight="1">
      <c r="A35" s="386" t="s">
        <v>1008</v>
      </c>
      <c r="B35" s="359" t="s">
        <v>1066</v>
      </c>
      <c r="C35" s="364">
        <f ca="1">ROUND(C34*F35,0)</f>
        <v>344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550</v>
      </c>
      <c r="D37" s="361">
        <f ca="1">D19</f>
        <v>27483.820000000003</v>
      </c>
      <c r="E37" s="399">
        <f>'数据-取费表'!B35</f>
        <v>200</v>
      </c>
      <c r="F37" s="408"/>
      <c r="G37" s="410" t="s">
        <v>1071</v>
      </c>
    </row>
    <row r="38" spans="1:7" ht="13.5" customHeight="1">
      <c r="A38" s="386" t="s">
        <v>1072</v>
      </c>
      <c r="B38" s="359" t="s">
        <v>937</v>
      </c>
      <c r="C38" s="364">
        <f ca="1">ROUND(C34*F38,0)</f>
        <v>137</v>
      </c>
      <c r="D38" s="364"/>
      <c r="E38" s="364"/>
      <c r="F38" s="408">
        <f>'数据-取费表'!B36</f>
        <v>0.02</v>
      </c>
      <c r="G38" s="363" t="s">
        <v>1067</v>
      </c>
    </row>
    <row r="39" spans="1:7" s="335" customFormat="1" ht="13.5" customHeight="1">
      <c r="A39" s="353" t="s">
        <v>1033</v>
      </c>
      <c r="B39" s="354" t="s">
        <v>1036</v>
      </c>
      <c r="C39" s="378">
        <f ca="1">ROUND(C33*F20,0)</f>
        <v>158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121</v>
      </c>
      <c r="D41" s="381">
        <f ca="1">C44</f>
        <v>2.9999999999999997E-4</v>
      </c>
      <c r="E41" s="382" t="s">
        <v>1074</v>
      </c>
      <c r="F41" s="385">
        <f ca="1">F22</f>
        <v>0.03</v>
      </c>
      <c r="G41" s="383" t="str">
        <f>IF('数据-取费表'!B22&lt;=1,"单利计息","复利计息")</f>
        <v>单利计息</v>
      </c>
    </row>
    <row r="42" spans="1:7" ht="13.5" customHeight="1">
      <c r="A42" s="386" t="s">
        <v>1006</v>
      </c>
      <c r="B42" s="359" t="s">
        <v>1044</v>
      </c>
      <c r="C42" s="388">
        <f ca="1">ROUND(IF('数据-取费表'!B22&lt;=1,C33*F22*'数据-取费表'!B21/2,C33*(POWER((1+F22),'数据-取费表'!B21/2)-1)),0)</f>
        <v>119</v>
      </c>
      <c r="D42" s="388"/>
      <c r="E42" s="388"/>
      <c r="F42" s="389"/>
      <c r="G42" s="3403" t="s">
        <v>1076</v>
      </c>
    </row>
    <row r="43" spans="1:7" ht="13.5" customHeight="1">
      <c r="A43" s="386" t="s">
        <v>1008</v>
      </c>
      <c r="B43" s="359" t="s">
        <v>1046</v>
      </c>
      <c r="C43" s="388">
        <f ca="1">ROUND(IF('数据-取费表'!B22&lt;=1,C39*F22*'数据-取费表'!B21/2,C39*(POWER((1+F22),'数据-取费表'!B21/2)-1)),0)</f>
        <v>2</v>
      </c>
      <c r="D43" s="388"/>
      <c r="E43" s="388"/>
      <c r="F43" s="389"/>
      <c r="G43" s="3404"/>
    </row>
    <row r="44" spans="1:7" ht="13.5" customHeight="1">
      <c r="A44" s="386" t="s">
        <v>1010</v>
      </c>
      <c r="B44" s="359" t="s">
        <v>1048</v>
      </c>
      <c r="C44" s="388">
        <f ca="1">ROUND(IF('数据-取费表'!B22&lt;=1,C40*F22*'数据-取费表'!B21/2,C40*(POWER((1+F22),'数据-取费表'!B21/2)-1)),4)</f>
        <v>2.9999999999999997E-4</v>
      </c>
      <c r="D44" s="388"/>
      <c r="E44" s="388"/>
      <c r="F44" s="389"/>
      <c r="G44" s="3405"/>
    </row>
    <row r="45" spans="1:7" s="335" customFormat="1" ht="13.5" customHeight="1">
      <c r="A45" s="353" t="s">
        <v>1042</v>
      </c>
      <c r="B45" s="394" t="s">
        <v>1053</v>
      </c>
      <c r="C45" s="395">
        <f ca="1">C46</f>
        <v>403</v>
      </c>
      <c r="D45" s="381">
        <f ca="1">C47</f>
        <v>1E-3</v>
      </c>
      <c r="E45" s="382" t="s">
        <v>1074</v>
      </c>
      <c r="F45" s="396">
        <f ca="1">F27</f>
        <v>0.05</v>
      </c>
      <c r="G45" s="397" t="s">
        <v>1077</v>
      </c>
    </row>
    <row r="46" spans="1:7" s="335" customFormat="1" ht="13.5" customHeight="1">
      <c r="A46" s="386" t="s">
        <v>1006</v>
      </c>
      <c r="B46" s="398" t="s">
        <v>1078</v>
      </c>
      <c r="C46" s="399">
        <f ca="1">ROUND((C33+C39)*F27,0)</f>
        <v>403</v>
      </c>
      <c r="D46" s="412"/>
      <c r="E46" s="382"/>
      <c r="F46" s="396"/>
      <c r="G46" s="397"/>
    </row>
    <row r="47" spans="1:7" s="335" customFormat="1" ht="13.5" customHeight="1">
      <c r="A47" s="386" t="s">
        <v>1008</v>
      </c>
      <c r="B47" s="398" t="s">
        <v>1079</v>
      </c>
      <c r="C47" s="388">
        <f ca="1">ROUND(C40*F27,4)</f>
        <v>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9267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7692</v>
      </c>
      <c r="D51" s="378"/>
      <c r="E51" s="378"/>
      <c r="F51" s="413"/>
      <c r="G51" s="383" t="s">
        <v>1088</v>
      </c>
    </row>
    <row r="52" spans="1:7" s="334" customFormat="1" ht="16.2">
      <c r="A52" s="414" t="s">
        <v>1089</v>
      </c>
      <c r="B52" s="415"/>
      <c r="C52" s="416">
        <f ca="1">C31+C51</f>
        <v>12595</v>
      </c>
      <c r="D52" s="415"/>
      <c r="E52" s="415"/>
      <c r="F52" s="415"/>
      <c r="G52" s="417"/>
    </row>
    <row r="55" spans="1:7" ht="15">
      <c r="B55" s="418" t="s">
        <v>1090</v>
      </c>
      <c r="C55" s="419"/>
    </row>
    <row r="56" spans="1:7">
      <c r="B56" s="420" t="s">
        <v>1091</v>
      </c>
      <c r="C56" s="422">
        <f ca="1">1-C57</f>
        <v>0.38900000000000001</v>
      </c>
    </row>
    <row r="57" spans="1:7">
      <c r="B57" s="420" t="s">
        <v>1092</v>
      </c>
      <c r="C57" s="421">
        <f ca="1">ROUND(C51/C52,3)</f>
        <v>0.61099999999999999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7</v>
      </c>
    </row>
    <row r="2" spans="1:33" ht="18" customHeight="1">
      <c r="A2" s="345" t="s">
        <v>997</v>
      </c>
      <c r="B2" s="349">
        <f ca="1">C32</f>
        <v>0</v>
      </c>
      <c r="C2" s="2409" t="s">
        <v>1094</v>
      </c>
      <c r="D2" s="2409"/>
      <c r="E2" s="2407"/>
      <c r="F2" s="2407"/>
      <c r="G2" s="2407"/>
      <c r="H2" s="2407"/>
      <c r="I2" s="2407"/>
      <c r="J2" s="2407"/>
      <c r="K2" s="2407"/>
    </row>
    <row r="3" spans="1:33" ht="18" customHeight="1">
      <c r="A3" s="348" t="s">
        <v>999</v>
      </c>
      <c r="B3" s="349">
        <f ca="1">ROUND(B2*10000/IF(C1="",'数据-汇总表'!E3,INDIRECT("'数据-取费表'!K"&amp;$K$1)),0)</f>
        <v>0</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27483.820000000003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27483.820000000003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0.12943999999998823</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0</v>
      </c>
      <c r="F19" s="2432"/>
      <c r="G19" s="2005"/>
      <c r="H19" s="2438"/>
      <c r="I19" s="2263"/>
      <c r="J19" s="2263"/>
      <c r="K19" s="2481"/>
    </row>
    <row r="20" spans="1:33" s="2398" customFormat="1" ht="13.5" customHeight="1">
      <c r="A20" s="2426" t="s">
        <v>1015</v>
      </c>
      <c r="B20" s="2427" t="s">
        <v>1124</v>
      </c>
      <c r="C20" s="1469">
        <f ca="1">ROUND(D20*E20/10000,0)</f>
        <v>220</v>
      </c>
      <c r="D20" s="2431">
        <f ca="1">IF(C1="",'数据-汇总表'!E6,IF(INDIRECT("'数据-取费表'!c"&amp;$K$1)="住宅",INDIRECT("'数据-取费表'!s"&amp;$K$1),INDIRECT("'数据-取费表'!k"&amp;$K$1)+INDIRECT("'数据-取费表'!s"&amp;$K$1)))</f>
        <v>27483.820000000003</v>
      </c>
      <c r="E20" s="1469">
        <f>'数据-取费表'!B28</f>
        <v>80</v>
      </c>
      <c r="F20" s="2432"/>
      <c r="G20" s="2005"/>
      <c r="H20" s="2263"/>
      <c r="I20" s="2263"/>
      <c r="J20" s="2263"/>
      <c r="K20" s="2481"/>
    </row>
    <row r="21" spans="1:33" s="2398" customFormat="1" ht="13.5" customHeight="1">
      <c r="A21" s="2415" t="s">
        <v>905</v>
      </c>
      <c r="B21" s="2439" t="s">
        <v>1125</v>
      </c>
      <c r="C21" s="2440">
        <f ca="1">C16+C17+C18</f>
        <v>0.12943999999998823</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单利计息。后续开发成本、管理费用及销售费用产生的利息。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（(1)+取得税费率/(1+5%)）×年利率×建设期</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（1）-（3）项×年利率×建设期÷2</v>
      </c>
      <c r="H27" s="2006"/>
      <c r="I27" s="2006"/>
      <c r="J27" s="2006"/>
      <c r="K27" s="2007"/>
    </row>
    <row r="28" spans="1:33" s="2401" customFormat="1" ht="13.5" customHeight="1">
      <c r="A28" s="2415" t="s">
        <v>964</v>
      </c>
      <c r="B28" s="2456" t="s">
        <v>1137</v>
      </c>
      <c r="C28" s="2457">
        <f ca="1">C30</f>
        <v>0</v>
      </c>
      <c r="D28" s="2444">
        <f ca="1">C29</f>
        <v>0</v>
      </c>
      <c r="E28" s="2447" t="s">
        <v>1132</v>
      </c>
      <c r="F28" s="1133">
        <f ca="1">IF(C1="",'数据-取费表'!Q16,INDIRECT("'数据-取费表'!q"&amp;$K$1))</f>
        <v>0.05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0</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28" zoomScale="70" zoomScaleNormal="70" workbookViewId="0">
      <selection activeCell="F41" sqref="F4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t="s">
        <v>408</v>
      </c>
      <c r="D1" s="1827" t="s">
        <v>124</v>
      </c>
      <c r="E1" s="1828" t="s">
        <v>1147</v>
      </c>
      <c r="F1" s="1829">
        <f ca="1">J53</f>
        <v>37.659999999999997</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f ca="1">C40+J29+L46</f>
        <v>17763</v>
      </c>
      <c r="C2" s="1833" t="s">
        <v>1149</v>
      </c>
      <c r="D2" s="1833"/>
      <c r="E2" s="1835"/>
      <c r="F2" s="1836"/>
      <c r="G2" s="1837"/>
      <c r="H2" s="1838"/>
      <c r="I2" s="1838"/>
      <c r="J2" s="1838"/>
      <c r="K2" s="1993"/>
      <c r="L2" s="1838"/>
      <c r="M2" s="1838"/>
    </row>
    <row r="3" spans="1:37" ht="18" customHeight="1">
      <c r="A3" s="1839" t="s">
        <v>1150</v>
      </c>
      <c r="B3" s="1840">
        <f ca="1">IF(ISERROR(B2*10000/F43),0,ROUND(B2*10000/F43,0))</f>
        <v>6463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1084</v>
      </c>
      <c r="D5" s="1849" t="s">
        <v>1159</v>
      </c>
      <c r="E5" s="1850"/>
      <c r="F5" s="1851"/>
      <c r="G5" s="714"/>
      <c r="H5" s="1846">
        <v>1</v>
      </c>
      <c r="I5" s="1847" t="s">
        <v>1158</v>
      </c>
      <c r="J5" s="1848">
        <f ca="1">J6+J10+J12</f>
        <v>0</v>
      </c>
      <c r="K5" s="1849" t="s">
        <v>1159</v>
      </c>
      <c r="L5" s="1850"/>
      <c r="M5" s="1851"/>
    </row>
    <row r="6" spans="1:37" ht="18" customHeight="1">
      <c r="A6" s="1852" t="s">
        <v>905</v>
      </c>
      <c r="B6" s="3408" t="s">
        <v>1160</v>
      </c>
      <c r="C6" s="1853">
        <f ca="1">ROUND(F6*F8*F7*(1-F9)/10000,0)</f>
        <v>1083</v>
      </c>
      <c r="D6" s="1854" t="s">
        <v>1161</v>
      </c>
      <c r="E6" s="1855" t="s">
        <v>1162</v>
      </c>
      <c r="F6" s="1856">
        <f ca="1">INDIRECT("'数据-取费表'!u"&amp;$G$1)</f>
        <v>1.2</v>
      </c>
      <c r="G6" s="714"/>
      <c r="H6" s="1852" t="s">
        <v>905</v>
      </c>
      <c r="I6" s="3408" t="s">
        <v>1160</v>
      </c>
      <c r="J6" s="1926">
        <f ca="1">ROUND(M6*M8*M7*(1-M9)/10000,0)</f>
        <v>0</v>
      </c>
      <c r="K6" s="1854" t="s">
        <v>1163</v>
      </c>
      <c r="L6" s="1855" t="s">
        <v>1162</v>
      </c>
      <c r="M6" s="1856">
        <f ca="1">INDIRECT("'数据-取费表'!z"&amp;$G$1)</f>
        <v>0</v>
      </c>
    </row>
    <row r="7" spans="1:37" ht="18" customHeight="1">
      <c r="A7" s="1857"/>
      <c r="B7" s="3409"/>
      <c r="C7" s="1858"/>
      <c r="D7" s="1859"/>
      <c r="E7" s="1860" t="s">
        <v>1164</v>
      </c>
      <c r="F7" s="1856">
        <f ca="1">IF(INDIRECT("'数据-取费表'!ah"&amp;$G$1)="",INDIRECT("'数据-取费表'!k"&amp;$G$1),INDIRECT("'数据-取费表'!ah"&amp;$G$1))</f>
        <v>27483.820000000003</v>
      </c>
      <c r="G7" s="714"/>
      <c r="H7" s="1861"/>
      <c r="I7" s="3409"/>
      <c r="J7" s="1862"/>
      <c r="K7" s="1859"/>
      <c r="L7" s="1855" t="s">
        <v>1164</v>
      </c>
      <c r="M7" s="1856">
        <f ca="1">F7</f>
        <v>27483.820000000003</v>
      </c>
    </row>
    <row r="8" spans="1:37" ht="18" customHeight="1">
      <c r="A8" s="1861"/>
      <c r="B8" s="3409"/>
      <c r="C8" s="1862"/>
      <c r="D8" s="1859"/>
      <c r="E8" s="1855" t="s">
        <v>1165</v>
      </c>
      <c r="F8" s="1856">
        <f ca="1">INDIRECT("'数据-取费表'!ai"&amp;$G$1)</f>
        <v>365</v>
      </c>
      <c r="G8" s="714"/>
      <c r="H8" s="1861"/>
      <c r="I8" s="3409"/>
      <c r="J8" s="1862"/>
      <c r="K8" s="1859"/>
      <c r="L8" s="1855" t="s">
        <v>1165</v>
      </c>
      <c r="M8" s="1856">
        <f ca="1">INDIRECT("'数据-取费表'!ai"&amp;$G$1)</f>
        <v>365</v>
      </c>
    </row>
    <row r="9" spans="1:37" ht="18" customHeight="1">
      <c r="A9" s="1861"/>
      <c r="B9" s="3410"/>
      <c r="C9" s="1862"/>
      <c r="D9" s="1859"/>
      <c r="E9" s="1855" t="s">
        <v>1166</v>
      </c>
      <c r="F9" s="1863">
        <f ca="1">INDIRECT("'数据-取费表'!w"&amp;$G$1)</f>
        <v>0.1</v>
      </c>
      <c r="G9" s="714"/>
      <c r="H9" s="1861"/>
      <c r="I9" s="3410"/>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1</v>
      </c>
      <c r="D10" s="1865" t="s">
        <v>1168</v>
      </c>
      <c r="E10" s="1866" t="s">
        <v>1169</v>
      </c>
      <c r="F10" s="1867" t="s">
        <v>1441</v>
      </c>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7692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6871</v>
      </c>
      <c r="D14" s="1886" t="s">
        <v>1177</v>
      </c>
      <c r="E14" s="1887"/>
      <c r="F14" s="1888"/>
      <c r="G14" s="714"/>
      <c r="H14" s="1884" t="s">
        <v>905</v>
      </c>
      <c r="I14" s="1855" t="s">
        <v>1178</v>
      </c>
      <c r="J14" s="1469">
        <f ca="1">C29</f>
        <v>9267</v>
      </c>
      <c r="K14" s="2005"/>
      <c r="L14" s="2006"/>
      <c r="M14" s="2007"/>
    </row>
    <row r="15" spans="1:37" s="1823" customFormat="1" ht="18" customHeight="1">
      <c r="A15" s="1884" t="s">
        <v>933</v>
      </c>
      <c r="B15" s="1855" t="s">
        <v>1107</v>
      </c>
      <c r="C15" s="1469">
        <f ca="1">ROUND(C14*F15,0)</f>
        <v>344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28</v>
      </c>
      <c r="K16" s="1904" t="s">
        <v>1183</v>
      </c>
      <c r="L16" s="1905"/>
      <c r="M16" s="1851"/>
    </row>
    <row r="17" spans="1:37" s="1823" customFormat="1" ht="18" customHeight="1">
      <c r="A17" s="1884" t="s">
        <v>1184</v>
      </c>
      <c r="B17" s="1855" t="s">
        <v>1185</v>
      </c>
      <c r="C17" s="1469">
        <f ca="1">ROUND(F17*(F43+INDIRECT("'数据-取费表'!S"&amp;$G$1))/10000,0)</f>
        <v>550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137</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7902</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158</v>
      </c>
      <c r="D20" s="1896" t="s">
        <v>1199</v>
      </c>
      <c r="E20" s="1855" t="s">
        <v>1180</v>
      </c>
      <c r="F20" s="1893">
        <f>'数据-取费表'!B37</f>
        <v>0.02</v>
      </c>
      <c r="G20" s="1891"/>
      <c r="H20" s="1884" t="s">
        <v>936</v>
      </c>
      <c r="I20" s="1854" t="s">
        <v>1200</v>
      </c>
      <c r="J20" s="1913">
        <f ca="1">ROUND(M20*M21/10000,2)</f>
        <v>8.48</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56554.63</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单利计息。建造成本、管理费用、销售费用产生的利息。</v>
      </c>
      <c r="E22" s="1471"/>
      <c r="F22" s="1894"/>
      <c r="G22" s="714"/>
      <c r="H22" s="1884" t="s">
        <v>909</v>
      </c>
      <c r="I22" s="1855" t="s">
        <v>1208</v>
      </c>
      <c r="J22" s="1469">
        <f ca="1">ROUND(J14*M22,2)</f>
        <v>27.8</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121</v>
      </c>
      <c r="D23" s="1418" t="str">
        <f>IF(F23&lt;=1,"(建造成本+管理费用)×利率×(建设周期÷2)","(建造成本+管理费用)×((1+利率)^(建设周期÷2)-1)")</f>
        <v>(建造成本+管理费用)×利率×(建设周期÷2)</v>
      </c>
      <c r="E23" s="1855" t="s">
        <v>1211</v>
      </c>
      <c r="F23" s="1898">
        <f>'数据-取费表'!B20</f>
        <v>1</v>
      </c>
      <c r="G23" s="1891"/>
      <c r="H23" s="1884" t="s">
        <v>956</v>
      </c>
      <c r="I23" s="1855" t="s">
        <v>1212</v>
      </c>
      <c r="J23" s="1469">
        <f ca="1">ROUND(J13*M23,2)</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2.9999999999999997E-4</v>
      </c>
      <c r="D24" s="1418" t="str">
        <f>IF(F23&lt;=1,"销售费用×利率×(建设周期÷2)","销售费用×((1+利率)^(建设周期÷2)-1)")</f>
        <v>销售费用×利率×(建设周期÷2)</v>
      </c>
      <c r="E24" s="1855" t="s">
        <v>1215</v>
      </c>
      <c r="F24" s="1899">
        <f ca="1">'数据-取费表'!B40</f>
        <v>0.03</v>
      </c>
      <c r="G24" s="1891"/>
      <c r="H24" s="1892" t="s">
        <v>959</v>
      </c>
      <c r="I24" s="1877" t="s">
        <v>1198</v>
      </c>
      <c r="J24" s="1900">
        <f ca="1">ROUND(J5*M24,2)</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-28</v>
      </c>
      <c r="K25" s="1923" t="s">
        <v>1221</v>
      </c>
      <c r="L25" s="1924"/>
      <c r="M25" s="1925"/>
    </row>
    <row r="26" spans="1:37">
      <c r="A26" s="1884" t="s">
        <v>928</v>
      </c>
      <c r="B26" s="1855" t="s">
        <v>1222</v>
      </c>
      <c r="C26" s="1469">
        <f ca="1">ROUND((C19+C20)*F26,0)</f>
        <v>403</v>
      </c>
      <c r="D26" s="1896" t="s">
        <v>1223</v>
      </c>
      <c r="E26" s="1866" t="s">
        <v>1224</v>
      </c>
      <c r="F26" s="1863">
        <f ca="1">INDIRECT("'数据-取费表'!q"&amp;$G$1)</f>
        <v>0.05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9267</v>
      </c>
      <c r="D29" s="1901"/>
      <c r="E29" s="1877"/>
      <c r="F29" s="1902"/>
      <c r="G29" s="1891"/>
      <c r="H29" s="1903" t="s">
        <v>1237</v>
      </c>
      <c r="I29" s="1932" t="s">
        <v>1238</v>
      </c>
      <c r="J29" s="1933">
        <f ca="1">ROUND(J26/(1+F40)^F41,0)</f>
        <v>0</v>
      </c>
      <c r="K29" s="1934" t="s">
        <v>1239</v>
      </c>
      <c r="L29" s="1935"/>
      <c r="M29" s="1936">
        <f ca="1">INDIRECT("'数据-取费表'!k"&amp;$G$1)</f>
        <v>27483.820000000003</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170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123.77</v>
      </c>
      <c r="D31" s="1886" t="s">
        <v>1189</v>
      </c>
      <c r="E31" s="1908" t="s">
        <v>1190</v>
      </c>
      <c r="F31" s="1909">
        <f ca="1">IF(项目基本情况!B11="企业","——",IF(M47="住宅",IF(F6*F7*F8/12/(1+'数据-取费表'!F30)&gt;100000,4%,2.5%),IF(F6*F7*F8/12/(1+'数据-取费表'!F30)&gt;100000,12%,7%)))</f>
        <v>0.12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56554.63</v>
      </c>
      <c r="G35" s="714"/>
      <c r="H35" s="1906"/>
      <c r="I35" s="2012"/>
      <c r="J35" s="2013"/>
      <c r="K35" s="2016"/>
      <c r="L35" s="1912"/>
      <c r="M35" s="1912"/>
    </row>
    <row r="36" spans="1:18" ht="18" customHeight="1">
      <c r="A36" s="1919" t="s">
        <v>909</v>
      </c>
      <c r="B36" s="1855" t="s">
        <v>1208</v>
      </c>
      <c r="C36" s="1469">
        <f ca="1">ROUND(C29*F36,2)</f>
        <v>27.8</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ROUND(C13*F37,2)</f>
        <v>7.69</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ROUND(C5*F38,2)</f>
        <v>10.84</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914</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17520</v>
      </c>
      <c r="D40" s="1914" t="s">
        <v>1227</v>
      </c>
      <c r="E40" s="1855" t="s">
        <v>1228</v>
      </c>
      <c r="F40" s="1863">
        <f ca="1">INDIRECT("'数据-取费表'!I"&amp;$G$1)</f>
        <v>5.5E-2</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37.659999999999997</v>
      </c>
      <c r="G41" s="714"/>
      <c r="H41" s="1458"/>
      <c r="I41" s="2012"/>
      <c r="J41" s="2013"/>
      <c r="K41" s="2019"/>
      <c r="L41" s="1458"/>
      <c r="M41" s="1458"/>
    </row>
    <row r="42" spans="1:18" ht="18" customHeight="1">
      <c r="A42" s="1868"/>
      <c r="B42" s="1931"/>
      <c r="C42" s="1881"/>
      <c r="D42" s="1918"/>
      <c r="E42" s="1855" t="s">
        <v>1235</v>
      </c>
      <c r="F42" s="1863">
        <f ca="1">INDIRECT("'数据-取费表'!v"&amp;$G$1)</f>
        <v>1.4999999999999999E-2</v>
      </c>
      <c r="G42" s="714"/>
      <c r="H42" s="1458"/>
      <c r="I42" s="2012"/>
      <c r="J42" s="2013"/>
      <c r="K42" s="2019"/>
      <c r="L42" s="1458"/>
      <c r="M42" s="1458"/>
    </row>
    <row r="43" spans="1:18" ht="18" customHeight="1">
      <c r="A43" s="1903" t="s">
        <v>1237</v>
      </c>
      <c r="B43" s="1932" t="s">
        <v>1243</v>
      </c>
      <c r="C43" s="1933">
        <f ca="1">ROUND(C40*10000/F43,0)</f>
        <v>6375</v>
      </c>
      <c r="D43" s="1934" t="s">
        <v>1244</v>
      </c>
      <c r="E43" s="1935" t="s">
        <v>1245</v>
      </c>
      <c r="F43" s="1936">
        <f ca="1">INDIRECT("'数据-取费表'!k"&amp;$G$1)</f>
        <v>27483.820000000003</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f ca="1">C68-C40</f>
        <v>-18072</v>
      </c>
      <c r="D46" s="1944" t="str">
        <f>C2</f>
        <v>万元</v>
      </c>
      <c r="E46" s="1937"/>
      <c r="F46" s="1937"/>
      <c r="I46" s="2022" t="s">
        <v>1248</v>
      </c>
      <c r="J46" s="2023"/>
      <c r="K46" s="2024"/>
      <c r="L46" s="2025">
        <f ca="1">IF(M47="住宅",0,IF(L48&gt;J51,L60,J60))</f>
        <v>243</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t="s">
        <v>1336</v>
      </c>
      <c r="K47" s="2030" t="s">
        <v>1254</v>
      </c>
      <c r="L47" s="2031">
        <f ca="1">INDIRECT("'数据-取费表'!d"&amp;$G$1)</f>
        <v>50</v>
      </c>
      <c r="M47" s="2032" t="str">
        <f>IF(ISNUMBER(FIND("住宅",C1)),"住宅","非住宅")</f>
        <v>非住宅</v>
      </c>
      <c r="O47" s="2033" t="s">
        <v>1012</v>
      </c>
      <c r="P47" s="2034" t="s">
        <v>1255</v>
      </c>
      <c r="Q47" s="2070">
        <f ca="1">C40+J29</f>
        <v>17520</v>
      </c>
      <c r="R47" s="2070" t="s">
        <v>1256</v>
      </c>
    </row>
    <row r="48" spans="1:18" s="714" customFormat="1" ht="39.6">
      <c r="A48" s="1949" t="s">
        <v>1257</v>
      </c>
      <c r="B48" s="1847" t="s">
        <v>1158</v>
      </c>
      <c r="C48" s="1470">
        <f ca="1">C49+C53+C55</f>
        <v>0</v>
      </c>
      <c r="D48" s="1950"/>
      <c r="E48" s="1951"/>
      <c r="F48" s="1952"/>
      <c r="G48" s="1948"/>
      <c r="H48" s="1953"/>
      <c r="I48" s="2035" t="s">
        <v>1258</v>
      </c>
      <c r="J48" s="2036" t="s">
        <v>2873</v>
      </c>
      <c r="K48" s="2037" t="s">
        <v>1259</v>
      </c>
      <c r="L48" s="2038">
        <f ca="1">INDIRECT("'数据-取费表'!f"&amp;$G$1)</f>
        <v>37.659999999999997</v>
      </c>
      <c r="O48" s="2033" t="s">
        <v>1015</v>
      </c>
      <c r="P48" s="2034" t="s">
        <v>1260</v>
      </c>
      <c r="Q48" s="2070">
        <f ca="1">J60</f>
        <v>243</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f>'数据-取费表'!N17</f>
        <v>2015</v>
      </c>
      <c r="K49" s="2037" t="s">
        <v>1266</v>
      </c>
      <c r="L49" s="2040"/>
      <c r="O49" s="2041" t="s">
        <v>1267</v>
      </c>
      <c r="P49" s="2034" t="s">
        <v>1268</v>
      </c>
      <c r="Q49" s="2070">
        <f ca="1">C29</f>
        <v>9267</v>
      </c>
      <c r="R49" s="2070" t="s">
        <v>1256</v>
      </c>
    </row>
    <row r="50" spans="1:18" s="714" customFormat="1">
      <c r="A50" s="1960"/>
      <c r="B50" s="1431"/>
      <c r="C50" s="2391"/>
      <c r="D50" s="1962"/>
      <c r="E50" s="1963" t="s">
        <v>1164</v>
      </c>
      <c r="F50" s="1964">
        <f ca="1">F7</f>
        <v>27483.820000000003</v>
      </c>
      <c r="H50" s="1953"/>
      <c r="I50" s="2035" t="s">
        <v>1269</v>
      </c>
      <c r="J50" s="2042">
        <f>SUMPRODUCT((I63:I65=J47)*(J62:L62=J48)*(J63:L65))</f>
        <v>50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40</v>
      </c>
      <c r="K51" s="2045" t="s">
        <v>1274</v>
      </c>
      <c r="L51" s="2046">
        <f ca="1">ROUND(-PV(INDIRECT("'数据-取费表'!h"&amp;$G$1),J51,(C39-C13*C76),0),0)</f>
        <v>6911</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37.659999999999997</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37.659999999999997</v>
      </c>
      <c r="K53" s="3406" t="s">
        <v>1284</v>
      </c>
      <c r="L53" s="3407"/>
      <c r="O53" s="2033" t="s">
        <v>1109</v>
      </c>
      <c r="P53" s="2034" t="s">
        <v>1285</v>
      </c>
      <c r="Q53" s="2070">
        <f ca="1">Q47+Q48</f>
        <v>17763</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4.7E-2</v>
      </c>
      <c r="K55" s="2056" t="s">
        <v>1289</v>
      </c>
      <c r="L55" s="2057"/>
      <c r="O55" s="2026" t="s">
        <v>1249</v>
      </c>
      <c r="P55" s="2027" t="s">
        <v>1250</v>
      </c>
      <c r="Q55" s="2069" t="s">
        <v>1251</v>
      </c>
      <c r="R55" s="2069" t="s">
        <v>1252</v>
      </c>
    </row>
    <row r="56" spans="1:18" s="714" customFormat="1" ht="36">
      <c r="A56" s="1972">
        <v>2</v>
      </c>
      <c r="B56" s="1973" t="s">
        <v>1173</v>
      </c>
      <c r="C56" s="378">
        <f ca="1">C13</f>
        <v>7692</v>
      </c>
      <c r="D56" s="1974"/>
      <c r="E56" s="1975"/>
      <c r="F56" s="1971"/>
      <c r="I56" s="2058" t="s">
        <v>1290</v>
      </c>
      <c r="J56" s="2059" t="s">
        <v>1450</v>
      </c>
      <c r="K56" s="2035" t="s">
        <v>1291</v>
      </c>
      <c r="L56" s="2038" t="str">
        <f ca="1">IF(L48&lt;J51,"——",L48-J53)</f>
        <v>——</v>
      </c>
      <c r="O56" s="2033" t="s">
        <v>1012</v>
      </c>
      <c r="P56" s="2034" t="s">
        <v>1255</v>
      </c>
      <c r="Q56" s="2070">
        <f ca="1">C40+J29</f>
        <v>17520</v>
      </c>
      <c r="R56" s="2070" t="s">
        <v>1256</v>
      </c>
    </row>
    <row r="57" spans="1:18" s="714" customFormat="1" ht="24">
      <c r="A57" s="1976"/>
      <c r="B57" s="1977" t="s">
        <v>1236</v>
      </c>
      <c r="C57" s="388">
        <f ca="1">C29</f>
        <v>9267</v>
      </c>
      <c r="D57" s="1978"/>
      <c r="E57" s="1979"/>
      <c r="F57" s="1980"/>
      <c r="I57" s="2060" t="s">
        <v>1292</v>
      </c>
      <c r="J57" s="2061">
        <f ca="1">IF(OR(M47="住宅",J51&lt;L48,J56="是"),"——",J51-L48)</f>
        <v>2.3400000000000034</v>
      </c>
      <c r="K57" s="2035" t="s">
        <v>1293</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35</v>
      </c>
      <c r="D58" s="1982" t="s">
        <v>1183</v>
      </c>
      <c r="E58" s="1983"/>
      <c r="F58" s="1952"/>
      <c r="I58" s="2060" t="s">
        <v>1296</v>
      </c>
      <c r="J58" s="2062">
        <f ca="1">IF(J55&lt;0.4,0.4,J55)</f>
        <v>0.4</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3707</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f ca="1">IF(OR(M47="住宅",J51&lt;L48,J56="是"),"0",ROUND(J59/(1+J52)^J53,0))</f>
        <v>243</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17520</v>
      </c>
      <c r="R62" s="2070" t="s">
        <v>1286</v>
      </c>
    </row>
    <row r="63" spans="1:18" s="714" customFormat="1">
      <c r="A63" s="1897"/>
      <c r="B63" s="1988"/>
      <c r="C63" s="1917"/>
      <c r="D63" s="1989"/>
      <c r="E63" s="1977" t="s">
        <v>1206</v>
      </c>
      <c r="F63" s="1856">
        <f t="shared" ca="1" si="0"/>
        <v>56554.63</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27.8</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7.69</v>
      </c>
      <c r="D65" s="1985" t="s">
        <v>1213</v>
      </c>
      <c r="E65" s="1977" t="s">
        <v>1180</v>
      </c>
      <c r="F65" s="1921">
        <f t="shared" ca="1" si="0"/>
        <v>1E-3</v>
      </c>
      <c r="I65" s="2066" t="s">
        <v>1314</v>
      </c>
      <c r="J65" s="1032">
        <v>40</v>
      </c>
      <c r="K65" s="1032">
        <v>30</v>
      </c>
      <c r="L65" s="1032">
        <v>50</v>
      </c>
      <c r="M65" s="2068">
        <v>0.02</v>
      </c>
      <c r="O65" s="2033" t="s">
        <v>1012</v>
      </c>
      <c r="P65" s="2034" t="s">
        <v>1255</v>
      </c>
      <c r="Q65" s="2070">
        <f ca="1">C40+J29</f>
        <v>17520</v>
      </c>
      <c r="R65" s="2070" t="s">
        <v>1256</v>
      </c>
    </row>
    <row r="66" spans="1:18" s="714" customFormat="1" ht="15.6">
      <c r="A66" s="1884" t="s">
        <v>959</v>
      </c>
      <c r="B66" s="1977" t="s">
        <v>1198</v>
      </c>
      <c r="C66" s="1469">
        <f ca="1">ROUND(C48*F66,2)</f>
        <v>0</v>
      </c>
      <c r="D66" s="1985" t="s">
        <v>1216</v>
      </c>
      <c r="E66" s="1977" t="s">
        <v>1180</v>
      </c>
      <c r="F66" s="1863">
        <f t="shared" ca="1" si="0"/>
        <v>0.01</v>
      </c>
      <c r="O66" s="2033" t="s">
        <v>1015</v>
      </c>
      <c r="P66" s="2034" t="s">
        <v>1294</v>
      </c>
      <c r="Q66" s="2070">
        <f ca="1">L60</f>
        <v>0</v>
      </c>
      <c r="R66" s="2070" t="s">
        <v>1295</v>
      </c>
    </row>
    <row r="67" spans="1:18" s="714" customFormat="1" ht="24">
      <c r="A67" s="1972" t="s">
        <v>1219</v>
      </c>
      <c r="B67" s="2072" t="s">
        <v>1220</v>
      </c>
      <c r="C67" s="1468">
        <f ca="1">C48-C58</f>
        <v>-35</v>
      </c>
      <c r="D67" s="1984" t="s">
        <v>1221</v>
      </c>
      <c r="E67" s="2073"/>
      <c r="F67" s="2074"/>
      <c r="O67" s="2041" t="s">
        <v>1267</v>
      </c>
      <c r="P67" s="2034" t="s">
        <v>1298</v>
      </c>
      <c r="Q67" s="2094">
        <f ca="1">L51</f>
        <v>6911</v>
      </c>
      <c r="R67" s="2070" t="s">
        <v>1315</v>
      </c>
    </row>
    <row r="68" spans="1:18" s="714" customFormat="1" ht="15.6">
      <c r="A68" s="2075" t="s">
        <v>1225</v>
      </c>
      <c r="B68" s="2076" t="s">
        <v>1242</v>
      </c>
      <c r="C68" s="1926">
        <f ca="1">ROUND(C67*(1-((1+F70)/(1+F68))^F69)/(F68-F70),0)</f>
        <v>-552</v>
      </c>
      <c r="D68" s="1987" t="s">
        <v>1227</v>
      </c>
      <c r="E68" s="1977" t="s">
        <v>1228</v>
      </c>
      <c r="F68" s="1863">
        <f ca="1">F40</f>
        <v>5.5E-2</v>
      </c>
      <c r="O68" s="2041" t="s">
        <v>1271</v>
      </c>
      <c r="P68" s="2093" t="s">
        <v>1316</v>
      </c>
      <c r="Q68" s="2070">
        <f ca="1">ROUND(Q69-Q70*Q71,0)</f>
        <v>376</v>
      </c>
      <c r="R68" s="2070" t="s">
        <v>1317</v>
      </c>
    </row>
    <row r="69" spans="1:18" s="714" customFormat="1">
      <c r="A69" s="2077"/>
      <c r="B69" s="2078"/>
      <c r="C69" s="1862"/>
      <c r="D69" s="2079" t="s">
        <v>1231</v>
      </c>
      <c r="E69" s="1977" t="s">
        <v>1232</v>
      </c>
      <c r="F69" s="1930">
        <f ca="1">F41</f>
        <v>37.659999999999997</v>
      </c>
      <c r="O69" s="2041" t="s">
        <v>1318</v>
      </c>
      <c r="P69" s="2093" t="s">
        <v>1319</v>
      </c>
      <c r="Q69" s="2070">
        <f ca="1">C39</f>
        <v>914</v>
      </c>
      <c r="R69" s="2070" t="s">
        <v>1256</v>
      </c>
    </row>
    <row r="70" spans="1:18" s="714" customFormat="1">
      <c r="A70" s="2080"/>
      <c r="B70" s="2081"/>
      <c r="C70" s="1881"/>
      <c r="D70" s="1989"/>
      <c r="E70" s="1977" t="s">
        <v>1235</v>
      </c>
      <c r="F70" s="1967"/>
      <c r="O70" s="2041" t="s">
        <v>1320</v>
      </c>
      <c r="P70" s="2093" t="s">
        <v>1321</v>
      </c>
      <c r="Q70" s="2070">
        <f ca="1">C13</f>
        <v>7692</v>
      </c>
      <c r="R70" s="2070" t="s">
        <v>1256</v>
      </c>
    </row>
    <row r="71" spans="1:18" s="714" customFormat="1">
      <c r="A71" s="2082" t="s">
        <v>1237</v>
      </c>
      <c r="B71" s="2083" t="s">
        <v>1243</v>
      </c>
      <c r="C71" s="1933">
        <f ca="1">ROUND(C68*10000/F71,0)</f>
        <v>-201</v>
      </c>
      <c r="D71" s="2084" t="s">
        <v>1244</v>
      </c>
      <c r="E71" s="2085" t="s">
        <v>1245</v>
      </c>
      <c r="F71" s="1936">
        <f ca="1">F43</f>
        <v>27483.820000000003</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538</v>
      </c>
      <c r="D75" s="714"/>
      <c r="E75" s="714"/>
      <c r="F75" s="714"/>
      <c r="K75" s="2020"/>
      <c r="L75" s="714"/>
      <c r="O75" s="2033" t="s">
        <v>1109</v>
      </c>
      <c r="P75" s="2034" t="s">
        <v>1285</v>
      </c>
      <c r="Q75" s="2070">
        <f ca="1">Q65+Q66</f>
        <v>17520</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0.41100000000000003</v>
      </c>
    </row>
    <row r="80" spans="1:18">
      <c r="B80" s="2087" t="s">
        <v>1331</v>
      </c>
      <c r="C80" s="421">
        <f ca="1">ROUND(C75/C39,3)</f>
        <v>0.58899999999999997</v>
      </c>
    </row>
    <row r="81" spans="2:3">
      <c r="B81" s="418" t="s">
        <v>1332</v>
      </c>
      <c r="C81" s="388"/>
    </row>
    <row r="82" spans="2:3">
      <c r="B82" s="420" t="s">
        <v>1091</v>
      </c>
      <c r="C82" s="422">
        <f ca="1">1-C83</f>
        <v>0.56099999999999994</v>
      </c>
    </row>
    <row r="83" spans="2:3">
      <c r="B83" s="420" t="s">
        <v>1092</v>
      </c>
      <c r="C83" s="421">
        <f ca="1">ROUND(C13/C40,3)</f>
        <v>0.439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35216</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46" t="s">
        <v>1352</v>
      </c>
      <c r="Q4" s="3447"/>
      <c r="R4" s="3452" t="s">
        <v>1348</v>
      </c>
      <c r="S4" s="3453"/>
      <c r="T4" s="3452" t="s">
        <v>1349</v>
      </c>
      <c r="U4" s="3453"/>
      <c r="V4" s="3458" t="s">
        <v>1350</v>
      </c>
      <c r="W4" s="3458"/>
      <c r="X4" s="2102"/>
      <c r="Y4" s="3452" t="s">
        <v>1352</v>
      </c>
      <c r="Z4" s="3453"/>
      <c r="AA4" s="3440" t="s">
        <v>1348</v>
      </c>
      <c r="AB4" s="3440" t="s">
        <v>1349</v>
      </c>
      <c r="AC4" s="3443" t="s">
        <v>1350</v>
      </c>
    </row>
    <row r="5" spans="1:29" ht="13.95" customHeight="1">
      <c r="A5" s="922"/>
      <c r="B5" s="923"/>
      <c r="C5" s="3415" t="s">
        <v>2787</v>
      </c>
      <c r="D5" s="3416"/>
      <c r="E5" s="3415" t="s">
        <v>2787</v>
      </c>
      <c r="F5" s="3416"/>
      <c r="G5" s="3415" t="s">
        <v>2787</v>
      </c>
      <c r="H5" s="3416"/>
      <c r="I5" s="3415" t="s">
        <v>2789</v>
      </c>
      <c r="J5" s="3416"/>
      <c r="K5" s="1064"/>
      <c r="L5" s="1065"/>
      <c r="M5" s="1015"/>
      <c r="N5" s="1015"/>
      <c r="O5" s="1015"/>
      <c r="P5" s="3448"/>
      <c r="Q5" s="3449"/>
      <c r="R5" s="3454"/>
      <c r="S5" s="3455"/>
      <c r="T5" s="3454"/>
      <c r="U5" s="3455"/>
      <c r="V5" s="3427"/>
      <c r="W5" s="3427"/>
      <c r="X5" s="1113"/>
      <c r="Y5" s="3454"/>
      <c r="Z5" s="3455"/>
      <c r="AA5" s="3441"/>
      <c r="AB5" s="3441"/>
      <c r="AC5" s="3444"/>
    </row>
    <row r="6" spans="1:29" ht="14.4">
      <c r="A6" s="924"/>
      <c r="B6" s="925"/>
      <c r="C6" s="3417" t="s">
        <v>1354</v>
      </c>
      <c r="D6" s="3418"/>
      <c r="E6" s="3419" t="s">
        <v>1354</v>
      </c>
      <c r="F6" s="3420"/>
      <c r="G6" s="3417" t="s">
        <v>1354</v>
      </c>
      <c r="H6" s="3418"/>
      <c r="I6" s="3417" t="s">
        <v>1354</v>
      </c>
      <c r="J6" s="3418"/>
      <c r="K6" s="1064" t="s">
        <v>1355</v>
      </c>
      <c r="L6" s="1065"/>
      <c r="M6" s="1015"/>
      <c r="N6" s="1015"/>
      <c r="O6" s="1015"/>
      <c r="P6" s="3450"/>
      <c r="Q6" s="3451"/>
      <c r="R6" s="3454"/>
      <c r="S6" s="3455"/>
      <c r="T6" s="3456"/>
      <c r="U6" s="3457"/>
      <c r="V6" s="3427"/>
      <c r="W6" s="3427"/>
      <c r="X6" s="1113"/>
      <c r="Y6" s="3456"/>
      <c r="Z6" s="3457"/>
      <c r="AA6" s="3442"/>
      <c r="AB6" s="3442"/>
      <c r="AC6" s="3445"/>
    </row>
    <row r="7" spans="1:29" s="899" customFormat="1" ht="14.4">
      <c r="A7" s="927" t="s">
        <v>1356</v>
      </c>
      <c r="B7" s="928"/>
      <c r="C7" s="929">
        <f>'数据-取费表'!B2</f>
        <v>45838</v>
      </c>
      <c r="D7" s="930">
        <v>100</v>
      </c>
      <c r="E7" s="931">
        <f>C7</f>
        <v>45838</v>
      </c>
      <c r="F7" s="932">
        <f>SUMIF(59:59,YEAR(E7)&amp;"-"&amp;MONTH(E7),60:60)</f>
        <v>100</v>
      </c>
      <c r="G7" s="931">
        <f>C7</f>
        <v>45838</v>
      </c>
      <c r="H7" s="930">
        <f>SUMIF(59:59,YEAR(G7)&amp;"-"&amp;MONTH(G7),60:60)</f>
        <v>100</v>
      </c>
      <c r="I7" s="931">
        <f>C7</f>
        <v>45838</v>
      </c>
      <c r="J7" s="930">
        <f>SUMIF(59:59,YEAR(I7)&amp;"-"&amp;MONTH(I7),60:60)</f>
        <v>100</v>
      </c>
      <c r="K7" s="1069"/>
      <c r="L7" s="1070"/>
      <c r="M7" s="1071"/>
      <c r="N7" s="1071"/>
      <c r="O7" s="1071"/>
      <c r="P7" s="3421" t="s">
        <v>1357</v>
      </c>
      <c r="Q7" s="3422"/>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21" t="s">
        <v>1361</v>
      </c>
      <c r="Q8" s="3424"/>
      <c r="R8" s="1114" t="s">
        <v>1358</v>
      </c>
      <c r="S8" s="1115">
        <f t="shared" si="0"/>
        <v>103</v>
      </c>
      <c r="T8" s="1114" t="s">
        <v>1358</v>
      </c>
      <c r="U8" s="1115">
        <f t="shared" si="1"/>
        <v>103</v>
      </c>
      <c r="V8" s="1114" t="s">
        <v>1358</v>
      </c>
      <c r="W8" s="1115">
        <f t="shared" si="2"/>
        <v>103</v>
      </c>
      <c r="X8" s="1116"/>
      <c r="Y8" s="3423" t="s">
        <v>1361</v>
      </c>
      <c r="Z8" s="3424"/>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2788</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25"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25"/>
      <c r="Q10" s="790" t="str">
        <f t="shared" si="6"/>
        <v>土地使用年限（年）</v>
      </c>
      <c r="R10" s="1114" t="s">
        <v>1358</v>
      </c>
      <c r="S10" s="1115">
        <f t="shared" si="0"/>
        <v>100</v>
      </c>
      <c r="T10" s="1114" t="s">
        <v>1358</v>
      </c>
      <c r="U10" s="1115">
        <f t="shared" si="1"/>
        <v>100</v>
      </c>
      <c r="V10" s="1114" t="s">
        <v>1358</v>
      </c>
      <c r="W10" s="1115">
        <f t="shared" si="2"/>
        <v>100</v>
      </c>
      <c r="X10" s="1116"/>
      <c r="Y10" s="3378"/>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25"/>
      <c r="Q11" s="790" t="str">
        <f t="shared" si="6"/>
        <v>容积率</v>
      </c>
      <c r="R11" s="1114" t="s">
        <v>1358</v>
      </c>
      <c r="S11" s="1115">
        <f t="shared" si="0"/>
        <v>100</v>
      </c>
      <c r="T11" s="1114" t="s">
        <v>1358</v>
      </c>
      <c r="U11" s="1115">
        <f t="shared" si="1"/>
        <v>100</v>
      </c>
      <c r="V11" s="1114" t="s">
        <v>1358</v>
      </c>
      <c r="W11" s="1115">
        <f t="shared" si="2"/>
        <v>100</v>
      </c>
      <c r="X11" s="1116"/>
      <c r="Y11" s="3378"/>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25"/>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25"/>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25"/>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8" t="s">
        <v>1370</v>
      </c>
      <c r="Q15" s="621" t="str">
        <f t="shared" si="6"/>
        <v>办公集聚程度</v>
      </c>
      <c r="R15" s="1118" t="s">
        <v>1358</v>
      </c>
      <c r="S15" s="1119">
        <f t="shared" si="0"/>
        <v>100</v>
      </c>
      <c r="T15" s="1118" t="s">
        <v>1358</v>
      </c>
      <c r="U15" s="1119">
        <f t="shared" si="1"/>
        <v>100</v>
      </c>
      <c r="V15" s="1118" t="s">
        <v>1358</v>
      </c>
      <c r="W15" s="1119">
        <f t="shared" si="2"/>
        <v>100</v>
      </c>
      <c r="X15" s="1113"/>
      <c r="Y15" s="3433"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29"/>
      <c r="Q16" s="621"/>
      <c r="R16" s="1118"/>
      <c r="S16" s="1119"/>
      <c r="T16" s="1118"/>
      <c r="U16" s="1119"/>
      <c r="V16" s="1118"/>
      <c r="W16" s="1119"/>
      <c r="X16" s="1113"/>
      <c r="Y16" s="3434"/>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9"/>
      <c r="Q17" s="621" t="str">
        <f>B17</f>
        <v>交通便捷度</v>
      </c>
      <c r="R17" s="1118" t="s">
        <v>1358</v>
      </c>
      <c r="S17" s="1119">
        <f>F17</f>
        <v>100</v>
      </c>
      <c r="T17" s="1118" t="s">
        <v>1358</v>
      </c>
      <c r="U17" s="1119">
        <f>H17</f>
        <v>100</v>
      </c>
      <c r="V17" s="1118" t="s">
        <v>1358</v>
      </c>
      <c r="W17" s="1119">
        <f>J17</f>
        <v>100</v>
      </c>
      <c r="X17" s="1113"/>
      <c r="Y17" s="3434"/>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29"/>
      <c r="Q18" s="621"/>
      <c r="R18" s="1118"/>
      <c r="S18" s="1119"/>
      <c r="T18" s="1118"/>
      <c r="U18" s="1119"/>
      <c r="V18" s="1118"/>
      <c r="W18" s="1119"/>
      <c r="X18" s="1113"/>
      <c r="Y18" s="3434"/>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9"/>
      <c r="Q19" s="621" t="str">
        <f>B19</f>
        <v>公共配套设施</v>
      </c>
      <c r="R19" s="1118" t="s">
        <v>1358</v>
      </c>
      <c r="S19" s="1119">
        <f>F19</f>
        <v>100</v>
      </c>
      <c r="T19" s="1118" t="s">
        <v>1358</v>
      </c>
      <c r="U19" s="1119">
        <f>H19</f>
        <v>100</v>
      </c>
      <c r="V19" s="1118" t="s">
        <v>1358</v>
      </c>
      <c r="W19" s="1119">
        <f>J19</f>
        <v>100</v>
      </c>
      <c r="X19" s="1113"/>
      <c r="Y19" s="3434"/>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29"/>
      <c r="Q20" s="621"/>
      <c r="R20" s="1118"/>
      <c r="S20" s="1119"/>
      <c r="T20" s="1118"/>
      <c r="U20" s="1119"/>
      <c r="V20" s="1118"/>
      <c r="W20" s="1119"/>
      <c r="X20" s="1113"/>
      <c r="Y20" s="3434"/>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9"/>
      <c r="Q21" s="621" t="str">
        <f>B21</f>
        <v>基础设施水平</v>
      </c>
      <c r="R21" s="1118" t="s">
        <v>1358</v>
      </c>
      <c r="S21" s="1119">
        <f>F21</f>
        <v>100</v>
      </c>
      <c r="T21" s="1118" t="s">
        <v>1358</v>
      </c>
      <c r="U21" s="1119">
        <f>H21</f>
        <v>100</v>
      </c>
      <c r="V21" s="1118" t="s">
        <v>1358</v>
      </c>
      <c r="W21" s="1119">
        <f>J21</f>
        <v>100</v>
      </c>
      <c r="X21" s="1113"/>
      <c r="Y21" s="3434"/>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9"/>
      <c r="Q22" s="621"/>
      <c r="R22" s="1118"/>
      <c r="S22" s="1119"/>
      <c r="T22" s="1118"/>
      <c r="U22" s="1119"/>
      <c r="V22" s="1118"/>
      <c r="W22" s="1119"/>
      <c r="X22" s="1113"/>
      <c r="Y22" s="3434"/>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9"/>
      <c r="Q23" s="621" t="str">
        <f>B23</f>
        <v>环境质量</v>
      </c>
      <c r="R23" s="1118" t="s">
        <v>1358</v>
      </c>
      <c r="S23" s="1119">
        <f>F23</f>
        <v>100</v>
      </c>
      <c r="T23" s="1118" t="s">
        <v>1358</v>
      </c>
      <c r="U23" s="1119">
        <f>H23</f>
        <v>100</v>
      </c>
      <c r="V23" s="1118" t="s">
        <v>1358</v>
      </c>
      <c r="W23" s="1119">
        <f>J23</f>
        <v>100</v>
      </c>
      <c r="X23" s="1113"/>
      <c r="Y23" s="3434"/>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29"/>
      <c r="Q24" s="621"/>
      <c r="R24" s="1118"/>
      <c r="S24" s="1119"/>
      <c r="T24" s="1118"/>
      <c r="U24" s="1119"/>
      <c r="V24" s="1118"/>
      <c r="W24" s="1119"/>
      <c r="X24" s="1113"/>
      <c r="Y24" s="3434"/>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9"/>
      <c r="Q25" s="621" t="str">
        <f>B25</f>
        <v>毗邻道路的类型与等级</v>
      </c>
      <c r="R25" s="1118" t="s">
        <v>1358</v>
      </c>
      <c r="S25" s="1119">
        <f>F25</f>
        <v>100</v>
      </c>
      <c r="T25" s="1118" t="s">
        <v>1358</v>
      </c>
      <c r="U25" s="1119">
        <f>H25</f>
        <v>100</v>
      </c>
      <c r="V25" s="1118" t="s">
        <v>1358</v>
      </c>
      <c r="W25" s="1119">
        <f>J25</f>
        <v>100</v>
      </c>
      <c r="X25" s="1113"/>
      <c r="Y25" s="3434"/>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9"/>
      <c r="Q26" s="621"/>
      <c r="R26" s="1118"/>
      <c r="S26" s="1119"/>
      <c r="T26" s="1118"/>
      <c r="U26" s="1119"/>
      <c r="V26" s="1118"/>
      <c r="W26" s="1119"/>
      <c r="X26" s="1113"/>
      <c r="Y26" s="3434"/>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29"/>
      <c r="Q27" s="621" t="str">
        <f t="shared" ref="Q27:Q47" si="11">B27</f>
        <v>楼层</v>
      </c>
      <c r="R27" s="1118" t="s">
        <v>1358</v>
      </c>
      <c r="S27" s="1119">
        <f>F27</f>
        <v>100</v>
      </c>
      <c r="T27" s="1118" t="s">
        <v>1358</v>
      </c>
      <c r="U27" s="1119">
        <f>H27</f>
        <v>100</v>
      </c>
      <c r="V27" s="1118" t="s">
        <v>1358</v>
      </c>
      <c r="W27" s="1119">
        <f>J27</f>
        <v>97</v>
      </c>
      <c r="X27" s="1113"/>
      <c r="Y27" s="3434"/>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9"/>
      <c r="Q28" s="790" t="str">
        <f t="shared" si="11"/>
        <v>朝向</v>
      </c>
      <c r="R28" s="1114" t="s">
        <v>1358</v>
      </c>
      <c r="S28" s="1115">
        <f>F28</f>
        <v>100</v>
      </c>
      <c r="T28" s="1114" t="s">
        <v>1358</v>
      </c>
      <c r="U28" s="1115">
        <f>H28</f>
        <v>100</v>
      </c>
      <c r="V28" s="1114" t="s">
        <v>1358</v>
      </c>
      <c r="W28" s="1115">
        <f>J28</f>
        <v>100</v>
      </c>
      <c r="X28" s="1116"/>
      <c r="Y28" s="3434"/>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9"/>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34"/>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9"/>
      <c r="Q30" s="621">
        <f t="shared" si="11"/>
        <v>111</v>
      </c>
      <c r="R30" s="1118" t="s">
        <v>1358</v>
      </c>
      <c r="S30" s="1119">
        <f t="shared" si="12"/>
        <v>100</v>
      </c>
      <c r="T30" s="1118" t="s">
        <v>1358</v>
      </c>
      <c r="U30" s="1119">
        <f t="shared" si="13"/>
        <v>100</v>
      </c>
      <c r="V30" s="1118" t="s">
        <v>1358</v>
      </c>
      <c r="W30" s="1119">
        <f t="shared" si="14"/>
        <v>100</v>
      </c>
      <c r="X30" s="1113"/>
      <c r="Y30" s="3434"/>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9"/>
      <c r="Q31" s="621">
        <f t="shared" si="11"/>
        <v>111</v>
      </c>
      <c r="R31" s="1118" t="s">
        <v>1358</v>
      </c>
      <c r="S31" s="1119">
        <f t="shared" si="12"/>
        <v>100</v>
      </c>
      <c r="T31" s="1118" t="s">
        <v>1358</v>
      </c>
      <c r="U31" s="1119">
        <f t="shared" si="13"/>
        <v>100</v>
      </c>
      <c r="V31" s="1118" t="s">
        <v>1358</v>
      </c>
      <c r="W31" s="1119">
        <f t="shared" si="14"/>
        <v>100</v>
      </c>
      <c r="X31" s="1113"/>
      <c r="Y31" s="3434"/>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9"/>
      <c r="Q32" s="621">
        <f t="shared" si="11"/>
        <v>111</v>
      </c>
      <c r="R32" s="1118" t="s">
        <v>1358</v>
      </c>
      <c r="S32" s="1119">
        <f t="shared" si="12"/>
        <v>100</v>
      </c>
      <c r="T32" s="1118" t="s">
        <v>1358</v>
      </c>
      <c r="U32" s="1119">
        <f t="shared" si="13"/>
        <v>100</v>
      </c>
      <c r="V32" s="1118" t="s">
        <v>1358</v>
      </c>
      <c r="W32" s="1119">
        <f t="shared" si="14"/>
        <v>100</v>
      </c>
      <c r="X32" s="1113"/>
      <c r="Y32" s="3434"/>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30" t="s">
        <v>1384</v>
      </c>
      <c r="Q33" s="621" t="str">
        <f t="shared" si="11"/>
        <v>建筑类型</v>
      </c>
      <c r="R33" s="1118" t="s">
        <v>1358</v>
      </c>
      <c r="S33" s="1119">
        <f t="shared" si="12"/>
        <v>100</v>
      </c>
      <c r="T33" s="1118" t="s">
        <v>1358</v>
      </c>
      <c r="U33" s="1119">
        <f t="shared" si="13"/>
        <v>100</v>
      </c>
      <c r="V33" s="1118" t="s">
        <v>1358</v>
      </c>
      <c r="W33" s="1119">
        <f t="shared" si="14"/>
        <v>100</v>
      </c>
      <c r="X33" s="1113"/>
      <c r="Y33" s="3435"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27483.820000000003</v>
      </c>
      <c r="D34" s="942">
        <v>100</v>
      </c>
      <c r="E34" s="945">
        <v>81.64</v>
      </c>
      <c r="F34" s="940">
        <f>LOOKUP(E34,104:104,105:105)-LOOKUP(C34,104:104,105:105)+100</f>
        <v>103</v>
      </c>
      <c r="G34" s="944">
        <v>83.81</v>
      </c>
      <c r="H34" s="942">
        <f>LOOKUP(G34,104:104,105:105)-LOOKUP(C34,104:104,105:105)+100</f>
        <v>103</v>
      </c>
      <c r="I34" s="944">
        <v>144</v>
      </c>
      <c r="J34" s="942">
        <f>LOOKUP(I34,104:104,105:105)-LOOKUP(C34,104:104,105:105)+100</f>
        <v>103</v>
      </c>
      <c r="K34" s="1087"/>
      <c r="L34" s="1079"/>
      <c r="M34" s="1089"/>
      <c r="N34" s="1089"/>
      <c r="O34" s="1089"/>
      <c r="P34" s="3431"/>
      <c r="Q34" s="1308" t="str">
        <f t="shared" si="11"/>
        <v>项目建筑规模</v>
      </c>
      <c r="R34" s="1120" t="s">
        <v>1358</v>
      </c>
      <c r="S34" s="1121">
        <f t="shared" si="12"/>
        <v>103</v>
      </c>
      <c r="T34" s="1120" t="s">
        <v>1358</v>
      </c>
      <c r="U34" s="1121">
        <f t="shared" si="13"/>
        <v>103</v>
      </c>
      <c r="V34" s="1120" t="s">
        <v>1358</v>
      </c>
      <c r="W34" s="1121">
        <f t="shared" si="14"/>
        <v>103</v>
      </c>
      <c r="X34" s="1122"/>
      <c r="Y34" s="3435"/>
      <c r="Z34" s="1127" t="str">
        <f t="shared" si="15"/>
        <v>项目建筑规模</v>
      </c>
      <c r="AA34" s="1102">
        <f t="shared" si="3"/>
        <v>0.970873786407767</v>
      </c>
      <c r="AB34" s="1102">
        <f t="shared" si="4"/>
        <v>0.970873786407767</v>
      </c>
      <c r="AC34" s="2104">
        <f t="shared" si="5"/>
        <v>0.970873786407767</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31"/>
      <c r="Q35" s="621" t="str">
        <f t="shared" si="11"/>
        <v>建筑结构</v>
      </c>
      <c r="R35" s="1118" t="s">
        <v>1358</v>
      </c>
      <c r="S35" s="1119">
        <f t="shared" si="12"/>
        <v>100</v>
      </c>
      <c r="T35" s="1118" t="s">
        <v>1358</v>
      </c>
      <c r="U35" s="1119">
        <f t="shared" si="13"/>
        <v>100</v>
      </c>
      <c r="V35" s="1118" t="s">
        <v>1358</v>
      </c>
      <c r="W35" s="1119">
        <f t="shared" si="14"/>
        <v>100</v>
      </c>
      <c r="X35" s="1113"/>
      <c r="Y35" s="3435"/>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31"/>
      <c r="Q36" s="621" t="str">
        <f t="shared" si="11"/>
        <v>公共部分装修</v>
      </c>
      <c r="R36" s="1118" t="s">
        <v>1358</v>
      </c>
      <c r="S36" s="1119">
        <f t="shared" si="12"/>
        <v>100</v>
      </c>
      <c r="T36" s="1118" t="s">
        <v>1358</v>
      </c>
      <c r="U36" s="1119">
        <f t="shared" si="13"/>
        <v>100</v>
      </c>
      <c r="V36" s="1118" t="s">
        <v>1358</v>
      </c>
      <c r="W36" s="1119">
        <f t="shared" si="14"/>
        <v>100</v>
      </c>
      <c r="X36" s="1113"/>
      <c r="Y36" s="3435"/>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31"/>
      <c r="Q37" s="621" t="str">
        <f t="shared" si="11"/>
        <v>成新度</v>
      </c>
      <c r="R37" s="1118" t="s">
        <v>1358</v>
      </c>
      <c r="S37" s="1119">
        <f t="shared" si="12"/>
        <v>100</v>
      </c>
      <c r="T37" s="1118" t="s">
        <v>1358</v>
      </c>
      <c r="U37" s="1119">
        <f t="shared" si="13"/>
        <v>100</v>
      </c>
      <c r="V37" s="1118" t="s">
        <v>1358</v>
      </c>
      <c r="W37" s="1119">
        <f t="shared" si="14"/>
        <v>100</v>
      </c>
      <c r="X37" s="1113"/>
      <c r="Y37" s="3435"/>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31"/>
      <c r="Q38" s="790" t="str">
        <f t="shared" si="11"/>
        <v>写字楼等级</v>
      </c>
      <c r="R38" s="1114" t="s">
        <v>1358</v>
      </c>
      <c r="S38" s="1115">
        <f t="shared" si="12"/>
        <v>100</v>
      </c>
      <c r="T38" s="1114" t="s">
        <v>1358</v>
      </c>
      <c r="U38" s="1115">
        <f t="shared" si="13"/>
        <v>100</v>
      </c>
      <c r="V38" s="1114" t="s">
        <v>1358</v>
      </c>
      <c r="W38" s="1115">
        <f t="shared" si="14"/>
        <v>100</v>
      </c>
      <c r="X38" s="1116"/>
      <c r="Y38" s="3435"/>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31" t="s">
        <v>1384</v>
      </c>
      <c r="Q39" s="621" t="str">
        <f t="shared" si="11"/>
        <v>物业管理</v>
      </c>
      <c r="R39" s="1118" t="s">
        <v>1358</v>
      </c>
      <c r="S39" s="1119">
        <f t="shared" si="12"/>
        <v>100</v>
      </c>
      <c r="T39" s="1118" t="s">
        <v>1358</v>
      </c>
      <c r="U39" s="1119">
        <f t="shared" si="13"/>
        <v>100</v>
      </c>
      <c r="V39" s="1118" t="s">
        <v>1358</v>
      </c>
      <c r="W39" s="1119">
        <f t="shared" si="14"/>
        <v>100</v>
      </c>
      <c r="X39" s="1113"/>
      <c r="Y39" s="3435"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31"/>
      <c r="Q40" s="621" t="str">
        <f t="shared" si="11"/>
        <v>市政基础设施</v>
      </c>
      <c r="R40" s="1118" t="s">
        <v>1358</v>
      </c>
      <c r="S40" s="1119">
        <f t="shared" si="12"/>
        <v>100</v>
      </c>
      <c r="T40" s="1118" t="s">
        <v>1358</v>
      </c>
      <c r="U40" s="1119">
        <f t="shared" si="13"/>
        <v>100</v>
      </c>
      <c r="V40" s="1118" t="s">
        <v>1358</v>
      </c>
      <c r="W40" s="1119">
        <f t="shared" si="14"/>
        <v>100</v>
      </c>
      <c r="X40" s="1113"/>
      <c r="Y40" s="3435"/>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31"/>
      <c r="Q41" s="621" t="str">
        <f t="shared" si="11"/>
        <v>层高</v>
      </c>
      <c r="R41" s="1118" t="s">
        <v>1358</v>
      </c>
      <c r="S41" s="1119">
        <f t="shared" si="12"/>
        <v>100</v>
      </c>
      <c r="T41" s="1118" t="s">
        <v>1358</v>
      </c>
      <c r="U41" s="1119">
        <f t="shared" si="13"/>
        <v>100</v>
      </c>
      <c r="V41" s="1118" t="s">
        <v>1358</v>
      </c>
      <c r="W41" s="1119">
        <f t="shared" si="14"/>
        <v>100</v>
      </c>
      <c r="X41" s="1113"/>
      <c r="Y41" s="3435"/>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31"/>
      <c r="Q42" s="1308" t="str">
        <f t="shared" si="11"/>
        <v>单套建筑面积</v>
      </c>
      <c r="R42" s="1120" t="s">
        <v>1358</v>
      </c>
      <c r="S42" s="1121">
        <f t="shared" si="12"/>
        <v>100</v>
      </c>
      <c r="T42" s="1120" t="s">
        <v>1358</v>
      </c>
      <c r="U42" s="1121">
        <f t="shared" si="13"/>
        <v>100</v>
      </c>
      <c r="V42" s="1120" t="s">
        <v>1358</v>
      </c>
      <c r="W42" s="1121">
        <f t="shared" si="14"/>
        <v>100</v>
      </c>
      <c r="X42" s="1122"/>
      <c r="Y42" s="3435"/>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31"/>
      <c r="Q43" s="621" t="str">
        <f t="shared" si="11"/>
        <v>内部装修</v>
      </c>
      <c r="R43" s="1118" t="s">
        <v>1358</v>
      </c>
      <c r="S43" s="1119">
        <f t="shared" si="12"/>
        <v>102</v>
      </c>
      <c r="T43" s="1118" t="s">
        <v>1358</v>
      </c>
      <c r="U43" s="1119">
        <f t="shared" si="13"/>
        <v>98</v>
      </c>
      <c r="V43" s="1118" t="s">
        <v>1358</v>
      </c>
      <c r="W43" s="1119">
        <f t="shared" si="14"/>
        <v>100</v>
      </c>
      <c r="X43" s="1113"/>
      <c r="Y43" s="3435"/>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31"/>
      <c r="Q44" s="621" t="str">
        <f t="shared" si="11"/>
        <v>内部装修维护情况</v>
      </c>
      <c r="R44" s="1118" t="s">
        <v>1358</v>
      </c>
      <c r="S44" s="1119">
        <f t="shared" si="12"/>
        <v>100</v>
      </c>
      <c r="T44" s="1118" t="s">
        <v>1358</v>
      </c>
      <c r="U44" s="1119">
        <f t="shared" si="13"/>
        <v>100</v>
      </c>
      <c r="V44" s="1118" t="s">
        <v>1358</v>
      </c>
      <c r="W44" s="1119">
        <f t="shared" si="14"/>
        <v>100</v>
      </c>
      <c r="X44" s="1113"/>
      <c r="Y44" s="3435"/>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31"/>
      <c r="Q45" s="790">
        <f t="shared" si="11"/>
        <v>111</v>
      </c>
      <c r="R45" s="1114" t="s">
        <v>1358</v>
      </c>
      <c r="S45" s="1115">
        <f t="shared" si="12"/>
        <v>100</v>
      </c>
      <c r="T45" s="1114" t="s">
        <v>1358</v>
      </c>
      <c r="U45" s="1115">
        <f t="shared" si="13"/>
        <v>100</v>
      </c>
      <c r="V45" s="1114" t="s">
        <v>1358</v>
      </c>
      <c r="W45" s="1115">
        <f t="shared" si="14"/>
        <v>100</v>
      </c>
      <c r="X45" s="1116"/>
      <c r="Y45" s="3435"/>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31"/>
      <c r="Q46" s="621">
        <f t="shared" si="11"/>
        <v>111</v>
      </c>
      <c r="R46" s="1118" t="s">
        <v>1358</v>
      </c>
      <c r="S46" s="1119">
        <f t="shared" si="12"/>
        <v>100</v>
      </c>
      <c r="T46" s="1118" t="s">
        <v>1358</v>
      </c>
      <c r="U46" s="1119">
        <f t="shared" si="13"/>
        <v>100</v>
      </c>
      <c r="V46" s="1118" t="s">
        <v>1358</v>
      </c>
      <c r="W46" s="1119">
        <f t="shared" si="14"/>
        <v>100</v>
      </c>
      <c r="X46" s="1113"/>
      <c r="Y46" s="3435"/>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2"/>
      <c r="Q47" s="621">
        <f t="shared" si="11"/>
        <v>111</v>
      </c>
      <c r="R47" s="1118" t="s">
        <v>1358</v>
      </c>
      <c r="S47" s="1119">
        <f t="shared" si="12"/>
        <v>100</v>
      </c>
      <c r="T47" s="1118" t="s">
        <v>1358</v>
      </c>
      <c r="U47" s="1119">
        <f t="shared" si="13"/>
        <v>100</v>
      </c>
      <c r="V47" s="1118" t="s">
        <v>1358</v>
      </c>
      <c r="W47" s="1119">
        <f t="shared" si="14"/>
        <v>100</v>
      </c>
      <c r="X47" s="1113"/>
      <c r="Y47" s="3436"/>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25" t="str">
        <f>A48</f>
        <v>成交单价（元/平方米）</v>
      </c>
      <c r="Q48" s="3426"/>
      <c r="R48" s="3427">
        <f>E48</f>
        <v>39809</v>
      </c>
      <c r="S48" s="3427"/>
      <c r="T48" s="3427">
        <f>G48</f>
        <v>36512</v>
      </c>
      <c r="U48" s="3427"/>
      <c r="V48" s="3427">
        <f>I48</f>
        <v>34724</v>
      </c>
      <c r="W48" s="3427"/>
      <c r="X48" s="1055"/>
      <c r="Y48" s="1128"/>
      <c r="Z48" s="1055"/>
      <c r="AA48" s="1055"/>
      <c r="AB48" s="1055"/>
      <c r="AC48" s="961"/>
    </row>
    <row r="49" spans="1:29" ht="14.4">
      <c r="A49" s="1006" t="s">
        <v>1401</v>
      </c>
      <c r="B49" s="1293"/>
      <c r="C49" s="1294">
        <f>R50</f>
        <v>35216</v>
      </c>
      <c r="D49" s="1009" t="s">
        <v>1402</v>
      </c>
      <c r="E49" s="1295">
        <f>R49</f>
        <v>36788</v>
      </c>
      <c r="F49" s="1010"/>
      <c r="G49" s="1294">
        <f>T49</f>
        <v>35118</v>
      </c>
      <c r="H49" s="1010"/>
      <c r="I49" s="1295">
        <f>V49</f>
        <v>33743</v>
      </c>
      <c r="J49" s="1010"/>
      <c r="K49" s="1095">
        <f>F49+H49+J49</f>
        <v>0</v>
      </c>
      <c r="L49" s="1094"/>
      <c r="M49" s="1015"/>
      <c r="N49" s="1015"/>
      <c r="O49" s="1015"/>
      <c r="P49" s="3425" t="str">
        <f>A49</f>
        <v>比较价值（元/平方米）</v>
      </c>
      <c r="Q49" s="3426"/>
      <c r="R49" s="3427">
        <f>IF(F1="售价",ROUND(PRODUCT(R48,AA7:AA47),0),ROUND(PRODUCT(R48,AA7:AA47),1))</f>
        <v>36788</v>
      </c>
      <c r="S49" s="3427"/>
      <c r="T49" s="3427">
        <f>IF(F1="售价",ROUND(PRODUCT(T48,AB7:AB47),0),ROUND(PRODUCT(T48,AB7:AB47),1))</f>
        <v>35118</v>
      </c>
      <c r="U49" s="3427"/>
      <c r="V49" s="3427">
        <f>IF(F1="售价",ROUND(PRODUCT(V48,AC7:AC47),0),ROUND(PRODUCT(V48,AC7:AC47),1))</f>
        <v>33743</v>
      </c>
      <c r="W49" s="3427"/>
      <c r="X49" s="1055"/>
      <c r="Y49" s="1055"/>
      <c r="Z49" s="1055"/>
      <c r="AA49" s="1055"/>
      <c r="AB49" s="1055"/>
      <c r="AC49" s="961"/>
    </row>
    <row r="50" spans="1:29" ht="14.4">
      <c r="A50" s="1012" t="s">
        <v>1403</v>
      </c>
      <c r="B50" s="1013"/>
      <c r="C50" s="925">
        <f>R50</f>
        <v>35216</v>
      </c>
      <c r="D50" s="925"/>
      <c r="E50" s="925"/>
      <c r="F50" s="925"/>
      <c r="G50" s="925"/>
      <c r="H50" s="925"/>
      <c r="I50" s="925"/>
      <c r="J50" s="1014"/>
      <c r="K50" s="1096"/>
      <c r="L50" s="1094"/>
      <c r="M50" s="1015"/>
      <c r="N50" s="1015"/>
      <c r="O50" s="1015"/>
      <c r="P50" s="3437" t="str">
        <f>A50</f>
        <v>估价对象XX用房的比较价值（楼面单价，元/平方米）</v>
      </c>
      <c r="Q50" s="3438"/>
      <c r="R50" s="3439">
        <f>IF(F1="售价",ROUND(IF(D49="简单平均",AVERAGE(R49:V49),R49*F49+T49*H49+V49*J49),0),ROUND(IF(D49="简单平均",AVERAGE(R49:V49),R49*F49+T49*H49+V49*J49),1))</f>
        <v>35216</v>
      </c>
      <c r="S50" s="3439"/>
      <c r="T50" s="3439"/>
      <c r="U50" s="3439"/>
      <c r="V50" s="3439"/>
      <c r="W50" s="3439"/>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8.2119169294335048E-2</v>
      </c>
      <c r="F53" s="1019" t="str">
        <f>IF(OR(E53&gt;=0.3,E53&lt;=-0.3),"超过30%","")</f>
        <v/>
      </c>
      <c r="G53" s="1018">
        <f>IF(G48&lt;G49,G49/G48-1,G48/G49-1)</f>
        <v>3.9694743436414326E-2</v>
      </c>
      <c r="H53" s="1019" t="str">
        <f>IF(OR(G53&gt;=0.3,G53&lt;=-0.3),"超过30%","")</f>
        <v/>
      </c>
      <c r="I53" s="1018">
        <f>IF(I48&lt;I49,I49/I48-1,I48/I49-1)</f>
        <v>2.9072696559286459E-2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4.7553960931715933E-2</v>
      </c>
      <c r="F54" s="1019" t="str">
        <f>IF(OR(E54&gt;=0.2,E54&lt;=-0.2),"超过20%","")</f>
        <v/>
      </c>
      <c r="G54" s="1018">
        <f>IF(G49&lt;I49,I49/G49-1,G49/I49-1)</f>
        <v>4.0749192425095559E-2</v>
      </c>
      <c r="H54" s="1019" t="str">
        <f>IF(OR(G54&gt;=0.2,G54&lt;=-0.2),"超过20%","")</f>
        <v/>
      </c>
      <c r="I54" s="1018">
        <f>IF(I49&lt;E49,E49/I49-1,I49/E49-1)</f>
        <v>9.0240938861393394E-2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85" zoomScaleNormal="70" zoomScaleSheetLayoutView="100" workbookViewId="0">
      <selection activeCell="F96" sqref="F96"/>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t="e">
        <f>IF(E1="项目模式",IF(C2="——",ROUND(C49*D3/10000,0),ROUND(C49*D3/10000,0)-D2),IF(E1="单套模式",IF(C2="——",ROUND(C49*D3/10000,4),ROUND(C49*D3/10000,4)-D2)))</f>
        <v>#DIV/0!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t="e">
        <f>IF(C2="——",C49,ROUND(B2*10000/D3,0))</f>
        <v>#DIV/0!</v>
      </c>
      <c r="C3" s="1273" t="s">
        <v>1345</v>
      </c>
      <c r="D3" s="1274">
        <f>IF(D1="",'数据-汇总表'!E3,SUMIF('数据-汇总表'!$C19:$C33,D1,'数据-汇总表'!$E19:$E33))</f>
        <v>0</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27" t="s">
        <v>1349</v>
      </c>
      <c r="AC4" s="3465" t="s">
        <v>1350</v>
      </c>
    </row>
    <row r="5" spans="1:29" ht="13.95" customHeight="1">
      <c r="A5" s="922"/>
      <c r="B5" s="923"/>
      <c r="C5" s="3459" t="s">
        <v>1575</v>
      </c>
      <c r="D5" s="3416"/>
      <c r="E5" s="3460" t="s">
        <v>2840</v>
      </c>
      <c r="F5" s="3461"/>
      <c r="G5" s="3415" t="s">
        <v>2841</v>
      </c>
      <c r="H5" s="3416"/>
      <c r="I5" s="3415" t="s">
        <v>2842</v>
      </c>
      <c r="J5" s="3416"/>
      <c r="K5" s="1064"/>
      <c r="L5" s="1065"/>
      <c r="M5" s="1015"/>
      <c r="N5" s="1015"/>
      <c r="O5" s="1015"/>
      <c r="P5" s="3468"/>
      <c r="Q5" s="3449"/>
      <c r="R5" s="3454"/>
      <c r="S5" s="3455"/>
      <c r="T5" s="3454"/>
      <c r="U5" s="3455"/>
      <c r="V5" s="3427"/>
      <c r="W5" s="3427"/>
      <c r="X5" s="1113"/>
      <c r="Y5" s="3454"/>
      <c r="Z5" s="3455"/>
      <c r="AA5" s="3441"/>
      <c r="AB5" s="3427"/>
      <c r="AC5" s="3441"/>
    </row>
    <row r="6" spans="1:29" ht="14.4">
      <c r="A6" s="924"/>
      <c r="B6" s="925"/>
      <c r="C6" s="3417" t="s">
        <v>1354</v>
      </c>
      <c r="D6" s="3418"/>
      <c r="E6" s="3419" t="s">
        <v>2794</v>
      </c>
      <c r="F6" s="3420"/>
      <c r="G6" s="3417" t="s">
        <v>2794</v>
      </c>
      <c r="H6" s="3418"/>
      <c r="I6" s="3417" t="s">
        <v>2794</v>
      </c>
      <c r="J6" s="3418"/>
      <c r="K6" s="1064" t="s">
        <v>1355</v>
      </c>
      <c r="L6" s="1065"/>
      <c r="M6" s="1015"/>
      <c r="N6" s="1015"/>
      <c r="O6" s="1015"/>
      <c r="P6" s="3469"/>
      <c r="Q6" s="3451"/>
      <c r="R6" s="3454"/>
      <c r="S6" s="3455"/>
      <c r="T6" s="3456"/>
      <c r="U6" s="3457"/>
      <c r="V6" s="3427"/>
      <c r="W6" s="3427"/>
      <c r="X6" s="1113"/>
      <c r="Y6" s="3456"/>
      <c r="Z6" s="3457"/>
      <c r="AA6" s="3442"/>
      <c r="AB6" s="3427"/>
      <c r="AC6" s="3442"/>
    </row>
    <row r="7" spans="1:29" s="899" customFormat="1" ht="14.4">
      <c r="A7" s="927" t="s">
        <v>1356</v>
      </c>
      <c r="B7" s="928"/>
      <c r="C7" s="929">
        <f>'数据-取费表'!B2</f>
        <v>45838</v>
      </c>
      <c r="D7" s="930">
        <v>100</v>
      </c>
      <c r="E7" s="931">
        <v>45839</v>
      </c>
      <c r="F7" s="932">
        <f>SUMIF(58:58,YEAR(E7)&amp;"-"&amp;MONTH(E7),59:59)</f>
        <v>0</v>
      </c>
      <c r="G7" s="931">
        <v>45839</v>
      </c>
      <c r="H7" s="930">
        <f>SUMIF(58:58,YEAR(G7)&amp;"-"&amp;MONTH(G7),59:59)</f>
        <v>0</v>
      </c>
      <c r="I7" s="931">
        <v>45839</v>
      </c>
      <c r="J7" s="930">
        <f>SUMIF(58:58,YEAR(I7)&amp;"-"&amp;MONTH(I7),59:59)</f>
        <v>0</v>
      </c>
      <c r="K7" s="1069"/>
      <c r="L7" s="1070"/>
      <c r="M7" s="1071"/>
      <c r="N7" s="1071"/>
      <c r="O7" s="1071"/>
      <c r="P7" s="3423" t="s">
        <v>1357</v>
      </c>
      <c r="Q7" s="3422"/>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t="s">
        <v>884</v>
      </c>
      <c r="D8" s="930">
        <v>100</v>
      </c>
      <c r="E8" s="934" t="s">
        <v>2796</v>
      </c>
      <c r="F8" s="932">
        <f>SUMIF(61:61,E8,62:62)-SUMIF(61:61,C8,62:62)+100</f>
        <v>102</v>
      </c>
      <c r="G8" s="934" t="s">
        <v>2796</v>
      </c>
      <c r="H8" s="930">
        <f>SUMIF(61:61,G8,62:62)-SUMIF(61:61,C8,62:62)+100</f>
        <v>102</v>
      </c>
      <c r="I8" s="934" t="s">
        <v>2796</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2795</v>
      </c>
      <c r="D9" s="938">
        <v>100</v>
      </c>
      <c r="E9" s="1326" t="s">
        <v>1920</v>
      </c>
      <c r="F9" s="936">
        <f>SUMIF(63:63,E9,64:64)-SUMIF(63:63,C9,64:64)+100</f>
        <v>100</v>
      </c>
      <c r="G9" s="1326" t="s">
        <v>1920</v>
      </c>
      <c r="H9" s="938">
        <f>SUMIF(63:63,G9,64:64)-SUMIF(63:63,C9,64:64)+100</f>
        <v>100</v>
      </c>
      <c r="I9" s="1326" t="s">
        <v>1920</v>
      </c>
      <c r="J9" s="938">
        <f>SUMIF(63:63,I9,64:64)-SUMIF(63:63,C9,64:64)+100</f>
        <v>100</v>
      </c>
      <c r="K9" s="1069"/>
      <c r="L9" s="1070"/>
      <c r="M9" s="1071"/>
      <c r="N9" s="1071"/>
      <c r="O9" s="1071"/>
      <c r="P9" s="3425"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1126">
        <f t="shared" si="5"/>
        <v>1</v>
      </c>
    </row>
    <row r="10" spans="1:29" s="900" customFormat="1" ht="28.8">
      <c r="A10" s="939"/>
      <c r="B10" s="940" t="s">
        <v>1366</v>
      </c>
      <c r="C10" s="1277" t="s">
        <v>2845</v>
      </c>
      <c r="D10" s="942">
        <v>100</v>
      </c>
      <c r="E10" s="3191" t="s">
        <v>2844</v>
      </c>
      <c r="F10" s="940">
        <f>SUMIF(65:65,E10,66:66)-SUMIF(65:65,C10,66:66)+100</f>
        <v>97</v>
      </c>
      <c r="G10" s="3191" t="s">
        <v>2844</v>
      </c>
      <c r="H10" s="942">
        <f>SUMIF(65:65,G10,66:66)-SUMIF(65:65,C10,66:66)+100</f>
        <v>97</v>
      </c>
      <c r="I10" s="1277" t="s">
        <v>2845</v>
      </c>
      <c r="J10" s="942">
        <f>SUMIF(65:65,I10,66:66)-SUMIF(65:65,C10,66:66)+100</f>
        <v>100</v>
      </c>
      <c r="K10" s="1069"/>
      <c r="L10" s="1075"/>
      <c r="M10" s="1076"/>
      <c r="N10" s="1076"/>
      <c r="O10" s="1076"/>
      <c r="P10" s="3425"/>
      <c r="Q10" s="790" t="str">
        <f t="shared" si="6"/>
        <v>土地使用年限（年）</v>
      </c>
      <c r="R10" s="1114" t="s">
        <v>1358</v>
      </c>
      <c r="S10" s="1115">
        <f t="shared" si="0"/>
        <v>97</v>
      </c>
      <c r="T10" s="1114" t="s">
        <v>1358</v>
      </c>
      <c r="U10" s="1115">
        <f t="shared" si="1"/>
        <v>97</v>
      </c>
      <c r="V10" s="1114" t="s">
        <v>1358</v>
      </c>
      <c r="W10" s="1115">
        <f t="shared" si="2"/>
        <v>100</v>
      </c>
      <c r="X10" s="1116"/>
      <c r="Y10" s="3378"/>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25"/>
      <c r="Q11" s="790" t="str">
        <f t="shared" si="6"/>
        <v>容积率</v>
      </c>
      <c r="R11" s="1114" t="s">
        <v>1358</v>
      </c>
      <c r="S11" s="1115">
        <f t="shared" si="0"/>
        <v>100</v>
      </c>
      <c r="T11" s="1114" t="s">
        <v>1358</v>
      </c>
      <c r="U11" s="1115">
        <f t="shared" si="1"/>
        <v>100</v>
      </c>
      <c r="V11" s="1114" t="s">
        <v>1358</v>
      </c>
      <c r="W11" s="1115">
        <f t="shared" si="2"/>
        <v>100</v>
      </c>
      <c r="X11" s="1116"/>
      <c r="Y11" s="3378"/>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25"/>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25"/>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25"/>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28" t="s">
        <v>1370</v>
      </c>
      <c r="Q15" s="621" t="str">
        <f t="shared" si="6"/>
        <v>商业繁华度</v>
      </c>
      <c r="R15" s="1118" t="s">
        <v>1358</v>
      </c>
      <c r="S15" s="1119">
        <f t="shared" si="0"/>
        <v>102</v>
      </c>
      <c r="T15" s="1118" t="s">
        <v>1358</v>
      </c>
      <c r="U15" s="1119">
        <f t="shared" si="1"/>
        <v>102</v>
      </c>
      <c r="V15" s="1118" t="s">
        <v>1358</v>
      </c>
      <c r="W15" s="1119">
        <f t="shared" si="2"/>
        <v>102</v>
      </c>
      <c r="X15" s="1113"/>
      <c r="Y15" s="343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1889</v>
      </c>
      <c r="D16" s="963"/>
      <c r="E16" s="962" t="s">
        <v>1371</v>
      </c>
      <c r="F16" s="1068"/>
      <c r="G16" s="962" t="s">
        <v>1371</v>
      </c>
      <c r="H16" s="965"/>
      <c r="I16" s="962" t="s">
        <v>1371</v>
      </c>
      <c r="J16" s="963"/>
      <c r="K16" s="1306"/>
      <c r="L16" s="1081"/>
      <c r="M16" s="1015"/>
      <c r="N16" s="1015"/>
      <c r="O16" s="1015"/>
      <c r="P16" s="3429"/>
      <c r="Q16" s="621"/>
      <c r="R16" s="1118"/>
      <c r="S16" s="1119"/>
      <c r="T16" s="1118"/>
      <c r="U16" s="1119"/>
      <c r="V16" s="1118"/>
      <c r="W16" s="1119"/>
      <c r="X16" s="1113"/>
      <c r="Y16" s="343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29"/>
      <c r="Q17" s="621" t="str">
        <f>B17</f>
        <v>交通便捷度</v>
      </c>
      <c r="R17" s="1118" t="s">
        <v>1358</v>
      </c>
      <c r="S17" s="1119">
        <f>F17</f>
        <v>102</v>
      </c>
      <c r="T17" s="1118" t="s">
        <v>1358</v>
      </c>
      <c r="U17" s="1119">
        <f>H17</f>
        <v>102</v>
      </c>
      <c r="V17" s="1118" t="s">
        <v>1358</v>
      </c>
      <c r="W17" s="1119">
        <f>J17</f>
        <v>102</v>
      </c>
      <c r="X17" s="1113"/>
      <c r="Y17" s="343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29"/>
      <c r="Q18" s="621"/>
      <c r="R18" s="1118"/>
      <c r="S18" s="1119"/>
      <c r="T18" s="1118"/>
      <c r="U18" s="1119"/>
      <c r="V18" s="1118"/>
      <c r="W18" s="1119"/>
      <c r="X18" s="1113"/>
      <c r="Y18" s="343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9"/>
      <c r="Q19" s="621" t="str">
        <f>B19</f>
        <v>公共配套设施</v>
      </c>
      <c r="R19" s="1118" t="s">
        <v>1358</v>
      </c>
      <c r="S19" s="1119">
        <f>F19</f>
        <v>100</v>
      </c>
      <c r="T19" s="1118" t="s">
        <v>1358</v>
      </c>
      <c r="U19" s="1119">
        <f>H19</f>
        <v>100</v>
      </c>
      <c r="V19" s="1118" t="s">
        <v>1358</v>
      </c>
      <c r="W19" s="1119">
        <f>J19</f>
        <v>100</v>
      </c>
      <c r="X19" s="1113"/>
      <c r="Y19" s="343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9"/>
      <c r="Q20" s="621"/>
      <c r="R20" s="1118"/>
      <c r="S20" s="1119"/>
      <c r="T20" s="1118"/>
      <c r="U20" s="1119"/>
      <c r="V20" s="1118"/>
      <c r="W20" s="1119"/>
      <c r="X20" s="1113"/>
      <c r="Y20" s="343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9"/>
      <c r="Q21" s="621" t="str">
        <f>B21</f>
        <v>基础设施水平</v>
      </c>
      <c r="R21" s="1118" t="s">
        <v>1358</v>
      </c>
      <c r="S21" s="1119">
        <f>F21</f>
        <v>100</v>
      </c>
      <c r="T21" s="1118" t="s">
        <v>1358</v>
      </c>
      <c r="U21" s="1119">
        <f>H21</f>
        <v>100</v>
      </c>
      <c r="V21" s="1118" t="s">
        <v>1358</v>
      </c>
      <c r="W21" s="1119">
        <f>J21</f>
        <v>100</v>
      </c>
      <c r="X21" s="1113"/>
      <c r="Y21" s="343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9"/>
      <c r="Q22" s="621"/>
      <c r="R22" s="1118"/>
      <c r="S22" s="1119"/>
      <c r="T22" s="1118"/>
      <c r="U22" s="1119"/>
      <c r="V22" s="1118"/>
      <c r="W22" s="1119"/>
      <c r="X22" s="1113"/>
      <c r="Y22" s="343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9"/>
      <c r="Q23" s="621" t="str">
        <f>B23</f>
        <v>自然及人文环境</v>
      </c>
      <c r="R23" s="1118" t="s">
        <v>1358</v>
      </c>
      <c r="S23" s="1119">
        <f>F23</f>
        <v>100</v>
      </c>
      <c r="T23" s="1118" t="s">
        <v>1358</v>
      </c>
      <c r="U23" s="1119">
        <f>H23</f>
        <v>100</v>
      </c>
      <c r="V23" s="1118" t="s">
        <v>1358</v>
      </c>
      <c r="W23" s="1119">
        <f>J23</f>
        <v>100</v>
      </c>
      <c r="X23" s="1113"/>
      <c r="Y23" s="343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9"/>
      <c r="Q24" s="621"/>
      <c r="R24" s="1118"/>
      <c r="S24" s="1119"/>
      <c r="T24" s="1118"/>
      <c r="U24" s="1119"/>
      <c r="V24" s="1118"/>
      <c r="W24" s="1119"/>
      <c r="X24" s="1113"/>
      <c r="Y24" s="3434"/>
      <c r="Z24" s="1102"/>
      <c r="AA24" s="1102">
        <v>1</v>
      </c>
      <c r="AB24" s="1102">
        <v>1</v>
      </c>
      <c r="AC24" s="1102">
        <v>1</v>
      </c>
    </row>
    <row r="25" spans="1:29" ht="15">
      <c r="A25" s="943"/>
      <c r="B25" s="3194" t="s">
        <v>1606</v>
      </c>
      <c r="C25" s="976" t="s">
        <v>2853</v>
      </c>
      <c r="D25" s="755">
        <v>100</v>
      </c>
      <c r="E25" s="976" t="s">
        <v>2851</v>
      </c>
      <c r="F25" s="1097">
        <f>SUMIF(86:86,E25,87:87)-SUMIF(86:86,C25,87:87)+100</f>
        <v>102</v>
      </c>
      <c r="G25" s="976" t="s">
        <v>2851</v>
      </c>
      <c r="H25" s="755">
        <f>SUMIF(86:86,G25,87:87)-SUMIF(86:86,C25,87:87)+100</f>
        <v>102</v>
      </c>
      <c r="I25" s="976" t="s">
        <v>2851</v>
      </c>
      <c r="J25" s="755">
        <f>SUMIF(86:86,I25,87:87)-SUMIF(86:86,C25,87:87)+100</f>
        <v>102</v>
      </c>
      <c r="K25" s="1088">
        <v>2</v>
      </c>
      <c r="L25" s="1081"/>
      <c r="M25" s="1015"/>
      <c r="N25" s="1015"/>
      <c r="O25" s="1015"/>
      <c r="P25" s="3429"/>
      <c r="Q25" s="621" t="str">
        <f t="shared" ref="Q25:Q46" si="11">B25</f>
        <v>临街状况</v>
      </c>
      <c r="R25" s="1118" t="s">
        <v>1358</v>
      </c>
      <c r="S25" s="1119">
        <f>F25</f>
        <v>102</v>
      </c>
      <c r="T25" s="1118" t="s">
        <v>1358</v>
      </c>
      <c r="U25" s="1119">
        <f>H25</f>
        <v>102</v>
      </c>
      <c r="V25" s="1118" t="s">
        <v>1358</v>
      </c>
      <c r="W25" s="1119">
        <f>J25</f>
        <v>102</v>
      </c>
      <c r="X25" s="1113"/>
      <c r="Y25" s="3434"/>
      <c r="Z25" s="1102" t="str">
        <f>Q25</f>
        <v>临街状况</v>
      </c>
      <c r="AA25" s="1102">
        <f t="shared" si="3"/>
        <v>0.98039215686274506</v>
      </c>
      <c r="AB25" s="1102">
        <f t="shared" si="4"/>
        <v>0.98039215686274506</v>
      </c>
      <c r="AC25" s="1102">
        <f t="shared" si="5"/>
        <v>0.98039215686274506</v>
      </c>
    </row>
    <row r="26" spans="1:29" ht="15">
      <c r="A26" s="943"/>
      <c r="B26" s="1177" t="s">
        <v>1607</v>
      </c>
      <c r="C26" s="3193" t="s">
        <v>2855</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9"/>
      <c r="Q26" s="621" t="str">
        <f t="shared" si="11"/>
        <v>平面位置/可视性</v>
      </c>
      <c r="R26" s="1118" t="s">
        <v>1358</v>
      </c>
      <c r="S26" s="1119">
        <f>F26</f>
        <v>100</v>
      </c>
      <c r="T26" s="1118" t="s">
        <v>1358</v>
      </c>
      <c r="U26" s="1119">
        <f>H26</f>
        <v>100</v>
      </c>
      <c r="V26" s="1118" t="s">
        <v>1358</v>
      </c>
      <c r="W26" s="1119">
        <f>J26</f>
        <v>100</v>
      </c>
      <c r="X26" s="1113"/>
      <c r="Y26" s="3434"/>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29"/>
      <c r="Q27" s="790" t="str">
        <f t="shared" si="11"/>
        <v>人流量</v>
      </c>
      <c r="R27" s="1114" t="s">
        <v>1358</v>
      </c>
      <c r="S27" s="1115">
        <f>F27</f>
        <v>100</v>
      </c>
      <c r="T27" s="1114" t="s">
        <v>1358</v>
      </c>
      <c r="U27" s="1115">
        <f>H27</f>
        <v>100</v>
      </c>
      <c r="V27" s="1114" t="s">
        <v>1358</v>
      </c>
      <c r="W27" s="1115">
        <f>J27</f>
        <v>100</v>
      </c>
      <c r="X27" s="1116"/>
      <c r="Y27" s="3434"/>
      <c r="Z27" s="1126" t="str">
        <f>Q27</f>
        <v>人流量</v>
      </c>
      <c r="AA27" s="1102">
        <f t="shared" si="3"/>
        <v>1</v>
      </c>
      <c r="AB27" s="1102">
        <f t="shared" si="4"/>
        <v>1</v>
      </c>
      <c r="AC27" s="1102">
        <f t="shared" si="5"/>
        <v>1</v>
      </c>
    </row>
    <row r="28" spans="1:29" ht="15">
      <c r="A28" s="943"/>
      <c r="B28" s="940" t="s">
        <v>1378</v>
      </c>
      <c r="C28" s="976" t="s">
        <v>2826</v>
      </c>
      <c r="D28" s="755">
        <v>100</v>
      </c>
      <c r="E28" s="976" t="s">
        <v>2826</v>
      </c>
      <c r="F28" s="1097">
        <f>SUMIF(92:92,E28,93:93)-SUMIF(92:92,C28,93:93)+100</f>
        <v>100</v>
      </c>
      <c r="G28" s="976" t="s">
        <v>2826</v>
      </c>
      <c r="H28" s="755">
        <f>SUMIF(92:92,G28,93:93)-SUMIF(92:92,C28,93:93)+100</f>
        <v>100</v>
      </c>
      <c r="I28" s="976" t="s">
        <v>2826</v>
      </c>
      <c r="J28" s="755">
        <f>SUMIF(92:92,I28,93:93)-SUMIF(92:92,C28,93:93)+100</f>
        <v>100</v>
      </c>
      <c r="K28" s="1087"/>
      <c r="L28" s="1081"/>
      <c r="M28" s="1015"/>
      <c r="N28" s="1015"/>
      <c r="O28" s="1015"/>
      <c r="P28" s="342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9"/>
      <c r="Q29" s="621">
        <f t="shared" si="11"/>
        <v>111</v>
      </c>
      <c r="R29" s="1118" t="s">
        <v>1358</v>
      </c>
      <c r="S29" s="1119">
        <f t="shared" si="12"/>
        <v>100</v>
      </c>
      <c r="T29" s="1118" t="s">
        <v>1358</v>
      </c>
      <c r="U29" s="1119">
        <f t="shared" si="13"/>
        <v>100</v>
      </c>
      <c r="V29" s="1118" t="s">
        <v>1358</v>
      </c>
      <c r="W29" s="1119">
        <f t="shared" si="14"/>
        <v>100</v>
      </c>
      <c r="X29" s="1113"/>
      <c r="Y29" s="343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9"/>
      <c r="Q30" s="621">
        <f t="shared" si="11"/>
        <v>111</v>
      </c>
      <c r="R30" s="1118" t="s">
        <v>1358</v>
      </c>
      <c r="S30" s="1119">
        <f t="shared" si="12"/>
        <v>100</v>
      </c>
      <c r="T30" s="1118" t="s">
        <v>1358</v>
      </c>
      <c r="U30" s="1119">
        <f t="shared" si="13"/>
        <v>100</v>
      </c>
      <c r="V30" s="1118" t="s">
        <v>1358</v>
      </c>
      <c r="W30" s="1119">
        <f t="shared" si="14"/>
        <v>100</v>
      </c>
      <c r="X30" s="1113"/>
      <c r="Y30" s="3434"/>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9"/>
      <c r="Q31" s="621">
        <f t="shared" si="11"/>
        <v>111</v>
      </c>
      <c r="R31" s="1118" t="s">
        <v>1358</v>
      </c>
      <c r="S31" s="1119">
        <f t="shared" si="12"/>
        <v>100</v>
      </c>
      <c r="T31" s="1118" t="s">
        <v>1358</v>
      </c>
      <c r="U31" s="1119">
        <f t="shared" si="13"/>
        <v>100</v>
      </c>
      <c r="V31" s="1118" t="s">
        <v>1358</v>
      </c>
      <c r="W31" s="1119">
        <f t="shared" si="14"/>
        <v>100</v>
      </c>
      <c r="X31" s="1113"/>
      <c r="Y31" s="3434"/>
      <c r="Z31" s="1102">
        <f t="shared" si="15"/>
        <v>111</v>
      </c>
      <c r="AA31" s="1102">
        <f t="shared" si="3"/>
        <v>1</v>
      </c>
      <c r="AB31" s="1102">
        <f t="shared" si="4"/>
        <v>1</v>
      </c>
      <c r="AC31" s="1102">
        <f t="shared" si="5"/>
        <v>1</v>
      </c>
    </row>
    <row r="32" spans="1:29" ht="15">
      <c r="A32" s="956" t="s">
        <v>1381</v>
      </c>
      <c r="B32" s="936" t="s">
        <v>1609</v>
      </c>
      <c r="C32" s="1283" t="s">
        <v>2835</v>
      </c>
      <c r="D32" s="920">
        <v>100</v>
      </c>
      <c r="E32" s="1283" t="s">
        <v>2835</v>
      </c>
      <c r="F32" s="1097">
        <f>SUMIF(100:100,E32,101:101)-SUMIF(100:100,C32,101:101)+100</f>
        <v>100</v>
      </c>
      <c r="G32" s="1283" t="s">
        <v>2835</v>
      </c>
      <c r="H32" s="755">
        <f>SUMIF(100:100,G32,101:101)-SUMIF(100:100,C32,101:101)+100</f>
        <v>100</v>
      </c>
      <c r="I32" s="1283" t="s">
        <v>2835</v>
      </c>
      <c r="J32" s="920">
        <f>SUMIF(100:100,I32,101:101)-SUMIF(100:100,C32,101:101)+100</f>
        <v>100</v>
      </c>
      <c r="K32" s="1088">
        <v>3</v>
      </c>
      <c r="L32" s="1081"/>
      <c r="M32" s="1015"/>
      <c r="N32" s="1015"/>
      <c r="O32" s="1015"/>
      <c r="P32" s="3430" t="s">
        <v>1384</v>
      </c>
      <c r="Q32" s="621" t="str">
        <f t="shared" si="11"/>
        <v>商业类型</v>
      </c>
      <c r="R32" s="1118" t="s">
        <v>1358</v>
      </c>
      <c r="S32" s="1119">
        <f t="shared" si="12"/>
        <v>100</v>
      </c>
      <c r="T32" s="1118" t="s">
        <v>1358</v>
      </c>
      <c r="U32" s="1119">
        <f t="shared" si="13"/>
        <v>100</v>
      </c>
      <c r="V32" s="1118" t="s">
        <v>1358</v>
      </c>
      <c r="W32" s="1119">
        <f t="shared" si="14"/>
        <v>100</v>
      </c>
      <c r="X32" s="1113"/>
      <c r="Y32" s="3435"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17271.7</v>
      </c>
      <c r="D33" s="942">
        <v>100</v>
      </c>
      <c r="E33" s="945">
        <v>93.81</v>
      </c>
      <c r="F33" s="940">
        <f>LOOKUP(E33,103:103,104:104)-LOOKUP(C33,103:103,104:104)+100</f>
        <v>106</v>
      </c>
      <c r="G33" s="944">
        <v>126.85</v>
      </c>
      <c r="H33" s="942">
        <f>LOOKUP(G33,103:103,104:104)-LOOKUP(C33,103:103,104:104)+100</f>
        <v>106</v>
      </c>
      <c r="I33" s="944">
        <v>105.19</v>
      </c>
      <c r="J33" s="942">
        <f>LOOKUP(I33,103:103,104:104)-LOOKUP(C33,103:103,104:104)+100</f>
        <v>106</v>
      </c>
      <c r="K33" s="1087"/>
      <c r="L33" s="1079"/>
      <c r="M33" s="1089"/>
      <c r="N33" s="1089"/>
      <c r="O33" s="1089"/>
      <c r="P33" s="3431"/>
      <c r="Q33" s="1308" t="str">
        <f t="shared" si="11"/>
        <v>项目建筑规模</v>
      </c>
      <c r="R33" s="1120" t="s">
        <v>1358</v>
      </c>
      <c r="S33" s="1121">
        <f t="shared" si="12"/>
        <v>106</v>
      </c>
      <c r="T33" s="1120" t="s">
        <v>1358</v>
      </c>
      <c r="U33" s="1121">
        <f t="shared" si="13"/>
        <v>106</v>
      </c>
      <c r="V33" s="1120" t="s">
        <v>1358</v>
      </c>
      <c r="W33" s="1121">
        <f t="shared" si="14"/>
        <v>106</v>
      </c>
      <c r="X33" s="1122"/>
      <c r="Y33" s="3435"/>
      <c r="Z33" s="1127" t="str">
        <f t="shared" si="15"/>
        <v>项目建筑规模</v>
      </c>
      <c r="AA33" s="1102">
        <f t="shared" si="3"/>
        <v>0.94339622641509435</v>
      </c>
      <c r="AB33" s="1102">
        <f t="shared" si="4"/>
        <v>0.94339622641509435</v>
      </c>
      <c r="AC33" s="1102">
        <f t="shared" si="5"/>
        <v>0.94339622641509435</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31"/>
      <c r="Q34" s="621" t="str">
        <f t="shared" si="11"/>
        <v>建筑结构</v>
      </c>
      <c r="R34" s="1118" t="s">
        <v>1358</v>
      </c>
      <c r="S34" s="1119">
        <f t="shared" si="12"/>
        <v>100</v>
      </c>
      <c r="T34" s="1118" t="s">
        <v>1358</v>
      </c>
      <c r="U34" s="1119">
        <f t="shared" si="13"/>
        <v>100</v>
      </c>
      <c r="V34" s="1118" t="s">
        <v>1358</v>
      </c>
      <c r="W34" s="1119">
        <f t="shared" si="14"/>
        <v>100</v>
      </c>
      <c r="X34" s="1113"/>
      <c r="Y34" s="343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1"/>
      <c r="Q35" s="621" t="str">
        <f t="shared" si="11"/>
        <v>公共部分装修</v>
      </c>
      <c r="R35" s="1118" t="s">
        <v>1358</v>
      </c>
      <c r="S35" s="1119">
        <f t="shared" si="12"/>
        <v>100</v>
      </c>
      <c r="T35" s="1118" t="s">
        <v>1358</v>
      </c>
      <c r="U35" s="1119">
        <f t="shared" si="13"/>
        <v>100</v>
      </c>
      <c r="V35" s="1118" t="s">
        <v>1358</v>
      </c>
      <c r="W35" s="1119">
        <f t="shared" si="14"/>
        <v>100</v>
      </c>
      <c r="X35" s="1113"/>
      <c r="Y35" s="3435"/>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98</v>
      </c>
      <c r="G36" s="1284">
        <f>1-(2025-2005)/60</f>
        <v>0.66666666666666674</v>
      </c>
      <c r="H36" s="1097">
        <f>LOOKUP(G36,110:110,111:111)-LOOKUP(C36,110:110,111:111)+100</f>
        <v>98</v>
      </c>
      <c r="I36" s="1284">
        <f>1-(2025-2012)/60</f>
        <v>0.78333333333333333</v>
      </c>
      <c r="J36" s="755">
        <f>LOOKUP(I36,110:110,111:111)-LOOKUP(C36,110:110,111:111)+100</f>
        <v>99</v>
      </c>
      <c r="K36" s="1088">
        <v>1</v>
      </c>
      <c r="L36" s="1081"/>
      <c r="M36" s="1015"/>
      <c r="N36" s="1015"/>
      <c r="O36" s="1015"/>
      <c r="P36" s="3431"/>
      <c r="Q36" s="621" t="str">
        <f t="shared" si="11"/>
        <v>成新度</v>
      </c>
      <c r="R36" s="1118" t="s">
        <v>1358</v>
      </c>
      <c r="S36" s="1119">
        <f t="shared" si="12"/>
        <v>98</v>
      </c>
      <c r="T36" s="1118" t="s">
        <v>1358</v>
      </c>
      <c r="U36" s="1119">
        <f t="shared" si="13"/>
        <v>98</v>
      </c>
      <c r="V36" s="1118" t="s">
        <v>1358</v>
      </c>
      <c r="W36" s="1119">
        <f t="shared" si="14"/>
        <v>99</v>
      </c>
      <c r="X36" s="1113"/>
      <c r="Y36" s="3435"/>
      <c r="Z36" s="1102" t="str">
        <f t="shared" si="15"/>
        <v>成新度</v>
      </c>
      <c r="AA36" s="1102">
        <f t="shared" si="3"/>
        <v>1.0204081632653061</v>
      </c>
      <c r="AB36" s="1102">
        <f t="shared" si="4"/>
        <v>1.0204081632653061</v>
      </c>
      <c r="AC36" s="1102">
        <f t="shared" si="5"/>
        <v>1.0101010101010102</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1"/>
      <c r="Q37" s="790" t="str">
        <f t="shared" si="11"/>
        <v>市政基础设施</v>
      </c>
      <c r="R37" s="1114" t="s">
        <v>1358</v>
      </c>
      <c r="S37" s="1115">
        <f t="shared" si="12"/>
        <v>100</v>
      </c>
      <c r="T37" s="1114" t="s">
        <v>1358</v>
      </c>
      <c r="U37" s="1115">
        <f t="shared" si="13"/>
        <v>100</v>
      </c>
      <c r="V37" s="1114" t="s">
        <v>1358</v>
      </c>
      <c r="W37" s="1115">
        <f t="shared" si="14"/>
        <v>100</v>
      </c>
      <c r="X37" s="1116"/>
      <c r="Y37" s="3435"/>
      <c r="Z37" s="1126" t="str">
        <f t="shared" si="15"/>
        <v>市政基础设施</v>
      </c>
      <c r="AA37" s="1126">
        <f t="shared" si="3"/>
        <v>1</v>
      </c>
      <c r="AB37" s="1126">
        <f t="shared" si="4"/>
        <v>1</v>
      </c>
      <c r="AC37" s="1126">
        <f t="shared" si="5"/>
        <v>1</v>
      </c>
    </row>
    <row r="38" spans="1:29" ht="15">
      <c r="A38" s="991"/>
      <c r="B38" s="940" t="s">
        <v>1610</v>
      </c>
      <c r="C38" s="992" t="s">
        <v>2836</v>
      </c>
      <c r="D38" s="755">
        <v>100</v>
      </c>
      <c r="E38" s="992" t="s">
        <v>2836</v>
      </c>
      <c r="F38" s="1097">
        <f>SUMIF(114:114,E38,115:115)-SUMIF(114:114,C38,115:115)+100</f>
        <v>100</v>
      </c>
      <c r="G38" s="992" t="s">
        <v>2836</v>
      </c>
      <c r="H38" s="755">
        <f>SUMIF(114:114,G38,115:115)-SUMIF(114:114,C38,115:115)+100</f>
        <v>100</v>
      </c>
      <c r="I38" s="992" t="s">
        <v>2836</v>
      </c>
      <c r="J38" s="755">
        <f>SUMIF(114:114,I38,115:115)-SUMIF(114:114,C38,115:115)+100</f>
        <v>100</v>
      </c>
      <c r="K38" s="1088">
        <v>2</v>
      </c>
      <c r="L38" s="1081"/>
      <c r="M38" s="1015"/>
      <c r="N38" s="1015"/>
      <c r="O38" s="1015"/>
      <c r="P38" s="3431" t="s">
        <v>1384</v>
      </c>
      <c r="Q38" s="621" t="str">
        <f t="shared" si="11"/>
        <v>业态</v>
      </c>
      <c r="R38" s="1118" t="s">
        <v>1358</v>
      </c>
      <c r="S38" s="1119">
        <f t="shared" si="12"/>
        <v>100</v>
      </c>
      <c r="T38" s="1118" t="s">
        <v>1358</v>
      </c>
      <c r="U38" s="1119">
        <f t="shared" si="13"/>
        <v>100</v>
      </c>
      <c r="V38" s="1118" t="s">
        <v>1358</v>
      </c>
      <c r="W38" s="1119">
        <f t="shared" si="14"/>
        <v>100</v>
      </c>
      <c r="X38" s="1113"/>
      <c r="Y38" s="343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31"/>
      <c r="Q39" s="621" t="str">
        <f t="shared" si="11"/>
        <v>层高</v>
      </c>
      <c r="R39" s="1118" t="s">
        <v>1358</v>
      </c>
      <c r="S39" s="1119">
        <f t="shared" si="12"/>
        <v>100</v>
      </c>
      <c r="T39" s="1118" t="s">
        <v>1358</v>
      </c>
      <c r="U39" s="1119">
        <f t="shared" si="13"/>
        <v>100</v>
      </c>
      <c r="V39" s="1118" t="s">
        <v>1358</v>
      </c>
      <c r="W39" s="1119">
        <f t="shared" si="14"/>
        <v>100</v>
      </c>
      <c r="X39" s="1113"/>
      <c r="Y39" s="343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1"/>
      <c r="Q40" s="621" t="str">
        <f t="shared" si="11"/>
        <v>单套建筑面积</v>
      </c>
      <c r="R40" s="1118" t="s">
        <v>1358</v>
      </c>
      <c r="S40" s="1119">
        <f t="shared" si="12"/>
        <v>100</v>
      </c>
      <c r="T40" s="1118" t="s">
        <v>1358</v>
      </c>
      <c r="U40" s="1119">
        <f t="shared" si="13"/>
        <v>100</v>
      </c>
      <c r="V40" s="1118" t="s">
        <v>1358</v>
      </c>
      <c r="W40" s="1119">
        <f t="shared" si="14"/>
        <v>100</v>
      </c>
      <c r="X40" s="1113"/>
      <c r="Y40" s="3435"/>
      <c r="Z40" s="1102" t="str">
        <f t="shared" si="15"/>
        <v>单套建筑面积</v>
      </c>
      <c r="AA40" s="1102">
        <f t="shared" si="3"/>
        <v>1</v>
      </c>
      <c r="AB40" s="1102">
        <f t="shared" si="4"/>
        <v>1</v>
      </c>
      <c r="AC40" s="1102">
        <f t="shared" si="5"/>
        <v>1</v>
      </c>
    </row>
    <row r="41" spans="1:29" s="901" customFormat="1" ht="15">
      <c r="A41" s="996"/>
      <c r="B41" s="1097" t="s">
        <v>1611</v>
      </c>
      <c r="C41" s="976" t="s">
        <v>2837</v>
      </c>
      <c r="D41" s="755">
        <v>100</v>
      </c>
      <c r="E41" s="976" t="s">
        <v>2837</v>
      </c>
      <c r="F41" s="1097">
        <f>SUMIF(120:120,E41,121:121)-SUMIF(120:120,C41,121:121)+100</f>
        <v>100</v>
      </c>
      <c r="G41" s="976" t="s">
        <v>2837</v>
      </c>
      <c r="H41" s="755">
        <f>SUMIF(120:120,G41,121:121)-SUMIF(120:120,C41,121:121)+100</f>
        <v>100</v>
      </c>
      <c r="I41" s="976" t="s">
        <v>2837</v>
      </c>
      <c r="J41" s="755">
        <f>SUMIF(120:120,I41,121:121)-SUMIF(120:120,C41,121:121)+100</f>
        <v>100</v>
      </c>
      <c r="K41" s="1088">
        <v>2</v>
      </c>
      <c r="L41" s="1079"/>
      <c r="M41" s="1089"/>
      <c r="N41" s="1089"/>
      <c r="O41" s="1089"/>
      <c r="P41" s="3431"/>
      <c r="Q41" s="1308" t="str">
        <f t="shared" si="11"/>
        <v>进深比</v>
      </c>
      <c r="R41" s="1120" t="s">
        <v>1358</v>
      </c>
      <c r="S41" s="1121">
        <f t="shared" si="12"/>
        <v>100</v>
      </c>
      <c r="T41" s="1120" t="s">
        <v>1358</v>
      </c>
      <c r="U41" s="1121">
        <f t="shared" si="13"/>
        <v>100</v>
      </c>
      <c r="V41" s="1120" t="s">
        <v>1358</v>
      </c>
      <c r="W41" s="1121">
        <f t="shared" si="14"/>
        <v>100</v>
      </c>
      <c r="X41" s="1122"/>
      <c r="Y41" s="343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31"/>
      <c r="Q42" s="621" t="str">
        <f t="shared" si="11"/>
        <v>内部装修</v>
      </c>
      <c r="R42" s="1118" t="s">
        <v>1358</v>
      </c>
      <c r="S42" s="1119">
        <f t="shared" si="12"/>
        <v>100</v>
      </c>
      <c r="T42" s="1118" t="s">
        <v>1358</v>
      </c>
      <c r="U42" s="1119">
        <f t="shared" si="13"/>
        <v>98</v>
      </c>
      <c r="V42" s="1118" t="s">
        <v>1358</v>
      </c>
      <c r="W42" s="1119">
        <f t="shared" si="14"/>
        <v>100</v>
      </c>
      <c r="X42" s="1113"/>
      <c r="Y42" s="3435"/>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31"/>
      <c r="Q43" s="621" t="str">
        <f t="shared" si="11"/>
        <v>内部装修维护情况</v>
      </c>
      <c r="R43" s="1118" t="s">
        <v>1358</v>
      </c>
      <c r="S43" s="1119">
        <f t="shared" si="12"/>
        <v>100</v>
      </c>
      <c r="T43" s="1118" t="s">
        <v>1358</v>
      </c>
      <c r="U43" s="1119">
        <f t="shared" si="13"/>
        <v>100</v>
      </c>
      <c r="V43" s="1118" t="s">
        <v>1358</v>
      </c>
      <c r="W43" s="1119">
        <f t="shared" si="14"/>
        <v>100</v>
      </c>
      <c r="X43" s="1113"/>
      <c r="Y43" s="3435"/>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31"/>
      <c r="Q44" s="790">
        <f t="shared" si="11"/>
        <v>111</v>
      </c>
      <c r="R44" s="1114" t="s">
        <v>1358</v>
      </c>
      <c r="S44" s="1115">
        <f t="shared" si="12"/>
        <v>100</v>
      </c>
      <c r="T44" s="1114" t="s">
        <v>1358</v>
      </c>
      <c r="U44" s="1115">
        <f t="shared" si="13"/>
        <v>100</v>
      </c>
      <c r="V44" s="1114" t="s">
        <v>1358</v>
      </c>
      <c r="W44" s="1115">
        <f t="shared" si="14"/>
        <v>100</v>
      </c>
      <c r="X44" s="1116"/>
      <c r="Y44" s="3435"/>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1"/>
      <c r="Q45" s="621">
        <f t="shared" si="11"/>
        <v>111</v>
      </c>
      <c r="R45" s="1118" t="s">
        <v>1358</v>
      </c>
      <c r="S45" s="1119">
        <f t="shared" si="12"/>
        <v>100</v>
      </c>
      <c r="T45" s="1118" t="s">
        <v>1358</v>
      </c>
      <c r="U45" s="1119">
        <f t="shared" si="13"/>
        <v>100</v>
      </c>
      <c r="V45" s="1118" t="s">
        <v>1358</v>
      </c>
      <c r="W45" s="1119">
        <f t="shared" si="14"/>
        <v>100</v>
      </c>
      <c r="X45" s="1113"/>
      <c r="Y45" s="3435"/>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2"/>
      <c r="Q46" s="621">
        <f t="shared" si="11"/>
        <v>111</v>
      </c>
      <c r="R46" s="1118" t="s">
        <v>1358</v>
      </c>
      <c r="S46" s="1119">
        <f t="shared" si="12"/>
        <v>100</v>
      </c>
      <c r="T46" s="1118" t="s">
        <v>1358</v>
      </c>
      <c r="U46" s="1119">
        <f t="shared" si="13"/>
        <v>100</v>
      </c>
      <c r="V46" s="1118" t="s">
        <v>1358</v>
      </c>
      <c r="W46" s="1119">
        <f t="shared" si="14"/>
        <v>100</v>
      </c>
      <c r="X46" s="1113"/>
      <c r="Y46" s="343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26" t="str">
        <f>A47</f>
        <v>成交单价（元/平方米）</v>
      </c>
      <c r="Q47" s="3426"/>
      <c r="R47" s="3427">
        <f>E47</f>
        <v>33579</v>
      </c>
      <c r="S47" s="3427"/>
      <c r="T47" s="3427">
        <f>G47</f>
        <v>35081</v>
      </c>
      <c r="U47" s="3427"/>
      <c r="V47" s="3427">
        <f>I47</f>
        <v>33274</v>
      </c>
      <c r="W47" s="3427"/>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095">
        <f>F48+H48+J48</f>
        <v>0</v>
      </c>
      <c r="L48" s="1094"/>
      <c r="M48" s="1015"/>
      <c r="N48" s="1015"/>
      <c r="O48" s="1015"/>
      <c r="P48" s="3426" t="str">
        <f>A48</f>
        <v>比较价值（元/平方米）</v>
      </c>
      <c r="Q48" s="342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055"/>
      <c r="Y48" s="1055"/>
      <c r="Z48" s="1055"/>
      <c r="AA48" s="1055"/>
      <c r="AB48" s="1055"/>
      <c r="AC48" s="1055"/>
    </row>
    <row r="49" spans="1:29" ht="14.4">
      <c r="A49" s="1012" t="s">
        <v>1403</v>
      </c>
      <c r="B49" s="1013"/>
      <c r="C49" s="925" t="e">
        <f>R49</f>
        <v>#DIV/0!</v>
      </c>
      <c r="D49" s="925"/>
      <c r="E49" s="925"/>
      <c r="F49" s="925"/>
      <c r="G49" s="925"/>
      <c r="H49" s="925"/>
      <c r="I49" s="925"/>
      <c r="J49" s="925"/>
      <c r="K49" s="1096"/>
      <c r="L49" s="1094"/>
      <c r="M49" s="1015"/>
      <c r="N49" s="1015"/>
      <c r="O49" s="101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2796</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2845</v>
      </c>
      <c r="D65" s="3192" t="s">
        <v>2844</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2852</v>
      </c>
      <c r="D86" s="2106" t="s">
        <v>2854</v>
      </c>
      <c r="E86" s="2106" t="s">
        <v>2850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2797</v>
      </c>
      <c r="D88" s="2106" t="s">
        <v>2798</v>
      </c>
      <c r="E88" s="2106" t="s">
        <v>2799</v>
      </c>
      <c r="F88" s="3180" t="s">
        <v>2800</v>
      </c>
      <c r="G88" s="2106" t="s">
        <v>2801</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2802</v>
      </c>
      <c r="D90" s="2106" t="s">
        <v>2803</v>
      </c>
      <c r="E90" s="2106" t="s">
        <v>2799</v>
      </c>
      <c r="F90" s="2106" t="s">
        <v>2804</v>
      </c>
      <c r="G90" s="2106" t="s">
        <v>2805</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2824</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2839</v>
      </c>
      <c r="D92" s="1156"/>
      <c r="E92" s="1156"/>
      <c r="F92" s="1156"/>
      <c r="G92" s="1156"/>
      <c r="H92" s="1156"/>
      <c r="I92" s="1156"/>
      <c r="J92" s="1156"/>
      <c r="K92" s="1156"/>
      <c r="L92" s="1313"/>
      <c r="M92" s="1314"/>
      <c r="N92" s="3109" t="s">
        <v>2825</v>
      </c>
      <c r="O92" s="3181">
        <v>0.5</v>
      </c>
      <c r="P92" s="3181"/>
      <c r="R92" s="3182">
        <v>1</v>
      </c>
      <c r="S92" s="3183"/>
      <c r="T92" s="3184">
        <f>('数据-汇总表'!F19-T96)/4</f>
        <v>6840.4325000000008</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2826</v>
      </c>
      <c r="O93" s="3181">
        <v>1</v>
      </c>
      <c r="P93" s="3181"/>
      <c r="R93" s="3182">
        <v>2</v>
      </c>
      <c r="S93" s="3183"/>
      <c r="T93" s="3184">
        <f>T92</f>
        <v>6840.4325000000008</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2827</v>
      </c>
      <c r="O94" s="3181">
        <v>0.7</v>
      </c>
      <c r="P94" s="3181"/>
      <c r="R94" s="3182">
        <v>3</v>
      </c>
      <c r="S94" s="3183"/>
      <c r="T94" s="3184">
        <f>T92</f>
        <v>6840.4325000000008</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2828</v>
      </c>
      <c r="O95" s="3181">
        <v>0.6</v>
      </c>
      <c r="P95" s="3181"/>
      <c r="R95" s="3182">
        <v>4</v>
      </c>
      <c r="S95" s="3183"/>
      <c r="T95" s="3184">
        <f>T92</f>
        <v>6840.4325000000008</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2829</v>
      </c>
      <c r="O96" s="3181">
        <v>0.5</v>
      </c>
      <c r="P96" s="3181"/>
      <c r="Q96" s="901"/>
      <c r="R96" s="3182" t="s">
        <v>2834</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2830</v>
      </c>
      <c r="O97" s="3181">
        <f>(O93+O94)/2</f>
        <v>0.85</v>
      </c>
      <c r="P97" s="3181" t="e">
        <f>ROUND(P100*O97/O100,0)</f>
        <v>#DIV/0!</v>
      </c>
      <c r="Q97" s="1227"/>
      <c r="R97" s="1089"/>
      <c r="S97" s="1089"/>
      <c r="T97" s="3185">
        <f>SUM(T92:T96)</f>
        <v>27483.820000000003</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2831</v>
      </c>
      <c r="O98" s="3181">
        <f>ROUND((O93+O94+O95)/3,2)</f>
        <v>0.77</v>
      </c>
      <c r="P98" s="3181"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2832</v>
      </c>
      <c r="O99" s="3181">
        <f>ROUND((O93+O94++O95+O96)/4,2)</f>
        <v>0.7</v>
      </c>
      <c r="P99" s="3181"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2806</v>
      </c>
      <c r="D100" s="2107" t="s">
        <v>2807</v>
      </c>
      <c r="E100" s="1091"/>
      <c r="F100" s="1091"/>
      <c r="G100" s="1091"/>
      <c r="H100" s="1091"/>
      <c r="I100" s="1091"/>
      <c r="J100" s="1091"/>
      <c r="K100" s="1184"/>
      <c r="L100" s="1185"/>
      <c r="M100" s="1186"/>
      <c r="N100" s="3109" t="s">
        <v>2833</v>
      </c>
      <c r="O100" s="3186">
        <f>'数据-取费表'!V25</f>
        <v>0</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2808</v>
      </c>
      <c r="D105" s="2106" t="s">
        <v>2809</v>
      </c>
      <c r="E105" s="2108" t="s">
        <v>2810</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2811</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2812</v>
      </c>
      <c r="D112" s="2106" t="s">
        <v>2813</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2814</v>
      </c>
      <c r="D114" s="2106" t="s">
        <v>2815</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2816</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2817</v>
      </c>
      <c r="D120" s="2108" t="s">
        <v>2818</v>
      </c>
      <c r="E120" s="2108" t="s">
        <v>2799</v>
      </c>
      <c r="F120" s="2108" t="s">
        <v>2819</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2820</v>
      </c>
      <c r="D122" s="2106" t="s">
        <v>2821</v>
      </c>
      <c r="E122" s="2106" t="s">
        <v>2822</v>
      </c>
      <c r="F122" s="2108" t="s">
        <v>2823</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A13" zoomScale="85" zoomScaleNormal="70" zoomScaleSheetLayoutView="85" workbookViewId="0">
      <selection activeCell="H22" sqref="H2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t="e">
        <f ca="1">J53</f>
        <v>#N/A</v>
      </c>
      <c r="G1" s="1830" t="e">
        <f>MATCH(C1,'数据-取费表'!A6:A16,0)+5</f>
        <v>#N/A</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t="e">
        <f ca="1">ROUND(D2/10000,4)</f>
        <v>#N/A</v>
      </c>
      <c r="C2" s="1833" t="s">
        <v>1149</v>
      </c>
      <c r="D2" s="1834" t="e">
        <f ca="1">C40+J29+L46</f>
        <v>#N/A</v>
      </c>
      <c r="E2" s="1835" t="s">
        <v>1438</v>
      </c>
      <c r="F2" s="1836"/>
      <c r="G2" s="1837"/>
      <c r="H2" s="1838"/>
      <c r="I2" s="1838"/>
      <c r="J2" s="1838"/>
      <c r="K2" s="1993"/>
      <c r="L2" s="1838"/>
      <c r="M2" s="1838"/>
    </row>
    <row r="3" spans="1:37" ht="18" customHeight="1">
      <c r="A3" s="1839" t="s">
        <v>1150</v>
      </c>
      <c r="B3" s="1840">
        <f ca="1">IF(ISERROR(D2/F43),0,ROUND(D2/F43,0))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t="e">
        <f ca="1">C6+C10+C12</f>
        <v>#N/A</v>
      </c>
      <c r="D5" s="1849" t="s">
        <v>1159</v>
      </c>
      <c r="E5" s="1850"/>
      <c r="F5" s="1851"/>
      <c r="G5" s="714"/>
      <c r="H5" s="1846">
        <v>1</v>
      </c>
      <c r="I5" s="1847" t="s">
        <v>1158</v>
      </c>
      <c r="J5" s="1848" t="e">
        <f ca="1">J6+J10+J12</f>
        <v>#N/A</v>
      </c>
      <c r="K5" s="1849" t="s">
        <v>1159</v>
      </c>
      <c r="L5" s="1850"/>
      <c r="M5" s="1851"/>
    </row>
    <row r="6" spans="1:37" ht="18" customHeight="1">
      <c r="A6" s="1852" t="s">
        <v>905</v>
      </c>
      <c r="B6" s="3408" t="s">
        <v>1160</v>
      </c>
      <c r="C6" s="1853" t="e">
        <f ca="1">ROUND(F6*F8*F7*(1-F9),0)</f>
        <v>#N/A</v>
      </c>
      <c r="D6" s="1854" t="s">
        <v>1439</v>
      </c>
      <c r="E6" s="1855" t="s">
        <v>1162</v>
      </c>
      <c r="F6" s="1856" t="e">
        <f ca="1">INDIRECT("'数据-取费表'!u"&amp;$G$1)</f>
        <v>#N/A</v>
      </c>
      <c r="G6" s="714"/>
      <c r="H6" s="1852" t="s">
        <v>905</v>
      </c>
      <c r="I6" s="3408" t="s">
        <v>1160</v>
      </c>
      <c r="J6" s="1926" t="e">
        <f ca="1">ROUND(M6*M8*M7*(1-M9),0)</f>
        <v>#N/A</v>
      </c>
      <c r="K6" s="1996" t="s">
        <v>1440</v>
      </c>
      <c r="L6" s="1855" t="s">
        <v>1162</v>
      </c>
      <c r="M6" s="1856" t="e">
        <f ca="1">INDIRECT("'数据-取费表'!z"&amp;$G$1)</f>
        <v>#N/A</v>
      </c>
    </row>
    <row r="7" spans="1:37" ht="18" customHeight="1">
      <c r="A7" s="1857"/>
      <c r="B7" s="3409"/>
      <c r="C7" s="1858"/>
      <c r="D7" s="1859"/>
      <c r="E7" s="1860" t="s">
        <v>1164</v>
      </c>
      <c r="F7" s="1856" t="e">
        <f ca="1">IF(INDIRECT("'数据-取费表'!ah"&amp;$G$1)="",INDIRECT("'数据-取费表'!k"&amp;$G$1),INDIRECT("'数据-取费表'!ah"&amp;$G$1))</f>
        <v>#N/A</v>
      </c>
      <c r="G7" s="714"/>
      <c r="H7" s="1861"/>
      <c r="I7" s="3409"/>
      <c r="J7" s="1862"/>
      <c r="K7" s="1859"/>
      <c r="L7" s="1855" t="s">
        <v>1164</v>
      </c>
      <c r="M7" s="1856" t="e">
        <f ca="1">F7</f>
        <v>#N/A</v>
      </c>
    </row>
    <row r="8" spans="1:37" ht="18" customHeight="1">
      <c r="A8" s="1861"/>
      <c r="B8" s="3409"/>
      <c r="C8" s="1862"/>
      <c r="D8" s="1859"/>
      <c r="E8" s="1855" t="s">
        <v>1165</v>
      </c>
      <c r="F8" s="1856" t="e">
        <f ca="1">INDIRECT("'数据-取费表'!ai"&amp;$G$1)</f>
        <v>#N/A</v>
      </c>
      <c r="G8" s="714"/>
      <c r="H8" s="1861"/>
      <c r="I8" s="3409"/>
      <c r="J8" s="1862"/>
      <c r="K8" s="1859"/>
      <c r="L8" s="1855" t="s">
        <v>1165</v>
      </c>
      <c r="M8" s="1856" t="e">
        <f ca="1">INDIRECT("'数据-取费表'!ai"&amp;$G$1)</f>
        <v>#N/A</v>
      </c>
    </row>
    <row r="9" spans="1:37" ht="18" customHeight="1">
      <c r="A9" s="1861"/>
      <c r="B9" s="3410"/>
      <c r="C9" s="1862"/>
      <c r="D9" s="1859"/>
      <c r="E9" s="1855" t="s">
        <v>1166</v>
      </c>
      <c r="F9" s="1863" t="e">
        <f ca="1">INDIRECT("'数据-取费表'!w"&amp;$G$1)</f>
        <v>#N/A</v>
      </c>
      <c r="G9" s="714"/>
      <c r="H9" s="1861"/>
      <c r="I9" s="3410"/>
      <c r="J9" s="1862"/>
      <c r="K9" s="1859"/>
      <c r="L9" s="1866" t="s">
        <v>1166</v>
      </c>
      <c r="M9" s="1871" t="e">
        <f ca="1">INDIRECT("'数据-取费表'!ab"&amp;$G$1)</f>
        <v>#N/A</v>
      </c>
    </row>
    <row r="10" spans="1:37" ht="18" customHeight="1">
      <c r="A10" s="1852" t="s">
        <v>909</v>
      </c>
      <c r="B10" s="1864" t="s">
        <v>1167</v>
      </c>
      <c r="C10" s="1468" t="e">
        <f ca="1">ROUND(IF(F10="押一",C6/12*F11,IF(F10="押二",C6/12*2*F11,IF(F10="押三",C6/12*3*F11,C11*F11))),0)</f>
        <v>#N/A</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t="e">
        <f ca="1">ROUND(C29*F13,0)</f>
        <v>#N/A</v>
      </c>
      <c r="D13" s="1882" t="s">
        <v>1174</v>
      </c>
      <c r="E13" s="1882" t="s">
        <v>1175</v>
      </c>
      <c r="F13" s="1883" t="e">
        <f ca="1">INDIRECT("'数据-取费表'!y"&amp;$G$1)</f>
        <v>#N/A</v>
      </c>
      <c r="G13" s="714"/>
      <c r="H13" s="1879">
        <v>2</v>
      </c>
      <c r="I13" s="1880" t="s">
        <v>1173</v>
      </c>
      <c r="J13" s="2002" t="e">
        <f ca="1">ROUND(J14*J15,0)</f>
        <v>#N/A</v>
      </c>
      <c r="K13" s="1904" t="s">
        <v>1174</v>
      </c>
      <c r="L13" s="2003"/>
      <c r="M13" s="2004"/>
    </row>
    <row r="14" spans="1:37" ht="18" customHeight="1">
      <c r="A14" s="1884" t="s">
        <v>928</v>
      </c>
      <c r="B14" s="1855" t="s">
        <v>1176</v>
      </c>
      <c r="C14" s="1885" t="e">
        <f ca="1">ROUND(INDIRECT("'数据-取费表'!l"&amp;$G$1)*F43+'数据-取费表'!L14*INDIRECT("'数据-取费表'!S"&amp;$G$1),0)</f>
        <v>#N/A</v>
      </c>
      <c r="D14" s="1886" t="s">
        <v>1177</v>
      </c>
      <c r="E14" s="1887"/>
      <c r="F14" s="1888"/>
      <c r="G14" s="714"/>
      <c r="H14" s="1884" t="s">
        <v>905</v>
      </c>
      <c r="I14" s="1855" t="s">
        <v>1178</v>
      </c>
      <c r="J14" s="1469" t="e">
        <f ca="1">C29</f>
        <v>#N/A</v>
      </c>
      <c r="K14" s="2005"/>
      <c r="L14" s="2006"/>
      <c r="M14" s="2007"/>
    </row>
    <row r="15" spans="1:37" s="1823" customFormat="1" ht="18" customHeight="1">
      <c r="A15" s="1884" t="s">
        <v>933</v>
      </c>
      <c r="B15" s="1855" t="s">
        <v>1107</v>
      </c>
      <c r="C15" s="1469" t="e">
        <f ca="1">ROUND(C14*F15,0)</f>
        <v>#N/A</v>
      </c>
      <c r="D15" s="1889" t="s">
        <v>1179</v>
      </c>
      <c r="E15" s="1889" t="s">
        <v>1180</v>
      </c>
      <c r="F15" s="1890">
        <f>'数据-取费表'!B33</f>
        <v>0.05</v>
      </c>
      <c r="G15" s="1891"/>
      <c r="H15" s="1892" t="s">
        <v>909</v>
      </c>
      <c r="I15" s="1877" t="s">
        <v>1175</v>
      </c>
      <c r="J15" s="2001" t="e">
        <f ca="1">INDIRECT("'数据-取费表'!ad"&amp;$G$1)</f>
        <v>#N/A</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t="e">
        <f ca="1">ROUND(INDIRECT("'数据-取费表'!l"&amp;$G$1)*F43*F16,0)</f>
        <v>#N/A</v>
      </c>
      <c r="D16" s="1855" t="s">
        <v>1179</v>
      </c>
      <c r="E16" s="1855" t="s">
        <v>1180</v>
      </c>
      <c r="F16" s="1893" t="e">
        <f ca="1">IF(INDIRECT("'数据-取费表'!c"&amp;$G$1)="住宅",'数据-取费表'!B34,0)</f>
        <v>#N/A</v>
      </c>
      <c r="G16" s="714"/>
      <c r="H16" s="1879" t="s">
        <v>1181</v>
      </c>
      <c r="I16" s="1880" t="s">
        <v>1182</v>
      </c>
      <c r="J16" s="1881" t="e">
        <f ca="1">ROUND(J17+J22+J23+J24,0)</f>
        <v>#N/A</v>
      </c>
      <c r="K16" s="1904" t="s">
        <v>1183</v>
      </c>
      <c r="L16" s="1905"/>
      <c r="M16" s="1851"/>
    </row>
    <row r="17" spans="1:37" s="1823" customFormat="1" ht="18" customHeight="1">
      <c r="A17" s="1884" t="s">
        <v>1184</v>
      </c>
      <c r="B17" s="1855" t="s">
        <v>1185</v>
      </c>
      <c r="C17" s="1469" t="e">
        <f ca="1">ROUND(F17*(F43+INDIRECT("'数据-取费表'!S"&amp;$G$1)),0)</f>
        <v>#N/A</v>
      </c>
      <c r="D17" s="1855" t="s">
        <v>1186</v>
      </c>
      <c r="E17" s="1855" t="s">
        <v>1187</v>
      </c>
      <c r="F17" s="1894">
        <f>'数据-取费表'!B35</f>
        <v>200</v>
      </c>
      <c r="G17" s="1891"/>
      <c r="H17" s="1884" t="s">
        <v>905</v>
      </c>
      <c r="I17" s="1855" t="s">
        <v>1188</v>
      </c>
      <c r="J17" s="1907" t="e">
        <f ca="1">ROUND(IF(AND(项目基本情况!B11="自然人",项目基本情况!B10="北京市"),J6*M17/(1+'数据-取费表'!C42),J18+J19+J20),0)</f>
        <v>#N/A</v>
      </c>
      <c r="K17" s="1886" t="s">
        <v>1189</v>
      </c>
      <c r="L17" s="1908" t="s">
        <v>1190</v>
      </c>
      <c r="M17" s="1909" t="e">
        <f ca="1">IF(项目基本情况!B11="企业","",IF('数据-取费表'!B10="住宅",IF(M6*M7*M8/12/(1+'数据-取费表'!F30)&gt;100000,4%,2.5%),IF(M6*M7*M8/12/(1+'数据-取费表'!F30)&gt;100000,12%,7%)))</f>
        <v>#N/A</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t="e">
        <f ca="1">ROUND(C14*F18,0)</f>
        <v>#N/A</v>
      </c>
      <c r="D18" s="1855" t="s">
        <v>1179</v>
      </c>
      <c r="E18" s="1855" t="s">
        <v>1180</v>
      </c>
      <c r="F18" s="1893">
        <f>'数据-取费表'!B36</f>
        <v>0.02</v>
      </c>
      <c r="G18" s="1891"/>
      <c r="H18" s="1884" t="s">
        <v>928</v>
      </c>
      <c r="I18" s="1855" t="s">
        <v>1192</v>
      </c>
      <c r="J18" s="1469" t="e">
        <f ca="1">ROUND(J6*M18/(1+'数据-取费表'!C42),0)</f>
        <v>#N/A</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t="e">
        <f ca="1">SUM(C14:C18)</f>
        <v>#N/A</v>
      </c>
      <c r="D19" s="1895" t="s">
        <v>1195</v>
      </c>
      <c r="E19" s="1471"/>
      <c r="F19" s="1894"/>
      <c r="G19" s="714"/>
      <c r="H19" s="1884" t="s">
        <v>933</v>
      </c>
      <c r="I19" s="1855" t="s">
        <v>1196</v>
      </c>
      <c r="J19" s="1469" t="e">
        <f ca="1">IF(K19="按租金收入计税",ROUND(J6*M19/(1+'数据-取费表'!C42),0),ROUND(C29*M19*0.7,0))</f>
        <v>#N/A</v>
      </c>
      <c r="K19" s="1911" t="s">
        <v>1197</v>
      </c>
      <c r="L19" s="1855" t="s">
        <v>1180</v>
      </c>
      <c r="M19" s="1893">
        <f>IF(K19="按租金收入计税",'数据-取费表'!B51,'数据-取费表'!B50)</f>
        <v>0.12</v>
      </c>
    </row>
    <row r="20" spans="1:37" s="1823" customFormat="1" ht="18" customHeight="1">
      <c r="A20" s="1884" t="s">
        <v>909</v>
      </c>
      <c r="B20" s="1855" t="s">
        <v>1198</v>
      </c>
      <c r="C20" s="1469" t="e">
        <f ca="1">ROUND(C19*F20,0)</f>
        <v>#N/A</v>
      </c>
      <c r="D20" s="1896" t="s">
        <v>1199</v>
      </c>
      <c r="E20" s="1855" t="s">
        <v>1180</v>
      </c>
      <c r="F20" s="1893">
        <f>'数据-取费表'!B37</f>
        <v>0.02</v>
      </c>
      <c r="G20" s="1891"/>
      <c r="H20" s="1884" t="s">
        <v>936</v>
      </c>
      <c r="I20" s="1854" t="s">
        <v>1200</v>
      </c>
      <c r="J20" s="1913" t="e">
        <f ca="1">ROUND(M20*M21,0)</f>
        <v>#N/A</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t="e">
        <f ca="1">INDIRECT("'数据-取费表'!r"&amp;$G$1)</f>
        <v>#N/A</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单利计息。建造成本、管理费用、销售费用产生的利息。</v>
      </c>
      <c r="E22" s="1471"/>
      <c r="F22" s="1894"/>
      <c r="G22" s="714"/>
      <c r="H22" s="1884" t="s">
        <v>909</v>
      </c>
      <c r="I22" s="1855" t="s">
        <v>1208</v>
      </c>
      <c r="J22" s="1469" t="e">
        <f ca="1">ROUND(J14*M22,0)</f>
        <v>#N/A</v>
      </c>
      <c r="K22" s="1908" t="s">
        <v>1209</v>
      </c>
      <c r="L22" s="1855" t="s">
        <v>1180</v>
      </c>
      <c r="M22" s="1920" t="e">
        <f ca="1">INDIRECT("'数据-取费表'!Ak"&amp;$G$1)</f>
        <v>#N/A</v>
      </c>
    </row>
    <row r="23" spans="1:37" s="1823" customFormat="1" ht="18" customHeight="1">
      <c r="A23" s="1884" t="s">
        <v>928</v>
      </c>
      <c r="B23" s="1855" t="s">
        <v>1210</v>
      </c>
      <c r="C23" s="1469" t="e">
        <f ca="1">IF('数据-取费表'!B22&lt;=1,ROUND(C19*F24*F23/2,0)+ROUND(C20*F24*F23/2,0),ROUND(C19*(POWER((1+F24),F23/2)-1),0)+ROUND(C20*(POWER((1+F24),F23/2)-1),0))</f>
        <v>#N/A</v>
      </c>
      <c r="D23" s="1418" t="str">
        <f>IF(F23&lt;=1,"(建造成本+管理费用)×利率×(建设周期÷2)","(建造成本+管理费用)×((1+利率)^(建设周期÷2)-1)")</f>
        <v>(建造成本+管理费用)×利率×(建设周期÷2)</v>
      </c>
      <c r="E23" s="1855" t="s">
        <v>1211</v>
      </c>
      <c r="F23" s="1898">
        <f>'数据-取费表'!B20</f>
        <v>1</v>
      </c>
      <c r="G23" s="1891"/>
      <c r="H23" s="1884" t="s">
        <v>956</v>
      </c>
      <c r="I23" s="1855" t="s">
        <v>1212</v>
      </c>
      <c r="J23" s="1469" t="e">
        <f ca="1">ROUND(J13*M23,0)</f>
        <v>#N/A</v>
      </c>
      <c r="K23" s="1908" t="s">
        <v>1213</v>
      </c>
      <c r="L23" s="1855" t="s">
        <v>1180</v>
      </c>
      <c r="M23" s="1921" t="e">
        <f ca="1">INDIRECT("'数据-取费表'!Al"&amp;$G$1)</f>
        <v>#N/A</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2.9999999999999997E-4</v>
      </c>
      <c r="D24" s="1418" t="str">
        <f>IF(F23&lt;=1,"销售费用×利率×(建设周期÷2)","销售费用×((1+利率)^(建设周期÷2)-1)")</f>
        <v>销售费用×利率×(建设周期÷2)</v>
      </c>
      <c r="E24" s="1855" t="s">
        <v>1215</v>
      </c>
      <c r="F24" s="1899">
        <f ca="1">'数据-取费表'!B40</f>
        <v>0.03</v>
      </c>
      <c r="G24" s="1891"/>
      <c r="H24" s="1892" t="s">
        <v>959</v>
      </c>
      <c r="I24" s="1877" t="s">
        <v>1198</v>
      </c>
      <c r="J24" s="1900" t="e">
        <f ca="1">ROUND(J5*M24,0)</f>
        <v>#N/A</v>
      </c>
      <c r="K24" s="1901" t="s">
        <v>1216</v>
      </c>
      <c r="L24" s="1877" t="s">
        <v>1180</v>
      </c>
      <c r="M24" s="1878" t="e">
        <f ca="1">INDIRECT("'数据-取费表'!Am"&amp;$G$1)</f>
        <v>#N/A</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t="e">
        <f ca="1">J5-J16</f>
        <v>#N/A</v>
      </c>
      <c r="K25" s="1923" t="s">
        <v>1221</v>
      </c>
      <c r="L25" s="1924"/>
      <c r="M25" s="1925"/>
    </row>
    <row r="26" spans="1:37" ht="18" customHeight="1">
      <c r="A26" s="1884" t="s">
        <v>928</v>
      </c>
      <c r="B26" s="1855" t="s">
        <v>1222</v>
      </c>
      <c r="C26" s="1469" t="e">
        <f ca="1">ROUND((C19+C20)*F26,0)</f>
        <v>#N/A</v>
      </c>
      <c r="D26" s="1896" t="s">
        <v>1223</v>
      </c>
      <c r="E26" s="1866" t="s">
        <v>1224</v>
      </c>
      <c r="F26" s="1863" t="e">
        <f ca="1">INDIRECT("'数据-取费表'!q"&amp;$G$1)</f>
        <v>#N/A</v>
      </c>
      <c r="G26" s="714"/>
      <c r="H26" s="1846" t="s">
        <v>1225</v>
      </c>
      <c r="I26" s="1847" t="s">
        <v>1226</v>
      </c>
      <c r="J26" s="1926" t="e">
        <f ca="1">IF(J5&lt;&gt;0,ROUND(J25*(1-((1+M28)/(1+M26))^M27)/(M26-M28),0),0)</f>
        <v>#N/A</v>
      </c>
      <c r="K26" s="1914" t="s">
        <v>1227</v>
      </c>
      <c r="L26" s="1855" t="s">
        <v>1228</v>
      </c>
      <c r="M26" s="1863" t="e">
        <f ca="1">INDIRECT("'数据-取费表'!I"&amp;$G$1)</f>
        <v>#N/A</v>
      </c>
    </row>
    <row r="27" spans="1:37" ht="18" customHeight="1">
      <c r="A27" s="1884" t="s">
        <v>933</v>
      </c>
      <c r="B27" s="1855" t="s">
        <v>1229</v>
      </c>
      <c r="C27" s="1469" t="e">
        <f ca="1">ROUND(F21*F26,4)</f>
        <v>#N/A</v>
      </c>
      <c r="D27" s="1896" t="s">
        <v>1230</v>
      </c>
      <c r="E27" s="1889"/>
      <c r="F27" s="1890"/>
      <c r="G27" s="714"/>
      <c r="H27" s="1861"/>
      <c r="I27" s="1928"/>
      <c r="J27" s="1862"/>
      <c r="K27" s="1929" t="s">
        <v>1231</v>
      </c>
      <c r="L27" s="1855" t="s">
        <v>1232</v>
      </c>
      <c r="M27" s="1930" t="e">
        <f ca="1">INDIRECT("'数据-取费表'!ag"&amp;$G$1)</f>
        <v>#N/A</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t="e">
        <f ca="1">INDIRECT("'数据-取费表'!aa"&amp;$G$1)</f>
        <v>#N/A</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t="e">
        <f ca="1">ROUND((C19+C20+C23+C26)/(1-F21-C24-C27-C28),0)</f>
        <v>#N/A</v>
      </c>
      <c r="D29" s="1901"/>
      <c r="E29" s="1877"/>
      <c r="F29" s="1902"/>
      <c r="G29" s="1891"/>
      <c r="H29" s="1903" t="s">
        <v>1237</v>
      </c>
      <c r="I29" s="1932" t="s">
        <v>1238</v>
      </c>
      <c r="J29" s="1933" t="e">
        <f ca="1">ROUND(J26/(1+F40)^F41,0)</f>
        <v>#N/A</v>
      </c>
      <c r="K29" s="1934" t="s">
        <v>1239</v>
      </c>
      <c r="L29" s="1935"/>
      <c r="M29" s="1936" t="e">
        <f ca="1">INDIRECT("'数据-取费表'!k"&amp;$G$1)</f>
        <v>#N/A</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t="e">
        <f ca="1">ROUND(C31+C36+C37+C38,0)</f>
        <v>#N/A</v>
      </c>
      <c r="D30" s="1904" t="s">
        <v>1183</v>
      </c>
      <c r="E30" s="1905"/>
      <c r="F30" s="1851"/>
      <c r="G30" s="714"/>
      <c r="H30" s="1906"/>
      <c r="I30" s="2012"/>
      <c r="J30" s="2013"/>
      <c r="K30" s="1458"/>
      <c r="L30" s="2014"/>
      <c r="M30" s="2015"/>
    </row>
    <row r="31" spans="1:37" ht="18" customHeight="1">
      <c r="A31" s="1884" t="s">
        <v>905</v>
      </c>
      <c r="B31" s="1855" t="s">
        <v>1188</v>
      </c>
      <c r="C31" s="1907" t="e">
        <f ca="1">ROUND(IF(AND(项目基本情况!B11="自然人",项目基本情况!B10="北京市"),C6*F31/(1+'数据-取费表'!C42),C32+C33+C34),0)</f>
        <v>#N/A</v>
      </c>
      <c r="D31" s="1886" t="s">
        <v>1189</v>
      </c>
      <c r="E31" s="1908" t="s">
        <v>1190</v>
      </c>
      <c r="F31" s="1909" t="e">
        <f ca="1">IF(项目基本情况!B11="企业","——",IF(M47="住宅",IF(F6*F7*F8/12/(1+'数据-取费表'!F30)&gt;100000,4%,2.5%),IF(F6*F7*F8/12/(1+'数据-取费表'!F30)&gt;100000,12%,7%)))</f>
        <v>#N/A</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t="e">
        <f ca="1">INDIRECT("'数据-取费表'!r"&amp;$G$1)</f>
        <v>#N/A</v>
      </c>
      <c r="G35" s="714"/>
      <c r="H35" s="1906"/>
      <c r="I35" s="2012"/>
      <c r="J35" s="2013"/>
      <c r="K35" s="2016"/>
      <c r="L35" s="1912"/>
      <c r="M35" s="1912"/>
    </row>
    <row r="36" spans="1:18" ht="18" customHeight="1">
      <c r="A36" s="1919" t="s">
        <v>909</v>
      </c>
      <c r="B36" s="1855" t="s">
        <v>1208</v>
      </c>
      <c r="C36" s="1469" t="e">
        <f ca="1">ROUND(C29*F36,0)</f>
        <v>#N/A</v>
      </c>
      <c r="D36" s="1908" t="s">
        <v>1241</v>
      </c>
      <c r="E36" s="1855" t="s">
        <v>1180</v>
      </c>
      <c r="F36" s="1920" t="e">
        <f ca="1">INDIRECT("'数据-取费表'!Ak"&amp;$G$1)</f>
        <v>#N/A</v>
      </c>
      <c r="G36" s="714"/>
      <c r="H36" s="1912"/>
      <c r="I36" s="2012"/>
      <c r="J36" s="2013"/>
      <c r="K36" s="2019"/>
      <c r="L36" s="1912"/>
      <c r="M36" s="1912"/>
    </row>
    <row r="37" spans="1:18" ht="18" customHeight="1">
      <c r="A37" s="1884" t="s">
        <v>956</v>
      </c>
      <c r="B37" s="1855" t="s">
        <v>1212</v>
      </c>
      <c r="C37" s="1469" t="e">
        <f ca="1">ROUND(C13*F37,0)</f>
        <v>#N/A</v>
      </c>
      <c r="D37" s="1908" t="s">
        <v>1213</v>
      </c>
      <c r="E37" s="1855" t="s">
        <v>1180</v>
      </c>
      <c r="F37" s="1921" t="e">
        <f ca="1">INDIRECT("'数据-取费表'!Al"&amp;$G$1)</f>
        <v>#N/A</v>
      </c>
      <c r="G37" s="714"/>
      <c r="H37" s="1912"/>
      <c r="I37" s="2012"/>
      <c r="J37" s="2013"/>
      <c r="K37" s="2019"/>
      <c r="L37" s="1912"/>
      <c r="M37" s="1912"/>
    </row>
    <row r="38" spans="1:18" ht="18" customHeight="1">
      <c r="A38" s="1892" t="s">
        <v>959</v>
      </c>
      <c r="B38" s="1877" t="s">
        <v>1198</v>
      </c>
      <c r="C38" s="1900" t="e">
        <f ca="1">ROUND(C5*F38,0)</f>
        <v>#N/A</v>
      </c>
      <c r="D38" s="1901" t="s">
        <v>1216</v>
      </c>
      <c r="E38" s="1877" t="s">
        <v>1180</v>
      </c>
      <c r="F38" s="1878" t="e">
        <f ca="1">INDIRECT("'数据-取费表'!Am"&amp;$G$1)</f>
        <v>#N/A</v>
      </c>
      <c r="G38" s="714"/>
      <c r="H38" s="1912"/>
      <c r="I38" s="2012"/>
      <c r="J38" s="2013"/>
      <c r="K38" s="2014"/>
      <c r="L38" s="1912"/>
      <c r="M38" s="1912"/>
    </row>
    <row r="39" spans="1:18" ht="24.6" customHeight="1">
      <c r="A39" s="1879" t="s">
        <v>1219</v>
      </c>
      <c r="B39" s="1922" t="s">
        <v>1220</v>
      </c>
      <c r="C39" s="1881" t="e">
        <f ca="1">C5-C30</f>
        <v>#N/A</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#N/A</v>
      </c>
      <c r="D40" s="1914" t="s">
        <v>1227</v>
      </c>
      <c r="E40" s="1855" t="s">
        <v>1228</v>
      </c>
      <c r="F40" s="1863" t="e">
        <f ca="1">INDIRECT("'数据-取费表'!I"&amp;$G$1)</f>
        <v>#N/A</v>
      </c>
      <c r="G40" s="714"/>
      <c r="H40" s="1927" t="e">
        <f ca="1">C39/C5</f>
        <v>#N/A</v>
      </c>
      <c r="I40" s="2012"/>
      <c r="J40" s="2013"/>
      <c r="K40" s="2014"/>
      <c r="L40" s="1927"/>
      <c r="M40" s="1927"/>
    </row>
    <row r="41" spans="1:18" ht="18" customHeight="1">
      <c r="A41" s="1861"/>
      <c r="B41" s="1928"/>
      <c r="C41" s="1862"/>
      <c r="D41" s="1929" t="s">
        <v>1231</v>
      </c>
      <c r="E41" s="1855" t="s">
        <v>1232</v>
      </c>
      <c r="F41" s="1930" t="e">
        <f ca="1">IF(INDIRECT("'数据-取费表'!af"&amp;$G$1)=0,INDIRECT("'数据-取费表'!ae"&amp;$G$1),INDIRECT("'数据-取费表'!af"&amp;$G$1))</f>
        <v>#N/A</v>
      </c>
      <c r="G41" s="714"/>
      <c r="H41" s="1458"/>
      <c r="I41" s="2012"/>
      <c r="J41" s="2013"/>
      <c r="K41" s="2019"/>
      <c r="L41" s="1458"/>
      <c r="M41" s="1458"/>
    </row>
    <row r="42" spans="1:18" ht="18" customHeight="1">
      <c r="A42" s="1868"/>
      <c r="B42" s="1931"/>
      <c r="C42" s="1881"/>
      <c r="D42" s="1918"/>
      <c r="E42" s="1855" t="s">
        <v>1235</v>
      </c>
      <c r="F42" s="1863" t="e">
        <f ca="1">INDIRECT("'数据-取费表'!v"&amp;$G$1)</f>
        <v>#N/A</v>
      </c>
      <c r="G42" s="714"/>
      <c r="H42" s="1458"/>
      <c r="I42" s="2012"/>
      <c r="J42" s="2013"/>
      <c r="K42" s="2019"/>
      <c r="L42" s="1458"/>
      <c r="M42" s="1458"/>
    </row>
    <row r="43" spans="1:18" ht="18" customHeight="1">
      <c r="A43" s="1903" t="s">
        <v>1237</v>
      </c>
      <c r="B43" s="1932" t="s">
        <v>1243</v>
      </c>
      <c r="C43" s="1933" t="e">
        <f ca="1">ROUND(C40/F43,0)</f>
        <v>#N/A</v>
      </c>
      <c r="D43" s="1934" t="s">
        <v>1244</v>
      </c>
      <c r="E43" s="1935" t="s">
        <v>1245</v>
      </c>
      <c r="F43" s="1936" t="e">
        <f ca="1">INDIRECT("'数据-取费表'!k"&amp;$G$1)</f>
        <v>#N/A</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t="e">
        <f ca="1">ROUND((C68-C40)/10000,4)</f>
        <v>#N/A</v>
      </c>
      <c r="D45" s="1941" t="s">
        <v>1446</v>
      </c>
      <c r="E45" s="1937"/>
      <c r="F45" s="1937"/>
      <c r="O45" s="2021" t="s">
        <v>1246</v>
      </c>
      <c r="P45" s="1927"/>
      <c r="Q45" s="1927"/>
      <c r="R45" s="1927"/>
    </row>
    <row r="46" spans="1:18" s="714" customFormat="1">
      <c r="A46" s="1942" t="s">
        <v>1247</v>
      </c>
      <c r="C46" s="1943" t="e">
        <f ca="1">ROUND(C45,0)</f>
        <v>#N/A</v>
      </c>
      <c r="D46" s="1944" t="str">
        <f>C2</f>
        <v>万元</v>
      </c>
      <c r="I46" s="2022" t="s">
        <v>1248</v>
      </c>
      <c r="J46" s="2023"/>
      <c r="K46" s="2024"/>
      <c r="L46" s="2025" t="e">
        <f ca="1">IF(M47="住宅",0,IF(L48&gt;J51,L60,J60))</f>
        <v>#N/A</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t="e">
        <f ca="1">INDIRECT("'数据-取费表'!d"&amp;$G$1)</f>
        <v>#N/A</v>
      </c>
      <c r="M47" s="2032" t="str">
        <f>IF(ISNUMBER(FIND("住宅",C1)),"住宅","非住宅")</f>
        <v>非住宅</v>
      </c>
      <c r="O47" s="2033" t="s">
        <v>1012</v>
      </c>
      <c r="P47" s="2034" t="s">
        <v>1255</v>
      </c>
      <c r="Q47" s="2070" t="e">
        <f ca="1">C40+J29</f>
        <v>#N/A</v>
      </c>
      <c r="R47" s="2070" t="s">
        <v>1256</v>
      </c>
    </row>
    <row r="48" spans="1:18" s="714" customFormat="1" ht="39.6">
      <c r="A48" s="1949" t="s">
        <v>1257</v>
      </c>
      <c r="B48" s="1847" t="s">
        <v>1158</v>
      </c>
      <c r="C48" s="1470" t="e">
        <f ca="1">C49+C53+C55</f>
        <v>#N/A</v>
      </c>
      <c r="D48" s="1950"/>
      <c r="E48" s="1951"/>
      <c r="F48" s="1952"/>
      <c r="G48" s="1948"/>
      <c r="H48" s="1953"/>
      <c r="I48" s="2035" t="s">
        <v>1258</v>
      </c>
      <c r="J48" s="2036" t="s">
        <v>1447</v>
      </c>
      <c r="K48" s="2037" t="s">
        <v>1259</v>
      </c>
      <c r="L48" s="2038" t="e">
        <f ca="1">INDIRECT("'数据-取费表'!f"&amp;$G$1)</f>
        <v>#N/A</v>
      </c>
      <c r="O48" s="2033" t="s">
        <v>1015</v>
      </c>
      <c r="P48" s="2034" t="s">
        <v>1260</v>
      </c>
      <c r="Q48" s="2070" t="e">
        <f ca="1">J60</f>
        <v>#N/A</v>
      </c>
      <c r="R48" s="2070" t="s">
        <v>1261</v>
      </c>
    </row>
    <row r="49" spans="1:18" s="714" customFormat="1">
      <c r="A49" s="1954" t="s">
        <v>1262</v>
      </c>
      <c r="B49" s="1955" t="s">
        <v>1263</v>
      </c>
      <c r="C49" s="1956" t="e">
        <f ca="1">ROUND(F49*F51*F50*(1-F52),0)</f>
        <v>#N/A</v>
      </c>
      <c r="D49" s="1957" t="s">
        <v>1448</v>
      </c>
      <c r="E49" s="1958" t="s">
        <v>1264</v>
      </c>
      <c r="F49" s="1959"/>
      <c r="H49" s="1953"/>
      <c r="I49" s="2035" t="s">
        <v>1265</v>
      </c>
      <c r="J49" s="2039">
        <f>'数据-取费表'!N17</f>
        <v>2015</v>
      </c>
      <c r="K49" s="2037" t="s">
        <v>1266</v>
      </c>
      <c r="L49" s="2040"/>
      <c r="O49" s="2041" t="s">
        <v>1267</v>
      </c>
      <c r="P49" s="2034" t="s">
        <v>1268</v>
      </c>
      <c r="Q49" s="2070" t="e">
        <f ca="1">C29</f>
        <v>#N/A</v>
      </c>
      <c r="R49" s="2070" t="s">
        <v>1256</v>
      </c>
    </row>
    <row r="50" spans="1:18" s="714" customFormat="1">
      <c r="A50" s="1960"/>
      <c r="B50" s="1431"/>
      <c r="C50" s="1961"/>
      <c r="D50" s="1962"/>
      <c r="E50" s="1963" t="s">
        <v>1164</v>
      </c>
      <c r="F50" s="1964" t="e">
        <f ca="1">F7</f>
        <v>#N/A</v>
      </c>
      <c r="H50" s="1953"/>
      <c r="I50" s="2035" t="s">
        <v>1269</v>
      </c>
      <c r="J50" s="2042">
        <f>SUMPRODUCT((I63:I65=J47)*(J62:L62=J48)*(J63:L65))</f>
        <v>60</v>
      </c>
      <c r="K50" s="2037" t="s">
        <v>1270</v>
      </c>
      <c r="L50" s="2040"/>
      <c r="M50" s="2043"/>
      <c r="O50" s="2041" t="s">
        <v>1271</v>
      </c>
      <c r="P50" s="2034" t="s">
        <v>1272</v>
      </c>
      <c r="Q50" s="2071" t="e">
        <f ca="1">J58</f>
        <v>#N/A</v>
      </c>
      <c r="R50" s="2070"/>
    </row>
    <row r="51" spans="1:18" s="714" customFormat="1">
      <c r="A51" s="1965"/>
      <c r="B51" s="1431"/>
      <c r="C51" s="1961"/>
      <c r="D51" s="1962"/>
      <c r="E51" s="1966" t="s">
        <v>1165</v>
      </c>
      <c r="F51" s="1856" t="e">
        <f ca="1">F8</f>
        <v>#N/A</v>
      </c>
      <c r="I51" s="2044" t="s">
        <v>1273</v>
      </c>
      <c r="J51" s="2038">
        <f>IF(J49="",J50,J49+J50-YEAR('数据-取费表'!B2))</f>
        <v>50</v>
      </c>
      <c r="K51" s="2045" t="s">
        <v>1274</v>
      </c>
      <c r="L51" s="2046" t="e">
        <f ca="1">ROUND(-PV(INDIRECT("'数据-取费表'!h"&amp;$G$1),J51,(C39-C13*C76),0),0)</f>
        <v>#N/A</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t="e">
        <f ca="1">J53</f>
        <v>#N/A</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t="e">
        <f ca="1">IF(M47="住宅",IF(D1="——",MAX(J51,L48),MAX(J51,L48-'数据-取费表'!B24)),IF(D1="——",MIN(J51,L48),MIN(J51,L48-'数据-取费表'!B24)))</f>
        <v>#N/A</v>
      </c>
      <c r="K53" s="3406" t="s">
        <v>1284</v>
      </c>
      <c r="L53" s="3407"/>
      <c r="O53" s="2033" t="s">
        <v>1109</v>
      </c>
      <c r="P53" s="2034" t="s">
        <v>1285</v>
      </c>
      <c r="Q53" s="2070" t="e">
        <f ca="1">Q47+Q48</f>
        <v>#N/A</v>
      </c>
      <c r="R53" s="2070" t="s">
        <v>1286</v>
      </c>
    </row>
    <row r="54" spans="1:18" s="714" customFormat="1">
      <c r="A54" s="1954"/>
      <c r="B54" s="1969" t="s">
        <v>1444</v>
      </c>
      <c r="C54" s="1870"/>
      <c r="D54" s="1865"/>
      <c r="E54" s="1970"/>
      <c r="F54" s="1971"/>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#N/A</v>
      </c>
      <c r="K55" s="2056" t="s">
        <v>1289</v>
      </c>
      <c r="L55" s="2057"/>
      <c r="O55" s="2026" t="s">
        <v>1249</v>
      </c>
      <c r="P55" s="2027" t="s">
        <v>1250</v>
      </c>
      <c r="Q55" s="2069" t="s">
        <v>1251</v>
      </c>
      <c r="R55" s="2069" t="s">
        <v>1252</v>
      </c>
    </row>
    <row r="56" spans="1:18" s="714" customFormat="1" ht="36" customHeight="1">
      <c r="A56" s="1972">
        <v>2</v>
      </c>
      <c r="B56" s="1973" t="s">
        <v>1173</v>
      </c>
      <c r="C56" s="378" t="e">
        <f ca="1">C13</f>
        <v>#N/A</v>
      </c>
      <c r="D56" s="1974"/>
      <c r="E56" s="1975"/>
      <c r="F56" s="1971"/>
      <c r="I56" s="2058" t="s">
        <v>1290</v>
      </c>
      <c r="J56" s="2059" t="s">
        <v>1450</v>
      </c>
      <c r="K56" s="2035" t="s">
        <v>1291</v>
      </c>
      <c r="L56" s="2038" t="e">
        <f ca="1">IF(L48&lt;J51,"——",L48-J51)</f>
        <v>#N/A</v>
      </c>
      <c r="O56" s="2033" t="s">
        <v>1012</v>
      </c>
      <c r="P56" s="2034" t="s">
        <v>1255</v>
      </c>
      <c r="Q56" s="2070" t="e">
        <f ca="1">C40+J29</f>
        <v>#N/A</v>
      </c>
      <c r="R56" s="2070" t="s">
        <v>1256</v>
      </c>
    </row>
    <row r="57" spans="1:18" s="714" customFormat="1" ht="24">
      <c r="A57" s="1976"/>
      <c r="B57" s="1977" t="s">
        <v>1236</v>
      </c>
      <c r="C57" s="388" t="e">
        <f ca="1">C29</f>
        <v>#N/A</v>
      </c>
      <c r="D57" s="1978"/>
      <c r="E57" s="1979"/>
      <c r="F57" s="1980"/>
      <c r="I57" s="2060" t="s">
        <v>1292</v>
      </c>
      <c r="J57" s="2061" t="e">
        <f ca="1">IF(OR(M47="住宅",J51&lt;L48,J56="是"),"——",J51-L48)</f>
        <v>#N/A</v>
      </c>
      <c r="K57" s="2035" t="s">
        <v>1451</v>
      </c>
      <c r="L57" s="2038" t="e">
        <f ca="1">IF(L48&lt;J51,"——",IF(L55="比较法",L49,IF(L55="基准地价",L50,L51)))</f>
        <v>#N/A</v>
      </c>
      <c r="O57" s="2033" t="s">
        <v>1015</v>
      </c>
      <c r="P57" s="2034" t="s">
        <v>1294</v>
      </c>
      <c r="Q57" s="2070" t="e">
        <f ca="1">L60</f>
        <v>#N/A</v>
      </c>
      <c r="R57" s="2070" t="s">
        <v>1295</v>
      </c>
    </row>
    <row r="58" spans="1:18" s="714" customFormat="1" ht="24">
      <c r="A58" s="1981" t="s">
        <v>1181</v>
      </c>
      <c r="B58" s="1973" t="s">
        <v>1182</v>
      </c>
      <c r="C58" s="1468" t="e">
        <f ca="1">ROUND(C59+C64+C65+C66,0)</f>
        <v>#N/A</v>
      </c>
      <c r="D58" s="1982" t="s">
        <v>1183</v>
      </c>
      <c r="E58" s="1983"/>
      <c r="F58" s="1952"/>
      <c r="I58" s="2060" t="s">
        <v>1296</v>
      </c>
      <c r="J58" s="2062" t="e">
        <f ca="1">IF(J55&lt;0.4,0.4,J55)</f>
        <v>#N/A</v>
      </c>
      <c r="K58" s="2045" t="s">
        <v>1452</v>
      </c>
      <c r="L58" s="2038" t="e">
        <f ca="1">ROUND(POWER(1+L52,L47-L48)*(POWER(1+L52,L48)-1)/(POWER(1+L52,L47)-1),4)</f>
        <v>#N/A</v>
      </c>
      <c r="O58" s="2041" t="s">
        <v>1267</v>
      </c>
      <c r="P58" s="2034" t="s">
        <v>1298</v>
      </c>
      <c r="Q58" s="2070">
        <f>IF(L55="比较法",L49,IF(L55="基准地价",L50,0))</f>
        <v>0</v>
      </c>
      <c r="R58" s="2070" t="s">
        <v>1256</v>
      </c>
    </row>
    <row r="59" spans="1:18" s="714" customFormat="1" ht="24">
      <c r="A59" s="1884" t="s">
        <v>905</v>
      </c>
      <c r="B59" s="1977" t="s">
        <v>1188</v>
      </c>
      <c r="C59" s="1907" t="e">
        <f ca="1">ROUND(IF(AND(项目基本情况!B11="自然人",项目基本情况!B10="北京市"),C49*F59/(1+'数据-取费表'!C42),C60+C61+C62),0)</f>
        <v>#N/A</v>
      </c>
      <c r="D59" s="1984" t="s">
        <v>1189</v>
      </c>
      <c r="E59" s="1985" t="s">
        <v>1190</v>
      </c>
      <c r="F59" s="1909" t="e">
        <f ca="1">IF(项目基本情况!B11="企业","——",IF('数据-取费表'!B10="住宅",IF(F49*F50*F51/12/(1+'数据-取费表'!F30)&gt;100000,4%,2.5%),IF(F49*F50*F51/12/(1+'数据-取费表'!F30)&gt;100000,12%,7%)))</f>
        <v>#N/A</v>
      </c>
      <c r="I59" s="2060" t="s">
        <v>1299</v>
      </c>
      <c r="J59" s="2061" t="e">
        <f ca="1">IF(OR(M47="住宅",J51&lt;L48,J56="是"),"——",ROUND(C29*J58,0))</f>
        <v>#N/A</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t="e">
        <f ca="1">IF(OR(M47="住宅",J51&lt;L48,J56="是"),"0",ROUND(J59/(1+J52)^J53,0))</f>
        <v>#N/A</v>
      </c>
      <c r="K60" s="2065" t="s">
        <v>1302</v>
      </c>
      <c r="L60" s="2064" t="e">
        <f ca="1">IF(OR(M47="住宅",L48&lt;J51),0,ROUND(L57*(L58/L59-1),0))</f>
        <v>#N/A</v>
      </c>
      <c r="O60" s="2041" t="s">
        <v>1275</v>
      </c>
      <c r="P60" s="2034" t="s">
        <v>1303</v>
      </c>
      <c r="Q60" s="2070" t="e">
        <f ca="1">L58</f>
        <v>#N/A</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#N/A</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#N/A</v>
      </c>
      <c r="R62" s="2070" t="s">
        <v>1286</v>
      </c>
    </row>
    <row r="63" spans="1:18" s="714" customFormat="1">
      <c r="A63" s="1897"/>
      <c r="B63" s="1988"/>
      <c r="C63" s="1917"/>
      <c r="D63" s="1989"/>
      <c r="E63" s="1977" t="s">
        <v>1206</v>
      </c>
      <c r="F63" s="1856" t="e">
        <f t="shared" ca="1" si="0"/>
        <v>#N/A</v>
      </c>
      <c r="I63" s="2066" t="s">
        <v>1311</v>
      </c>
      <c r="J63" s="1032">
        <v>70</v>
      </c>
      <c r="K63" s="1032">
        <v>50</v>
      </c>
      <c r="L63" s="1032">
        <v>80</v>
      </c>
      <c r="M63" s="2068">
        <v>0.02</v>
      </c>
      <c r="O63" s="2021" t="s">
        <v>1312</v>
      </c>
      <c r="P63" s="1833"/>
      <c r="Q63" s="1833"/>
      <c r="R63" s="1833"/>
    </row>
    <row r="64" spans="1:18" s="714" customFormat="1">
      <c r="A64" s="1884" t="s">
        <v>909</v>
      </c>
      <c r="B64" s="1977" t="s">
        <v>1208</v>
      </c>
      <c r="C64" s="1469" t="e">
        <f ca="1">ROUND(C57*F64,0)</f>
        <v>#N/A</v>
      </c>
      <c r="D64" s="1985" t="s">
        <v>1241</v>
      </c>
      <c r="E64" s="1977" t="s">
        <v>1180</v>
      </c>
      <c r="F64" s="1920" t="e">
        <f t="shared" ca="1" si="0"/>
        <v>#N/A</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t="e">
        <f ca="1">ROUND(C56*F65,0)</f>
        <v>#N/A</v>
      </c>
      <c r="D65" s="1985" t="s">
        <v>1213</v>
      </c>
      <c r="E65" s="1977" t="s">
        <v>1180</v>
      </c>
      <c r="F65" s="1921" t="e">
        <f t="shared" ca="1" si="0"/>
        <v>#N/A</v>
      </c>
      <c r="I65" s="2066" t="s">
        <v>1314</v>
      </c>
      <c r="J65" s="1032">
        <v>40</v>
      </c>
      <c r="K65" s="1032">
        <v>30</v>
      </c>
      <c r="L65" s="1032">
        <v>50</v>
      </c>
      <c r="M65" s="2068">
        <v>0.02</v>
      </c>
      <c r="O65" s="2033" t="s">
        <v>1012</v>
      </c>
      <c r="P65" s="2034" t="s">
        <v>1255</v>
      </c>
      <c r="Q65" s="2070" t="e">
        <f ca="1">C40+J29</f>
        <v>#N/A</v>
      </c>
      <c r="R65" s="2070" t="s">
        <v>1256</v>
      </c>
    </row>
    <row r="66" spans="1:18" s="714" customFormat="1" ht="15.6">
      <c r="A66" s="1884" t="s">
        <v>959</v>
      </c>
      <c r="B66" s="1977" t="s">
        <v>1198</v>
      </c>
      <c r="C66" s="1469" t="e">
        <f ca="1">ROUND(C48*F66,0)</f>
        <v>#N/A</v>
      </c>
      <c r="D66" s="1985" t="s">
        <v>1216</v>
      </c>
      <c r="E66" s="1977" t="s">
        <v>1180</v>
      </c>
      <c r="F66" s="1863" t="e">
        <f t="shared" ca="1" si="0"/>
        <v>#N/A</v>
      </c>
      <c r="O66" s="2033" t="s">
        <v>1015</v>
      </c>
      <c r="P66" s="2034" t="s">
        <v>1294</v>
      </c>
      <c r="Q66" s="2070" t="e">
        <f ca="1">L60</f>
        <v>#N/A</v>
      </c>
      <c r="R66" s="2070" t="s">
        <v>1295</v>
      </c>
    </row>
    <row r="67" spans="1:18" s="714" customFormat="1" ht="24">
      <c r="A67" s="1972" t="s">
        <v>1219</v>
      </c>
      <c r="B67" s="2072" t="s">
        <v>1220</v>
      </c>
      <c r="C67" s="1468" t="e">
        <f ca="1">C48-C58</f>
        <v>#N/A</v>
      </c>
      <c r="D67" s="1984" t="s">
        <v>1221</v>
      </c>
      <c r="E67" s="2073"/>
      <c r="F67" s="2074"/>
      <c r="O67" s="2041" t="s">
        <v>1267</v>
      </c>
      <c r="P67" s="2034" t="s">
        <v>1298</v>
      </c>
      <c r="Q67" s="2094" t="e">
        <f ca="1">L51</f>
        <v>#N/A</v>
      </c>
      <c r="R67" s="2070" t="s">
        <v>1315</v>
      </c>
    </row>
    <row r="68" spans="1:18" s="714" customFormat="1" ht="15.6">
      <c r="A68" s="2075" t="s">
        <v>1225</v>
      </c>
      <c r="B68" s="2076" t="s">
        <v>1242</v>
      </c>
      <c r="C68" s="1926" t="e">
        <f ca="1">ROUND(C67*(1-((1+F70)/(1+F68))^F69)/(F68-F70),0)</f>
        <v>#N/A</v>
      </c>
      <c r="D68" s="1987" t="s">
        <v>1227</v>
      </c>
      <c r="E68" s="1977" t="s">
        <v>1228</v>
      </c>
      <c r="F68" s="1863" t="e">
        <f ca="1">F40</f>
        <v>#N/A</v>
      </c>
      <c r="O68" s="2041" t="s">
        <v>1271</v>
      </c>
      <c r="P68" s="2093" t="s">
        <v>1316</v>
      </c>
      <c r="Q68" s="2070" t="e">
        <f ca="1">ROUND(Q69-Q70*Q71,0)</f>
        <v>#N/A</v>
      </c>
      <c r="R68" s="2070" t="s">
        <v>1317</v>
      </c>
    </row>
    <row r="69" spans="1:18" s="714" customFormat="1">
      <c r="A69" s="2077"/>
      <c r="B69" s="2078"/>
      <c r="C69" s="1862"/>
      <c r="D69" s="2079" t="s">
        <v>1231</v>
      </c>
      <c r="E69" s="1977" t="s">
        <v>1232</v>
      </c>
      <c r="F69" s="1930" t="e">
        <f ca="1">F41</f>
        <v>#N/A</v>
      </c>
      <c r="O69" s="2041" t="s">
        <v>1318</v>
      </c>
      <c r="P69" s="2093" t="s">
        <v>1319</v>
      </c>
      <c r="Q69" s="2070" t="e">
        <f ca="1">C39</f>
        <v>#N/A</v>
      </c>
      <c r="R69" s="2070" t="s">
        <v>1256</v>
      </c>
    </row>
    <row r="70" spans="1:18" s="714" customFormat="1">
      <c r="A70" s="2080"/>
      <c r="B70" s="2081"/>
      <c r="C70" s="1881"/>
      <c r="D70" s="1989"/>
      <c r="E70" s="1977" t="s">
        <v>1235</v>
      </c>
      <c r="F70" s="1967"/>
      <c r="O70" s="2041" t="s">
        <v>1320</v>
      </c>
      <c r="P70" s="2093" t="s">
        <v>1321</v>
      </c>
      <c r="Q70" s="2070" t="e">
        <f ca="1">C13</f>
        <v>#N/A</v>
      </c>
      <c r="R70" s="2070" t="s">
        <v>1256</v>
      </c>
    </row>
    <row r="71" spans="1:18" s="714" customFormat="1">
      <c r="A71" s="2082" t="s">
        <v>1237</v>
      </c>
      <c r="B71" s="2083" t="s">
        <v>1243</v>
      </c>
      <c r="C71" s="1933" t="e">
        <f ca="1">ROUND(C68/F71,0)</f>
        <v>#N/A</v>
      </c>
      <c r="D71" s="2084" t="s">
        <v>1244</v>
      </c>
      <c r="E71" s="2085" t="s">
        <v>1245</v>
      </c>
      <c r="F71" s="1936" t="e">
        <f ca="1">F43</f>
        <v>#N/A</v>
      </c>
      <c r="O71" s="2041" t="s">
        <v>1322</v>
      </c>
      <c r="P71" s="2093" t="s">
        <v>1323</v>
      </c>
      <c r="Q71" s="2071" t="e">
        <f ca="1">C76</f>
        <v>#N/A</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#N/A</v>
      </c>
      <c r="R73" s="2070" t="s">
        <v>1304</v>
      </c>
    </row>
    <row r="74" spans="1:18">
      <c r="A74" s="714"/>
      <c r="B74" s="420" t="s">
        <v>1324</v>
      </c>
      <c r="C74" s="2086"/>
      <c r="D74" s="714"/>
      <c r="E74" s="714"/>
      <c r="F74" s="714"/>
      <c r="O74" s="2041" t="s">
        <v>1325</v>
      </c>
      <c r="P74" s="2034" t="str">
        <f>K59</f>
        <v>建筑物剩余耐用年限下的土地年期修正系数Kn</v>
      </c>
      <c r="Q74" s="2070" t="e">
        <f ca="1">L59</f>
        <v>#N/A</v>
      </c>
      <c r="R74" s="2070" t="s">
        <v>1305</v>
      </c>
    </row>
    <row r="75" spans="1:18">
      <c r="A75" s="714"/>
      <c r="B75" s="2087" t="s">
        <v>1326</v>
      </c>
      <c r="C75" s="2088" t="e">
        <f ca="1">ROUND(C13*C76,0)</f>
        <v>#N/A</v>
      </c>
      <c r="D75" s="714"/>
      <c r="E75" s="714"/>
      <c r="F75" s="714"/>
      <c r="K75" s="2020"/>
      <c r="L75" s="714"/>
      <c r="O75" s="2033" t="s">
        <v>1109</v>
      </c>
      <c r="P75" s="2034" t="s">
        <v>1285</v>
      </c>
      <c r="Q75" s="2070" t="e">
        <f ca="1">Q65+Q66</f>
        <v>#N/A</v>
      </c>
      <c r="R75" s="2070" t="s">
        <v>1286</v>
      </c>
    </row>
    <row r="76" spans="1:18">
      <c r="B76" s="506" t="s">
        <v>1327</v>
      </c>
      <c r="C76" s="2089" t="e">
        <f ca="1">INDIRECT("'数据-取费表'!j"&amp;$G$1)</f>
        <v>#N/A</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#N/A</v>
      </c>
    </row>
    <row r="80" spans="1:18">
      <c r="B80" s="2087" t="s">
        <v>1331</v>
      </c>
      <c r="C80" s="421" t="e">
        <f ca="1">ROUND(C75/C39,3)</f>
        <v>#N/A</v>
      </c>
    </row>
    <row r="81" spans="2:3">
      <c r="B81" s="418" t="s">
        <v>1332</v>
      </c>
      <c r="C81" s="388"/>
    </row>
    <row r="82" spans="2:3">
      <c r="B82" s="420" t="s">
        <v>1091</v>
      </c>
      <c r="C82" s="422" t="e">
        <f ca="1">1-C83</f>
        <v>#N/A</v>
      </c>
    </row>
    <row r="83" spans="2:3">
      <c r="B83" s="420" t="s">
        <v>1092</v>
      </c>
      <c r="C83" s="421"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72" t="s">
        <v>1456</v>
      </c>
      <c r="K2" s="3473"/>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74" t="s">
        <v>1464</v>
      </c>
      <c r="K3" s="3475"/>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74" t="s">
        <v>1465</v>
      </c>
      <c r="K4" s="3475"/>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76" t="s">
        <v>1469</v>
      </c>
      <c r="B6" s="3477"/>
      <c r="C6" s="3478"/>
      <c r="D6" s="1678"/>
      <c r="E6" s="1679"/>
      <c r="F6" s="1680"/>
      <c r="G6" s="1681"/>
      <c r="H6" s="1669"/>
      <c r="I6" s="1754"/>
      <c r="J6" s="3485">
        <v>1</v>
      </c>
      <c r="K6" s="3488"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85"/>
      <c r="K7" s="3489"/>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79" t="s">
        <v>1483</v>
      </c>
      <c r="C8" s="3480"/>
      <c r="D8" s="1692" t="s">
        <v>1484</v>
      </c>
      <c r="E8" s="1693" t="s">
        <v>1485</v>
      </c>
      <c r="F8" s="1694" t="s">
        <v>1486</v>
      </c>
      <c r="G8" s="1695"/>
      <c r="H8" s="1669"/>
      <c r="I8" s="1754"/>
      <c r="J8" s="3485"/>
      <c r="K8" s="3489"/>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79" t="s">
        <v>1489</v>
      </c>
      <c r="C9" s="3480"/>
      <c r="D9" s="1692">
        <f>ROUND(D6*E9,0)</f>
        <v>0</v>
      </c>
      <c r="E9" s="1696"/>
      <c r="F9" s="1697" t="s">
        <v>1490</v>
      </c>
      <c r="G9" s="1681"/>
      <c r="H9" s="1669"/>
      <c r="I9" s="1754"/>
      <c r="J9" s="3485"/>
      <c r="K9" s="3489"/>
      <c r="L9" s="1774" t="s">
        <v>1491</v>
      </c>
      <c r="M9" s="1775"/>
      <c r="N9" s="1674"/>
      <c r="O9" s="1776"/>
      <c r="P9" s="1776"/>
      <c r="Q9" s="1707">
        <v>365</v>
      </c>
      <c r="R9" s="1808">
        <f t="shared" si="0"/>
        <v>0</v>
      </c>
      <c r="S9" s="1723"/>
      <c r="T9" s="1723"/>
      <c r="U9" s="1723"/>
      <c r="V9" s="1754"/>
    </row>
    <row r="10" spans="1:22" s="1651" customFormat="1" ht="13.2" customHeight="1">
      <c r="A10" s="1689">
        <v>2</v>
      </c>
      <c r="B10" s="3479" t="s">
        <v>1492</v>
      </c>
      <c r="C10" s="3480"/>
      <c r="D10" s="1692">
        <f>ROUND(D6*E10,0)</f>
        <v>0</v>
      </c>
      <c r="E10" s="1696"/>
      <c r="F10" s="1697" t="s">
        <v>1493</v>
      </c>
      <c r="G10" s="1681"/>
      <c r="H10" s="1669"/>
      <c r="I10" s="1754"/>
      <c r="J10" s="3485"/>
      <c r="K10" s="3489"/>
      <c r="L10" s="1774" t="s">
        <v>1494</v>
      </c>
      <c r="M10" s="1775"/>
      <c r="N10" s="1674"/>
      <c r="O10" s="1776"/>
      <c r="P10" s="1776"/>
      <c r="Q10" s="1707">
        <v>365</v>
      </c>
      <c r="R10" s="1808">
        <f t="shared" si="0"/>
        <v>0</v>
      </c>
      <c r="S10" s="1723"/>
      <c r="T10" s="1723"/>
      <c r="U10" s="1723"/>
      <c r="V10" s="1754"/>
    </row>
    <row r="11" spans="1:22" s="1651" customFormat="1" ht="13.2" customHeight="1">
      <c r="A11" s="1689">
        <v>3</v>
      </c>
      <c r="B11" s="3479" t="s">
        <v>1495</v>
      </c>
      <c r="C11" s="3480"/>
      <c r="D11" s="1692">
        <f>D12+D14+D15+D16</f>
        <v>0</v>
      </c>
      <c r="E11" s="1698" t="e">
        <f>D11/D6</f>
        <v>#DIV/0!</v>
      </c>
      <c r="F11" s="1694"/>
      <c r="G11" s="1695"/>
      <c r="H11" s="1669"/>
      <c r="I11" s="1754"/>
      <c r="J11" s="3485"/>
      <c r="K11" s="3489"/>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81" t="s">
        <v>1498</v>
      </c>
      <c r="C12" s="3482"/>
      <c r="D12" s="1702">
        <f>ROUND(D13*1.2%*(1-30%),0)</f>
        <v>0</v>
      </c>
      <c r="E12" s="1703">
        <v>1.2E-2</v>
      </c>
      <c r="F12" s="1694" t="s">
        <v>1499</v>
      </c>
      <c r="G12" s="1695"/>
      <c r="H12" s="1669"/>
      <c r="I12" s="1754"/>
      <c r="J12" s="3485"/>
      <c r="K12" s="3489"/>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85"/>
      <c r="K13" s="3489"/>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81" t="s">
        <v>1504</v>
      </c>
      <c r="C14" s="3482"/>
      <c r="D14" s="1702">
        <f>ROUND(E14*B5/10000,0)</f>
        <v>0</v>
      </c>
      <c r="E14" s="1707"/>
      <c r="F14" s="1694" t="s">
        <v>1505</v>
      </c>
      <c r="G14" s="1695"/>
      <c r="H14" s="1669"/>
      <c r="I14" s="1754"/>
      <c r="J14" s="3485"/>
      <c r="K14" s="3490"/>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81" t="s">
        <v>1508</v>
      </c>
      <c r="C15" s="3482"/>
      <c r="D15" s="1702">
        <f>ROUND(D6*E15,0)</f>
        <v>0</v>
      </c>
      <c r="E15" s="1703">
        <v>5.5E-2</v>
      </c>
      <c r="F15" s="1694" t="s">
        <v>1509</v>
      </c>
      <c r="G15" s="1681"/>
      <c r="H15" s="1669"/>
      <c r="I15" s="1754"/>
      <c r="J15" s="3485">
        <v>2</v>
      </c>
      <c r="K15" s="3488"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81" t="s">
        <v>1516</v>
      </c>
      <c r="C16" s="3482"/>
      <c r="D16" s="1708">
        <f>D6*E16</f>
        <v>0</v>
      </c>
      <c r="E16" s="1709"/>
      <c r="F16" s="1697" t="s">
        <v>1517</v>
      </c>
      <c r="G16" s="1681"/>
      <c r="H16" s="1669"/>
      <c r="I16" s="1754"/>
      <c r="J16" s="3485"/>
      <c r="K16" s="3489"/>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83" t="s">
        <v>1519</v>
      </c>
      <c r="C17" s="3484"/>
      <c r="D17" s="1711">
        <f>ROUND(D6*E17,0)</f>
        <v>0</v>
      </c>
      <c r="E17" s="1712"/>
      <c r="F17" s="1713" t="s">
        <v>1520</v>
      </c>
      <c r="G17" s="1681"/>
      <c r="H17" s="1669"/>
      <c r="I17" s="1754"/>
      <c r="J17" s="3485"/>
      <c r="K17" s="3489"/>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85"/>
      <c r="K18" s="3489"/>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85"/>
      <c r="K19" s="3490"/>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85">
        <v>3</v>
      </c>
      <c r="K20" s="3488"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85"/>
      <c r="K21" s="3489"/>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85"/>
      <c r="K22" s="3489"/>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85"/>
      <c r="K23" s="3489"/>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85"/>
      <c r="K24" s="3490"/>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86">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87"/>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72" t="s">
        <v>1456</v>
      </c>
      <c r="K32" s="3473"/>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74" t="s">
        <v>1464</v>
      </c>
      <c r="K33" s="3475"/>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74" t="s">
        <v>1465</v>
      </c>
      <c r="K34" s="3475"/>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85">
        <v>1</v>
      </c>
      <c r="K36" s="3488"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85"/>
      <c r="K37" s="3489"/>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85"/>
      <c r="K38" s="3489"/>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85"/>
      <c r="K39" s="3489"/>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85"/>
      <c r="K40" s="3490"/>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86">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87"/>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17763</v>
      </c>
      <c r="C2" s="1636" t="s">
        <v>1566</v>
      </c>
      <c r="D2" s="1637" t="s">
        <v>1567</v>
      </c>
      <c r="E2" s="1638">
        <f>SUM(E6:E13)</f>
        <v>27483.820000000003</v>
      </c>
      <c r="F2" s="1634"/>
      <c r="G2" s="1400"/>
      <c r="H2" s="1400"/>
      <c r="I2" s="1400"/>
      <c r="J2" s="1400"/>
      <c r="K2" s="1400"/>
      <c r="L2" s="1400"/>
      <c r="M2" s="1400"/>
      <c r="N2" s="1400"/>
      <c r="O2" s="1400"/>
      <c r="P2" s="1400"/>
      <c r="Q2" s="1400"/>
      <c r="R2" s="1400"/>
      <c r="S2" s="1400"/>
    </row>
    <row r="3" spans="1:22" ht="15.6">
      <c r="A3" s="1635" t="s">
        <v>999</v>
      </c>
      <c r="B3" s="1639">
        <f ca="1">ROUND(B2*10000/E2,0)</f>
        <v>6463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91" t="s">
        <v>1570</v>
      </c>
      <c r="C5" s="3492"/>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v>
      </c>
      <c r="B6" s="890">
        <f ca="1">IF(F6="是",'数据-取费表'!AO6,0)</f>
        <v>17763</v>
      </c>
      <c r="C6" s="1636" t="s">
        <v>1566</v>
      </c>
      <c r="D6" s="1634"/>
      <c r="E6" s="1646">
        <f>IF(OR(A6=0,F6="否"),0,'数据-取费表'!K6+'数据-取费表'!S6)</f>
        <v>27483.820000000003</v>
      </c>
      <c r="F6" s="1647" t="s">
        <v>1573</v>
      </c>
      <c r="G6" s="1400"/>
      <c r="H6" s="1400"/>
      <c r="I6" s="1400"/>
      <c r="J6" s="1400"/>
      <c r="K6" s="1400"/>
      <c r="L6" s="1400"/>
      <c r="M6" s="1400"/>
      <c r="N6" s="1400"/>
      <c r="O6" s="1400"/>
      <c r="P6" s="1400"/>
      <c r="Q6" s="1400"/>
      <c r="R6" s="1400"/>
      <c r="S6" s="1400"/>
    </row>
    <row r="7" spans="1:22" ht="14.4">
      <c r="A7" s="1645">
        <f>'数据-取费表'!AN7</f>
        <v>0</v>
      </c>
      <c r="B7" s="890" t="e">
        <f ca="1">IF(F7="是",'数据-取费表'!AO7,0)</f>
        <v>#REF!</v>
      </c>
      <c r="C7" s="1636" t="s">
        <v>1566</v>
      </c>
      <c r="D7" s="1634"/>
      <c r="E7" s="1646">
        <f>IF(OR(A7=0,F7="否"),0,'数据-取费表'!K7+'数据-取费表'!S7)</f>
        <v>0</v>
      </c>
      <c r="F7" s="1647" t="s">
        <v>1573</v>
      </c>
      <c r="G7" s="1400"/>
      <c r="H7" s="1400"/>
      <c r="I7" s="1400"/>
      <c r="J7" s="1400"/>
      <c r="K7" s="1400"/>
      <c r="L7" s="1400"/>
      <c r="M7" s="1400"/>
      <c r="N7" s="1400"/>
      <c r="O7" s="1400"/>
      <c r="P7" s="1400"/>
      <c r="Q7" s="1400"/>
      <c r="R7" s="1400"/>
      <c r="S7" s="1400"/>
    </row>
    <row r="8" spans="1:22" ht="14.4">
      <c r="A8" s="1645">
        <f>'数据-取费表'!AN8</f>
        <v>0</v>
      </c>
      <c r="B8" s="890" t="e">
        <f ca="1">IF(F8="是",'数据-取费表'!AO8,0)</f>
        <v>#REF!</v>
      </c>
      <c r="C8" s="1636" t="s">
        <v>1566</v>
      </c>
      <c r="D8" s="1634"/>
      <c r="E8" s="1646">
        <f>IF(OR(A8=0,F8="否"),0,'数据-取费表'!K8+'数据-取费表'!S8)</f>
        <v>0</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27483.820000000003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11" t="s">
        <v>1347</v>
      </c>
      <c r="D4" s="3412"/>
      <c r="E4" s="3413" t="s">
        <v>1348</v>
      </c>
      <c r="F4" s="3414"/>
      <c r="G4" s="3411" t="s">
        <v>1349</v>
      </c>
      <c r="H4" s="3412"/>
      <c r="I4" s="3411" t="s">
        <v>1350</v>
      </c>
      <c r="J4" s="3412"/>
      <c r="K4" s="1569"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65" t="s">
        <v>1349</v>
      </c>
      <c r="AC4" s="3465" t="s">
        <v>1350</v>
      </c>
    </row>
    <row r="5" spans="1:29">
      <c r="A5" s="922"/>
      <c r="B5" s="923"/>
      <c r="C5" s="3459" t="s">
        <v>1575</v>
      </c>
      <c r="D5" s="3416"/>
      <c r="E5" s="3493" t="s">
        <v>1576</v>
      </c>
      <c r="F5" s="3461"/>
      <c r="G5" s="3459" t="s">
        <v>1577</v>
      </c>
      <c r="H5" s="3416"/>
      <c r="I5" s="3459" t="s">
        <v>1353</v>
      </c>
      <c r="J5" s="3416"/>
      <c r="K5" s="1570"/>
      <c r="L5" s="1065"/>
      <c r="M5" s="1015"/>
      <c r="N5" s="1015"/>
      <c r="O5" s="1015"/>
      <c r="P5" s="3468"/>
      <c r="Q5" s="3449"/>
      <c r="R5" s="3454"/>
      <c r="S5" s="3455"/>
      <c r="T5" s="3454"/>
      <c r="U5" s="3455"/>
      <c r="V5" s="3427"/>
      <c r="W5" s="3427"/>
      <c r="X5" s="1113"/>
      <c r="Y5" s="3454"/>
      <c r="Z5" s="3455"/>
      <c r="AA5" s="3441"/>
      <c r="AB5" s="3441"/>
      <c r="AC5" s="3441"/>
    </row>
    <row r="6" spans="1:29" ht="14.4">
      <c r="A6" s="924"/>
      <c r="B6" s="925"/>
      <c r="C6" s="3417" t="s">
        <v>1354</v>
      </c>
      <c r="D6" s="3418"/>
      <c r="E6" s="3419" t="s">
        <v>1354</v>
      </c>
      <c r="F6" s="3420"/>
      <c r="G6" s="3417" t="s">
        <v>1354</v>
      </c>
      <c r="H6" s="3418"/>
      <c r="I6" s="3417" t="s">
        <v>1354</v>
      </c>
      <c r="J6" s="3418"/>
      <c r="K6" s="1570" t="s">
        <v>1355</v>
      </c>
      <c r="L6" s="1065"/>
      <c r="M6" s="1015"/>
      <c r="N6" s="1015"/>
      <c r="O6" s="1015"/>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3" t="s">
        <v>1357</v>
      </c>
      <c r="Q7" s="3422"/>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25"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25"/>
      <c r="Q10" s="790" t="str">
        <f t="shared" si="6"/>
        <v>土地使用年限（年）</v>
      </c>
      <c r="R10" s="1114" t="s">
        <v>1358</v>
      </c>
      <c r="S10" s="1115">
        <f t="shared" si="0"/>
        <v>100</v>
      </c>
      <c r="T10" s="1114" t="s">
        <v>1358</v>
      </c>
      <c r="U10" s="1115">
        <f t="shared" si="1"/>
        <v>100</v>
      </c>
      <c r="V10" s="1114" t="s">
        <v>1358</v>
      </c>
      <c r="W10" s="1115">
        <f t="shared" si="2"/>
        <v>100</v>
      </c>
      <c r="X10" s="1116"/>
      <c r="Y10" s="3378"/>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25"/>
      <c r="Q11" s="790" t="str">
        <f t="shared" si="6"/>
        <v>容积率</v>
      </c>
      <c r="R11" s="1114" t="s">
        <v>1358</v>
      </c>
      <c r="S11" s="1115" t="e">
        <f t="shared" si="0"/>
        <v>#N/A</v>
      </c>
      <c r="T11" s="1114" t="s">
        <v>1358</v>
      </c>
      <c r="U11" s="1115" t="e">
        <f t="shared" si="1"/>
        <v>#N/A</v>
      </c>
      <c r="V11" s="1114" t="s">
        <v>1358</v>
      </c>
      <c r="W11" s="1115" t="e">
        <f t="shared" si="2"/>
        <v>#N/A</v>
      </c>
      <c r="X11" s="1116"/>
      <c r="Y11" s="3378"/>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25"/>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25"/>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25"/>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8" t="s">
        <v>1370</v>
      </c>
      <c r="Q15" s="621" t="str">
        <f t="shared" si="6"/>
        <v>居住社区成熟度</v>
      </c>
      <c r="R15" s="1118" t="s">
        <v>1358</v>
      </c>
      <c r="S15" s="1119">
        <f t="shared" si="0"/>
        <v>100</v>
      </c>
      <c r="T15" s="1118" t="s">
        <v>1358</v>
      </c>
      <c r="U15" s="1119">
        <f t="shared" si="1"/>
        <v>100</v>
      </c>
      <c r="V15" s="1118" t="s">
        <v>1358</v>
      </c>
      <c r="W15" s="1119">
        <f t="shared" si="2"/>
        <v>100</v>
      </c>
      <c r="X15" s="1113"/>
      <c r="Y15" s="3433"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9"/>
      <c r="Q16" s="621"/>
      <c r="R16" s="1118"/>
      <c r="S16" s="1119"/>
      <c r="T16" s="1118"/>
      <c r="U16" s="1119"/>
      <c r="V16" s="1118"/>
      <c r="W16" s="1119"/>
      <c r="X16" s="1113"/>
      <c r="Y16" s="3434"/>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9"/>
      <c r="Q17" s="621" t="str">
        <f>B17</f>
        <v>交通便捷度</v>
      </c>
      <c r="R17" s="1118" t="s">
        <v>1358</v>
      </c>
      <c r="S17" s="1119">
        <f>F17</f>
        <v>100</v>
      </c>
      <c r="T17" s="1118" t="s">
        <v>1358</v>
      </c>
      <c r="U17" s="1119">
        <f>H17</f>
        <v>100</v>
      </c>
      <c r="V17" s="1118" t="s">
        <v>1358</v>
      </c>
      <c r="W17" s="1119">
        <f>J17</f>
        <v>100</v>
      </c>
      <c r="X17" s="1113"/>
      <c r="Y17" s="3434"/>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9"/>
      <c r="Q18" s="621"/>
      <c r="R18" s="1118"/>
      <c r="S18" s="1119"/>
      <c r="T18" s="1118"/>
      <c r="U18" s="1119"/>
      <c r="V18" s="1118"/>
      <c r="W18" s="1119"/>
      <c r="X18" s="1113"/>
      <c r="Y18" s="3434"/>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9"/>
      <c r="Q19" s="621" t="str">
        <f>B19</f>
        <v>公共配套设施</v>
      </c>
      <c r="R19" s="1118" t="s">
        <v>1358</v>
      </c>
      <c r="S19" s="1119">
        <f>F19</f>
        <v>100</v>
      </c>
      <c r="T19" s="1118" t="s">
        <v>1358</v>
      </c>
      <c r="U19" s="1119">
        <f>H19</f>
        <v>100</v>
      </c>
      <c r="V19" s="1118" t="s">
        <v>1358</v>
      </c>
      <c r="W19" s="1119">
        <f>J19</f>
        <v>100</v>
      </c>
      <c r="X19" s="1113"/>
      <c r="Y19" s="3434"/>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9"/>
      <c r="Q20" s="621"/>
      <c r="R20" s="1118"/>
      <c r="S20" s="1119"/>
      <c r="T20" s="1118"/>
      <c r="U20" s="1119"/>
      <c r="V20" s="1118"/>
      <c r="W20" s="1119"/>
      <c r="X20" s="1113"/>
      <c r="Y20" s="3434"/>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9"/>
      <c r="Q21" s="621" t="str">
        <f>B21</f>
        <v>基础设施水平</v>
      </c>
      <c r="R21" s="1118" t="s">
        <v>1358</v>
      </c>
      <c r="S21" s="1119">
        <f>F21</f>
        <v>100</v>
      </c>
      <c r="T21" s="1118" t="s">
        <v>1358</v>
      </c>
      <c r="U21" s="1119">
        <f>H21</f>
        <v>100</v>
      </c>
      <c r="V21" s="1118" t="s">
        <v>1358</v>
      </c>
      <c r="W21" s="1119">
        <f>J21</f>
        <v>100</v>
      </c>
      <c r="X21" s="1113"/>
      <c r="Y21" s="343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9"/>
      <c r="Q22" s="621"/>
      <c r="R22" s="1118"/>
      <c r="S22" s="1119"/>
      <c r="T22" s="1118"/>
      <c r="U22" s="1119"/>
      <c r="V22" s="1118"/>
      <c r="W22" s="1119"/>
      <c r="X22" s="1113"/>
      <c r="Y22" s="3434"/>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9"/>
      <c r="Q23" s="621" t="str">
        <f>B23</f>
        <v>自然及人文环境</v>
      </c>
      <c r="R23" s="1118" t="s">
        <v>1358</v>
      </c>
      <c r="S23" s="1119">
        <f>F23</f>
        <v>100</v>
      </c>
      <c r="T23" s="1118" t="s">
        <v>1358</v>
      </c>
      <c r="U23" s="1119">
        <f>H23</f>
        <v>100</v>
      </c>
      <c r="V23" s="1118" t="s">
        <v>1358</v>
      </c>
      <c r="W23" s="1119">
        <f>J23</f>
        <v>100</v>
      </c>
      <c r="X23" s="1113"/>
      <c r="Y23" s="3434"/>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9"/>
      <c r="Q24" s="621"/>
      <c r="R24" s="1118"/>
      <c r="S24" s="1119"/>
      <c r="T24" s="1118"/>
      <c r="U24" s="1119"/>
      <c r="V24" s="1118"/>
      <c r="W24" s="1119"/>
      <c r="X24" s="1113"/>
      <c r="Y24" s="3434"/>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9"/>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34"/>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9"/>
      <c r="Q26" s="621" t="str">
        <f t="shared" si="11"/>
        <v>朝向</v>
      </c>
      <c r="R26" s="1118" t="s">
        <v>1358</v>
      </c>
      <c r="S26" s="1119">
        <f t="shared" si="12"/>
        <v>100</v>
      </c>
      <c r="T26" s="1118" t="s">
        <v>1358</v>
      </c>
      <c r="U26" s="1119">
        <f t="shared" si="13"/>
        <v>100</v>
      </c>
      <c r="V26" s="1118" t="s">
        <v>1358</v>
      </c>
      <c r="W26" s="1119">
        <f t="shared" si="14"/>
        <v>100</v>
      </c>
      <c r="X26" s="1113"/>
      <c r="Y26" s="3434"/>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9"/>
      <c r="Q27" s="790">
        <f t="shared" si="11"/>
        <v>111</v>
      </c>
      <c r="R27" s="1114" t="s">
        <v>1358</v>
      </c>
      <c r="S27" s="1115">
        <f t="shared" si="12"/>
        <v>100</v>
      </c>
      <c r="T27" s="1114" t="s">
        <v>1358</v>
      </c>
      <c r="U27" s="1115">
        <f t="shared" si="13"/>
        <v>100</v>
      </c>
      <c r="V27" s="1114" t="s">
        <v>1358</v>
      </c>
      <c r="W27" s="1115">
        <f t="shared" si="14"/>
        <v>100</v>
      </c>
      <c r="X27" s="1116"/>
      <c r="Y27" s="3434"/>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9"/>
      <c r="Q28" s="621">
        <f t="shared" si="11"/>
        <v>111</v>
      </c>
      <c r="R28" s="1118" t="s">
        <v>1358</v>
      </c>
      <c r="S28" s="1119">
        <f t="shared" si="12"/>
        <v>100</v>
      </c>
      <c r="T28" s="1118" t="s">
        <v>1358</v>
      </c>
      <c r="U28" s="1119">
        <f t="shared" si="13"/>
        <v>100</v>
      </c>
      <c r="V28" s="1118" t="s">
        <v>1358</v>
      </c>
      <c r="W28" s="1119">
        <f t="shared" si="14"/>
        <v>100</v>
      </c>
      <c r="X28" s="1113"/>
      <c r="Y28" s="3434"/>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9"/>
      <c r="Q29" s="621">
        <f t="shared" si="11"/>
        <v>111</v>
      </c>
      <c r="R29" s="1118" t="s">
        <v>1358</v>
      </c>
      <c r="S29" s="1119">
        <f t="shared" si="12"/>
        <v>100</v>
      </c>
      <c r="T29" s="1118" t="s">
        <v>1358</v>
      </c>
      <c r="U29" s="1119">
        <f t="shared" si="13"/>
        <v>100</v>
      </c>
      <c r="V29" s="1118" t="s">
        <v>1358</v>
      </c>
      <c r="W29" s="1119">
        <f t="shared" si="14"/>
        <v>100</v>
      </c>
      <c r="X29" s="1113"/>
      <c r="Y29" s="3434"/>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9"/>
      <c r="Q30" s="621">
        <f t="shared" si="11"/>
        <v>111</v>
      </c>
      <c r="R30" s="1118" t="s">
        <v>1358</v>
      </c>
      <c r="S30" s="1119">
        <f t="shared" si="12"/>
        <v>100</v>
      </c>
      <c r="T30" s="1118" t="s">
        <v>1358</v>
      </c>
      <c r="U30" s="1119">
        <f t="shared" si="13"/>
        <v>100</v>
      </c>
      <c r="V30" s="1118" t="s">
        <v>1358</v>
      </c>
      <c r="W30" s="1119">
        <f t="shared" si="14"/>
        <v>100</v>
      </c>
      <c r="X30" s="1113"/>
      <c r="Y30" s="3434"/>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9"/>
      <c r="Q31" s="621">
        <f t="shared" si="11"/>
        <v>111</v>
      </c>
      <c r="R31" s="1118" t="s">
        <v>1358</v>
      </c>
      <c r="S31" s="1119">
        <f t="shared" si="12"/>
        <v>100</v>
      </c>
      <c r="T31" s="1118" t="s">
        <v>1358</v>
      </c>
      <c r="U31" s="1119">
        <f t="shared" si="13"/>
        <v>100</v>
      </c>
      <c r="V31" s="1118" t="s">
        <v>1358</v>
      </c>
      <c r="W31" s="1119">
        <f t="shared" si="14"/>
        <v>100</v>
      </c>
      <c r="X31" s="1113"/>
      <c r="Y31" s="3434"/>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30" t="s">
        <v>1384</v>
      </c>
      <c r="Q32" s="621" t="str">
        <f t="shared" si="11"/>
        <v>建筑类型</v>
      </c>
      <c r="R32" s="1118" t="s">
        <v>1358</v>
      </c>
      <c r="S32" s="1119">
        <f t="shared" si="12"/>
        <v>100</v>
      </c>
      <c r="T32" s="1118" t="s">
        <v>1358</v>
      </c>
      <c r="U32" s="1119">
        <f t="shared" si="13"/>
        <v>100</v>
      </c>
      <c r="V32" s="1118" t="s">
        <v>1358</v>
      </c>
      <c r="W32" s="1119">
        <f t="shared" si="14"/>
        <v>100</v>
      </c>
      <c r="X32" s="1113"/>
      <c r="Y32" s="3435"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31"/>
      <c r="Q33" s="1308" t="str">
        <f t="shared" si="11"/>
        <v>项目建筑规模</v>
      </c>
      <c r="R33" s="1120" t="s">
        <v>1358</v>
      </c>
      <c r="S33" s="1121" t="e">
        <f t="shared" si="12"/>
        <v>#N/A</v>
      </c>
      <c r="T33" s="1120" t="s">
        <v>1358</v>
      </c>
      <c r="U33" s="1121" t="e">
        <f t="shared" si="13"/>
        <v>#N/A</v>
      </c>
      <c r="V33" s="1120" t="s">
        <v>1358</v>
      </c>
      <c r="W33" s="1121" t="e">
        <f t="shared" si="14"/>
        <v>#N/A</v>
      </c>
      <c r="X33" s="1122"/>
      <c r="Y33" s="3435"/>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31"/>
      <c r="Q34" s="621" t="str">
        <f t="shared" si="11"/>
        <v>建筑结构</v>
      </c>
      <c r="R34" s="1118" t="s">
        <v>1358</v>
      </c>
      <c r="S34" s="1119">
        <f t="shared" si="12"/>
        <v>100</v>
      </c>
      <c r="T34" s="1118" t="s">
        <v>1358</v>
      </c>
      <c r="U34" s="1119">
        <f t="shared" si="13"/>
        <v>100</v>
      </c>
      <c r="V34" s="1118" t="s">
        <v>1358</v>
      </c>
      <c r="W34" s="1119">
        <f t="shared" si="14"/>
        <v>100</v>
      </c>
      <c r="X34" s="1113"/>
      <c r="Y34" s="3435"/>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31"/>
      <c r="Q35" s="621" t="str">
        <f t="shared" si="11"/>
        <v>建筑品质</v>
      </c>
      <c r="R35" s="1118" t="s">
        <v>1358</v>
      </c>
      <c r="S35" s="1119">
        <f t="shared" si="12"/>
        <v>100</v>
      </c>
      <c r="T35" s="1118" t="s">
        <v>1358</v>
      </c>
      <c r="U35" s="1119">
        <f t="shared" si="13"/>
        <v>100</v>
      </c>
      <c r="V35" s="1118" t="s">
        <v>1358</v>
      </c>
      <c r="W35" s="1119">
        <f t="shared" si="14"/>
        <v>100</v>
      </c>
      <c r="X35" s="1113"/>
      <c r="Y35" s="3435"/>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31"/>
      <c r="Q36" s="621" t="str">
        <f t="shared" si="11"/>
        <v>公共部分装修</v>
      </c>
      <c r="R36" s="1118" t="s">
        <v>1358</v>
      </c>
      <c r="S36" s="1119">
        <f t="shared" si="12"/>
        <v>100</v>
      </c>
      <c r="T36" s="1118" t="s">
        <v>1358</v>
      </c>
      <c r="U36" s="1119">
        <f t="shared" si="13"/>
        <v>100</v>
      </c>
      <c r="V36" s="1118" t="s">
        <v>1358</v>
      </c>
      <c r="W36" s="1119">
        <f t="shared" si="14"/>
        <v>100</v>
      </c>
      <c r="X36" s="1113"/>
      <c r="Y36" s="3435"/>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31"/>
      <c r="Q37" s="790" t="str">
        <f t="shared" si="11"/>
        <v>成新度</v>
      </c>
      <c r="R37" s="1114" t="s">
        <v>1358</v>
      </c>
      <c r="S37" s="1115" t="e">
        <f t="shared" si="12"/>
        <v>#N/A</v>
      </c>
      <c r="T37" s="1114" t="s">
        <v>1358</v>
      </c>
      <c r="U37" s="1115" t="e">
        <f t="shared" si="13"/>
        <v>#N/A</v>
      </c>
      <c r="V37" s="1114" t="s">
        <v>1358</v>
      </c>
      <c r="W37" s="1115" t="e">
        <f t="shared" si="14"/>
        <v>#N/A</v>
      </c>
      <c r="X37" s="1116"/>
      <c r="Y37" s="3435"/>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31" t="s">
        <v>1384</v>
      </c>
      <c r="Q38" s="621" t="str">
        <f t="shared" si="11"/>
        <v>物业管理</v>
      </c>
      <c r="R38" s="1118" t="s">
        <v>1358</v>
      </c>
      <c r="S38" s="1119">
        <f t="shared" si="12"/>
        <v>100</v>
      </c>
      <c r="T38" s="1118" t="s">
        <v>1358</v>
      </c>
      <c r="U38" s="1119">
        <f t="shared" si="13"/>
        <v>100</v>
      </c>
      <c r="V38" s="1118" t="s">
        <v>1358</v>
      </c>
      <c r="W38" s="1119">
        <f t="shared" si="14"/>
        <v>100</v>
      </c>
      <c r="X38" s="1113"/>
      <c r="Y38" s="3435"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31"/>
      <c r="Q39" s="621" t="str">
        <f t="shared" si="11"/>
        <v>市政基础设施</v>
      </c>
      <c r="R39" s="1118" t="s">
        <v>1358</v>
      </c>
      <c r="S39" s="1119">
        <f t="shared" si="12"/>
        <v>100</v>
      </c>
      <c r="T39" s="1118" t="s">
        <v>1358</v>
      </c>
      <c r="U39" s="1119">
        <f t="shared" si="13"/>
        <v>100</v>
      </c>
      <c r="V39" s="1118" t="s">
        <v>1358</v>
      </c>
      <c r="W39" s="1119">
        <f t="shared" si="14"/>
        <v>100</v>
      </c>
      <c r="X39" s="1113"/>
      <c r="Y39" s="3435"/>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31"/>
      <c r="Q40" s="621" t="str">
        <f t="shared" si="11"/>
        <v>房型</v>
      </c>
      <c r="R40" s="1118" t="s">
        <v>1358</v>
      </c>
      <c r="S40" s="1119">
        <f t="shared" si="12"/>
        <v>100</v>
      </c>
      <c r="T40" s="1118" t="s">
        <v>1358</v>
      </c>
      <c r="U40" s="1119">
        <f t="shared" si="13"/>
        <v>100</v>
      </c>
      <c r="V40" s="1118" t="s">
        <v>1358</v>
      </c>
      <c r="W40" s="1119">
        <f t="shared" si="14"/>
        <v>100</v>
      </c>
      <c r="X40" s="1113"/>
      <c r="Y40" s="3435"/>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31"/>
      <c r="Q41" s="1308" t="str">
        <f t="shared" si="11"/>
        <v>单套/主力户型建筑面积</v>
      </c>
      <c r="R41" s="1120" t="s">
        <v>1358</v>
      </c>
      <c r="S41" s="1121">
        <f t="shared" si="12"/>
        <v>100</v>
      </c>
      <c r="T41" s="1120" t="s">
        <v>1358</v>
      </c>
      <c r="U41" s="1121">
        <f t="shared" si="13"/>
        <v>100</v>
      </c>
      <c r="V41" s="1120" t="s">
        <v>1358</v>
      </c>
      <c r="W41" s="1121">
        <f t="shared" si="14"/>
        <v>100</v>
      </c>
      <c r="X41" s="1122"/>
      <c r="Y41" s="3435"/>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31"/>
      <c r="Q42" s="621" t="str">
        <f t="shared" si="11"/>
        <v>内部装修</v>
      </c>
      <c r="R42" s="1118" t="s">
        <v>1358</v>
      </c>
      <c r="S42" s="1119">
        <f t="shared" si="12"/>
        <v>100</v>
      </c>
      <c r="T42" s="1118" t="s">
        <v>1358</v>
      </c>
      <c r="U42" s="1119">
        <f t="shared" si="13"/>
        <v>100</v>
      </c>
      <c r="V42" s="1118" t="s">
        <v>1358</v>
      </c>
      <c r="W42" s="1119">
        <f t="shared" si="14"/>
        <v>100</v>
      </c>
      <c r="X42" s="1113"/>
      <c r="Y42" s="3435"/>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31"/>
      <c r="Q43" s="621" t="str">
        <f t="shared" si="11"/>
        <v>内部装修维护情况</v>
      </c>
      <c r="R43" s="1118" t="s">
        <v>1358</v>
      </c>
      <c r="S43" s="1119">
        <f t="shared" si="12"/>
        <v>100</v>
      </c>
      <c r="T43" s="1118" t="s">
        <v>1358</v>
      </c>
      <c r="U43" s="1119">
        <f t="shared" si="13"/>
        <v>100</v>
      </c>
      <c r="V43" s="1118" t="s">
        <v>1358</v>
      </c>
      <c r="W43" s="1119">
        <f t="shared" si="14"/>
        <v>100</v>
      </c>
      <c r="X43" s="1113"/>
      <c r="Y43" s="3435"/>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31"/>
      <c r="Q44" s="790">
        <f t="shared" si="11"/>
        <v>111</v>
      </c>
      <c r="R44" s="1114" t="s">
        <v>1358</v>
      </c>
      <c r="S44" s="1115">
        <f t="shared" si="12"/>
        <v>100</v>
      </c>
      <c r="T44" s="1114" t="s">
        <v>1358</v>
      </c>
      <c r="U44" s="1115">
        <f t="shared" si="13"/>
        <v>100</v>
      </c>
      <c r="V44" s="1114" t="s">
        <v>1358</v>
      </c>
      <c r="W44" s="1115">
        <f t="shared" si="14"/>
        <v>100</v>
      </c>
      <c r="X44" s="1116"/>
      <c r="Y44" s="3435"/>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31"/>
      <c r="Q45" s="621">
        <f t="shared" si="11"/>
        <v>111</v>
      </c>
      <c r="R45" s="1118" t="s">
        <v>1358</v>
      </c>
      <c r="S45" s="1119">
        <f t="shared" si="12"/>
        <v>100</v>
      </c>
      <c r="T45" s="1118" t="s">
        <v>1358</v>
      </c>
      <c r="U45" s="1119">
        <f t="shared" si="13"/>
        <v>100</v>
      </c>
      <c r="V45" s="1118" t="s">
        <v>1358</v>
      </c>
      <c r="W45" s="1119">
        <f t="shared" si="14"/>
        <v>100</v>
      </c>
      <c r="X45" s="1113"/>
      <c r="Y45" s="3435"/>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2"/>
      <c r="Q46" s="621">
        <f t="shared" si="11"/>
        <v>111</v>
      </c>
      <c r="R46" s="1118" t="s">
        <v>1358</v>
      </c>
      <c r="S46" s="1119">
        <f t="shared" si="12"/>
        <v>100</v>
      </c>
      <c r="T46" s="1118" t="s">
        <v>1358</v>
      </c>
      <c r="U46" s="1119">
        <f t="shared" si="13"/>
        <v>100</v>
      </c>
      <c r="V46" s="1118" t="s">
        <v>1358</v>
      </c>
      <c r="W46" s="1119">
        <f t="shared" si="14"/>
        <v>100</v>
      </c>
      <c r="X46" s="1113"/>
      <c r="Y46" s="3436"/>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26" t="str">
        <f>A47</f>
        <v>成交单价（元/平方米）</v>
      </c>
      <c r="Q47" s="3426"/>
      <c r="R47" s="3427">
        <f>E47</f>
        <v>0</v>
      </c>
      <c r="S47" s="3427"/>
      <c r="T47" s="3427">
        <f>G47</f>
        <v>0</v>
      </c>
      <c r="U47" s="3427"/>
      <c r="V47" s="3427">
        <f>I47</f>
        <v>0</v>
      </c>
      <c r="W47" s="3427"/>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26" t="str">
        <f>A48</f>
        <v>比较价值（元/平方米）</v>
      </c>
      <c r="Q48" s="342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94" t="s">
        <v>1614</v>
      </c>
      <c r="D1" s="3495"/>
      <c r="E1" s="3495"/>
      <c r="F1" s="3495"/>
      <c r="G1" s="3495"/>
      <c r="H1" s="3495"/>
      <c r="I1" s="3495"/>
      <c r="J1" s="3495"/>
      <c r="K1" s="3495"/>
      <c r="L1" s="3495"/>
      <c r="M1" s="3495"/>
      <c r="N1" s="3495"/>
      <c r="O1" s="3495"/>
      <c r="P1" s="3495"/>
      <c r="Q1" s="3495"/>
      <c r="R1" s="3495"/>
      <c r="S1" s="3496"/>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15697.096899999999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5711</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27483.820000000003</v>
      </c>
      <c r="C22" s="3497" t="s">
        <v>124</v>
      </c>
      <c r="D22" s="3498"/>
      <c r="E22" s="3498"/>
      <c r="F22" s="3498"/>
      <c r="G22" s="3498"/>
      <c r="H22" s="3498"/>
      <c r="I22" s="3498"/>
      <c r="J22" s="3498"/>
      <c r="K22" s="3498"/>
      <c r="L22" s="3498"/>
      <c r="M22" s="3498"/>
      <c r="N22" s="3498"/>
      <c r="O22" s="3498"/>
      <c r="P22" s="3498"/>
      <c r="Q22" s="3499"/>
      <c r="R22" s="1469">
        <f ca="1">ROUND(S22*10000/B22,0)</f>
        <v>5711</v>
      </c>
      <c r="S22" s="1469">
        <f ca="1">SUM(S24:S10000)</f>
        <v>15697.096899999999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17271.7</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结果表!H102</f>
        <v>5711</v>
      </c>
      <c r="S24" s="1525">
        <f t="shared" ref="S24:S32" ca="1" si="11">ROUND(R24*B24/10000,4)</f>
        <v>9863.8678999999993</v>
      </c>
      <c r="T24" s="1526">
        <f ca="1">结果表!N59</f>
        <v>5810.8835000000017</v>
      </c>
      <c r="U24" s="1526">
        <f ca="1">结果表!N61</f>
        <v>2114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t="str">
        <f>'数据-基础表'!C14</f>
        <v>办公楼</v>
      </c>
      <c r="B25" s="1477">
        <f>'数据-基础表'!G14</f>
        <v>2053.5700000000002</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5711</v>
      </c>
      <c r="S25" s="1468">
        <f t="shared" ca="1" si="11"/>
        <v>1172.7937999999999</v>
      </c>
      <c r="T25" s="1417" t="e">
        <f>#REF!</f>
        <v>#REF!</v>
      </c>
      <c r="U25" s="1417" t="e">
        <f>#REF!</f>
        <v>#REF!</v>
      </c>
    </row>
    <row r="26" spans="1:45">
      <c r="A26" s="1476" t="str">
        <f>'数据-基础表'!C15</f>
        <v>研发车间</v>
      </c>
      <c r="B26" s="1477">
        <f>'数据-基础表'!G15</f>
        <v>8094.97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5711</v>
      </c>
      <c r="S26" s="1468">
        <f t="shared" ca="1" si="11"/>
        <v>4623.0374000000002</v>
      </c>
      <c r="T26" s="1417" t="e">
        <f>#REF!</f>
        <v>#REF!</v>
      </c>
      <c r="U26" s="1417" t="e">
        <f>#REF!</f>
        <v>#REF!</v>
      </c>
    </row>
    <row r="27" spans="1:45">
      <c r="A27" s="1476" t="str">
        <f>'数据-基础表'!C16</f>
        <v>门卫</v>
      </c>
      <c r="B27" s="1477">
        <f>'数据-基础表'!G16</f>
        <v>63.58</v>
      </c>
      <c r="C27" s="1469">
        <f t="shared" si="12"/>
        <v>1.03</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5882</v>
      </c>
      <c r="S27" s="1468">
        <f t="shared" ca="1" si="11"/>
        <v>37.397799999999997</v>
      </c>
      <c r="T27" s="1417" t="e">
        <f>#REF!</f>
        <v>#REF!</v>
      </c>
      <c r="U27" s="1417" t="e">
        <f>#REF!</f>
        <v>#REF!</v>
      </c>
    </row>
    <row r="28" spans="1:45">
      <c r="A28" s="1476">
        <f>'数据-基础表'!C17</f>
        <v>0</v>
      </c>
      <c r="B28" s="1477">
        <f>'数据-基础表'!G17</f>
        <v>0</v>
      </c>
      <c r="C28" s="1469">
        <f t="shared" si="12"/>
        <v>1.03</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5882</v>
      </c>
      <c r="S28" s="1468">
        <f t="shared" ca="1" si="11"/>
        <v>0</v>
      </c>
      <c r="T28" s="1417" t="e">
        <f>#REF!</f>
        <v>#REF!</v>
      </c>
      <c r="U28" s="1417" t="e">
        <f>#REF!</f>
        <v>#REF!</v>
      </c>
    </row>
    <row r="29" spans="1:45">
      <c r="A29" s="1476">
        <f>'数据-基础表'!C18</f>
        <v>0</v>
      </c>
      <c r="B29" s="1477">
        <f>'数据-基础表'!G18</f>
        <v>0</v>
      </c>
      <c r="C29" s="1469">
        <f t="shared" si="12"/>
        <v>1.03</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5882</v>
      </c>
      <c r="S29" s="1468">
        <f t="shared" ca="1" si="11"/>
        <v>0</v>
      </c>
      <c r="T29" s="1417" t="e">
        <f>#REF!</f>
        <v>#REF!</v>
      </c>
      <c r="U29" s="1417" t="e">
        <f>#REF!</f>
        <v>#REF!</v>
      </c>
    </row>
    <row r="30" spans="1:45">
      <c r="A30" s="1476">
        <f>'数据-基础表'!C19</f>
        <v>0</v>
      </c>
      <c r="B30" s="1477">
        <f>'数据-基础表'!G19</f>
        <v>0</v>
      </c>
      <c r="C30" s="1469">
        <f t="shared" si="12"/>
        <v>1.03</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5882</v>
      </c>
      <c r="S30" s="1468">
        <f t="shared" ca="1" si="11"/>
        <v>0</v>
      </c>
      <c r="T30" s="1417" t="e">
        <f>#REF!</f>
        <v>#REF!</v>
      </c>
      <c r="U30" s="1417" t="e">
        <f>#REF!</f>
        <v>#REF!</v>
      </c>
    </row>
    <row r="31" spans="1:45">
      <c r="A31" s="1476">
        <f>'数据-基础表'!C20</f>
        <v>0</v>
      </c>
      <c r="B31" s="1477">
        <f>'数据-基础表'!G20</f>
        <v>0</v>
      </c>
      <c r="C31" s="1469">
        <f t="shared" si="12"/>
        <v>1.03</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5882</v>
      </c>
      <c r="S31" s="1468">
        <f t="shared" ca="1" si="11"/>
        <v>0</v>
      </c>
      <c r="T31" s="1417" t="e">
        <f>#REF!</f>
        <v>#REF!</v>
      </c>
      <c r="U31" s="1417" t="e">
        <f>#REF!</f>
        <v>#REF!</v>
      </c>
    </row>
    <row r="32" spans="1:45">
      <c r="A32" s="1476">
        <f>'数据-基础表'!C21</f>
        <v>0</v>
      </c>
      <c r="B32" s="1477">
        <f>'数据-基础表'!G21</f>
        <v>0</v>
      </c>
      <c r="C32" s="1469">
        <f t="shared" si="12"/>
        <v>1.03</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5882</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71"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受贵公司委托，我公司对北京市平谷区兴谷东路39号房地产抵押价值进行了预评估。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估价对象为北京市平谷区兴谷东路39号房地产，为所有。根据《国有土地使用证》[]，估价对象（分摊）出让国有建设用地使用权面积为56554.63平方米，建筑面积为27483.82平方米。</v>
      </c>
    </row>
    <row r="8" spans="1:1" ht="54.6">
      <c r="A8" s="3151" t="s">
        <v>85</v>
      </c>
    </row>
    <row r="9" spans="1:1" ht="17.399999999999999">
      <c r="A9" s="3150" t="s">
        <v>86</v>
      </c>
    </row>
    <row r="10" spans="1:1" ht="69.59999999999999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39号房地产,属开发建设的办公项目，该项目尚在开发建设中。根据《国有土地使用证》[]，估价对象（分摊）出让国有建设用地使用权面积为56554.63平方米，规划建筑面积为27483.82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2025年6月30日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"本次评估采用的主估价方法为"&amp;结果表!K4&amp;"和"&amp;结果表!L4&amp;"。"</f>
        <v>本次评估采用的主估价方法为成本法和收益法。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27483.820000000003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11" t="s">
        <v>1347</v>
      </c>
      <c r="D4" s="3412"/>
      <c r="E4" s="3413" t="s">
        <v>1348</v>
      </c>
      <c r="F4" s="3414"/>
      <c r="G4" s="3411" t="s">
        <v>1349</v>
      </c>
      <c r="H4" s="3412"/>
      <c r="I4" s="3411" t="s">
        <v>1350</v>
      </c>
      <c r="J4" s="3412"/>
      <c r="K4" s="1064" t="s">
        <v>1351</v>
      </c>
      <c r="L4" s="1380"/>
      <c r="M4" s="1050"/>
      <c r="N4" s="1050"/>
      <c r="O4" s="1050"/>
      <c r="P4" s="3466" t="s">
        <v>1352</v>
      </c>
      <c r="Q4" s="3467"/>
      <c r="R4" s="3470" t="s">
        <v>1348</v>
      </c>
      <c r="S4" s="3471"/>
      <c r="T4" s="3470" t="s">
        <v>1349</v>
      </c>
      <c r="U4" s="3471"/>
      <c r="V4" s="3427" t="s">
        <v>1350</v>
      </c>
      <c r="W4" s="3427"/>
      <c r="X4" s="1113"/>
      <c r="Y4" s="3470" t="s">
        <v>1352</v>
      </c>
      <c r="Z4" s="3471"/>
      <c r="AA4" s="3465" t="s">
        <v>1348</v>
      </c>
      <c r="AB4" s="3441" t="s">
        <v>1349</v>
      </c>
      <c r="AC4" s="3465" t="s">
        <v>1350</v>
      </c>
    </row>
    <row r="5" spans="1:29">
      <c r="A5" s="922"/>
      <c r="B5" s="923"/>
      <c r="C5" s="3459" t="s">
        <v>1575</v>
      </c>
      <c r="D5" s="3416"/>
      <c r="E5" s="3493" t="s">
        <v>1576</v>
      </c>
      <c r="F5" s="3461"/>
      <c r="G5" s="3459" t="s">
        <v>1577</v>
      </c>
      <c r="H5" s="3416"/>
      <c r="I5" s="3459" t="s">
        <v>1353</v>
      </c>
      <c r="J5" s="3416"/>
      <c r="K5" s="1064"/>
      <c r="L5" s="1380"/>
      <c r="M5" s="1050"/>
      <c r="N5" s="1050"/>
      <c r="O5" s="1050"/>
      <c r="P5" s="3468"/>
      <c r="Q5" s="3449"/>
      <c r="R5" s="3454"/>
      <c r="S5" s="3455"/>
      <c r="T5" s="3454"/>
      <c r="U5" s="3455"/>
      <c r="V5" s="3427"/>
      <c r="W5" s="3427"/>
      <c r="X5" s="1113"/>
      <c r="Y5" s="3454"/>
      <c r="Z5" s="3455"/>
      <c r="AA5" s="3441"/>
      <c r="AB5" s="3441"/>
      <c r="AC5" s="3441"/>
    </row>
    <row r="6" spans="1:29" ht="14.4">
      <c r="A6" s="924"/>
      <c r="B6" s="925"/>
      <c r="C6" s="3417" t="s">
        <v>1354</v>
      </c>
      <c r="D6" s="3418"/>
      <c r="E6" s="3419" t="s">
        <v>1354</v>
      </c>
      <c r="F6" s="3420"/>
      <c r="G6" s="3417" t="s">
        <v>1354</v>
      </c>
      <c r="H6" s="3418"/>
      <c r="I6" s="3417" t="s">
        <v>1354</v>
      </c>
      <c r="J6" s="3418"/>
      <c r="K6" s="1064" t="s">
        <v>1355</v>
      </c>
      <c r="L6" s="1380"/>
      <c r="M6" s="1050"/>
      <c r="N6" s="1050"/>
      <c r="O6" s="1050"/>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3" t="s">
        <v>1357</v>
      </c>
      <c r="Q7" s="3422"/>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26"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26"/>
      <c r="Q10" s="790" t="str">
        <f t="shared" si="6"/>
        <v>土地使用年限（年）</v>
      </c>
      <c r="R10" s="1114" t="s">
        <v>1358</v>
      </c>
      <c r="S10" s="1115">
        <f t="shared" si="0"/>
        <v>100</v>
      </c>
      <c r="T10" s="1114" t="s">
        <v>1358</v>
      </c>
      <c r="U10" s="1115">
        <f t="shared" si="1"/>
        <v>100</v>
      </c>
      <c r="V10" s="1114" t="s">
        <v>1358</v>
      </c>
      <c r="W10" s="1115">
        <f t="shared" si="2"/>
        <v>100</v>
      </c>
      <c r="X10" s="1116"/>
      <c r="Y10" s="3378"/>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26"/>
      <c r="Q11" s="790" t="str">
        <f t="shared" si="6"/>
        <v>容积率</v>
      </c>
      <c r="R11" s="1114" t="s">
        <v>1358</v>
      </c>
      <c r="S11" s="1115">
        <f t="shared" si="0"/>
        <v>100</v>
      </c>
      <c r="T11" s="1114" t="s">
        <v>1358</v>
      </c>
      <c r="U11" s="1115">
        <f t="shared" si="1"/>
        <v>100</v>
      </c>
      <c r="V11" s="1114" t="s">
        <v>1358</v>
      </c>
      <c r="W11" s="1115">
        <f t="shared" si="2"/>
        <v>100</v>
      </c>
      <c r="X11" s="1116"/>
      <c r="Y11" s="3378"/>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26"/>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26"/>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26"/>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3" t="s">
        <v>1370</v>
      </c>
      <c r="Q15" s="621" t="str">
        <f t="shared" si="6"/>
        <v>产业集聚程度</v>
      </c>
      <c r="R15" s="1118" t="s">
        <v>1358</v>
      </c>
      <c r="S15" s="1119">
        <f t="shared" si="0"/>
        <v>100</v>
      </c>
      <c r="T15" s="1118" t="s">
        <v>1358</v>
      </c>
      <c r="U15" s="1119">
        <f t="shared" si="1"/>
        <v>100</v>
      </c>
      <c r="V15" s="1118" t="s">
        <v>1358</v>
      </c>
      <c r="W15" s="1119">
        <f t="shared" si="2"/>
        <v>100</v>
      </c>
      <c r="X15" s="1113"/>
      <c r="Y15" s="3433"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4"/>
      <c r="Q16" s="621"/>
      <c r="R16" s="1118"/>
      <c r="S16" s="1119"/>
      <c r="T16" s="1118"/>
      <c r="U16" s="1119"/>
      <c r="V16" s="1118"/>
      <c r="W16" s="1119"/>
      <c r="X16" s="1113"/>
      <c r="Y16" s="3434"/>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4"/>
      <c r="Q17" s="621" t="str">
        <f>B17</f>
        <v>交通便捷度</v>
      </c>
      <c r="R17" s="1118" t="s">
        <v>1358</v>
      </c>
      <c r="S17" s="1119">
        <f>F17</f>
        <v>100</v>
      </c>
      <c r="T17" s="1118" t="s">
        <v>1358</v>
      </c>
      <c r="U17" s="1119">
        <f>H17</f>
        <v>100</v>
      </c>
      <c r="V17" s="1118" t="s">
        <v>1358</v>
      </c>
      <c r="W17" s="1119">
        <f>J17</f>
        <v>100</v>
      </c>
      <c r="X17" s="1113"/>
      <c r="Y17" s="3434"/>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4"/>
      <c r="Q18" s="621"/>
      <c r="R18" s="1118"/>
      <c r="S18" s="1119"/>
      <c r="T18" s="1118"/>
      <c r="U18" s="1119"/>
      <c r="V18" s="1118"/>
      <c r="W18" s="1119"/>
      <c r="X18" s="1113"/>
      <c r="Y18" s="3434"/>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4"/>
      <c r="Q19" s="621" t="str">
        <f>B19</f>
        <v>公共配套设施</v>
      </c>
      <c r="R19" s="1118" t="s">
        <v>1358</v>
      </c>
      <c r="S19" s="1119">
        <f>F19</f>
        <v>100</v>
      </c>
      <c r="T19" s="1118" t="s">
        <v>1358</v>
      </c>
      <c r="U19" s="1119">
        <f>H19</f>
        <v>100</v>
      </c>
      <c r="V19" s="1118" t="s">
        <v>1358</v>
      </c>
      <c r="W19" s="1119">
        <f>J19</f>
        <v>100</v>
      </c>
      <c r="X19" s="1113"/>
      <c r="Y19" s="3434"/>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4"/>
      <c r="Q20" s="621"/>
      <c r="R20" s="1118"/>
      <c r="S20" s="1119"/>
      <c r="T20" s="1118"/>
      <c r="U20" s="1119"/>
      <c r="V20" s="1118"/>
      <c r="W20" s="1119"/>
      <c r="X20" s="1113"/>
      <c r="Y20" s="3434"/>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4"/>
      <c r="Q21" s="621" t="str">
        <f>B21</f>
        <v>基础设施水平</v>
      </c>
      <c r="R21" s="1118" t="s">
        <v>1358</v>
      </c>
      <c r="S21" s="1119">
        <f>F21</f>
        <v>100</v>
      </c>
      <c r="T21" s="1118" t="s">
        <v>1358</v>
      </c>
      <c r="U21" s="1119">
        <f>H21</f>
        <v>100</v>
      </c>
      <c r="V21" s="1118" t="s">
        <v>1358</v>
      </c>
      <c r="W21" s="1119">
        <f>J21</f>
        <v>100</v>
      </c>
      <c r="X21" s="1113"/>
      <c r="Y21" s="343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4"/>
      <c r="Q22" s="621"/>
      <c r="R22" s="1118"/>
      <c r="S22" s="1119"/>
      <c r="T22" s="1118"/>
      <c r="U22" s="1119"/>
      <c r="V22" s="1118"/>
      <c r="W22" s="1119"/>
      <c r="X22" s="1113"/>
      <c r="Y22" s="3434"/>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4"/>
      <c r="Q23" s="621" t="str">
        <f>B23</f>
        <v>环境质量</v>
      </c>
      <c r="R23" s="1118" t="s">
        <v>1358</v>
      </c>
      <c r="S23" s="1119">
        <f>F23</f>
        <v>100</v>
      </c>
      <c r="T23" s="1118" t="s">
        <v>1358</v>
      </c>
      <c r="U23" s="1119">
        <f>H23</f>
        <v>100</v>
      </c>
      <c r="V23" s="1118" t="s">
        <v>1358</v>
      </c>
      <c r="W23" s="1119">
        <f>J23</f>
        <v>100</v>
      </c>
      <c r="X23" s="1113"/>
      <c r="Y23" s="3434"/>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4"/>
      <c r="Q24" s="621"/>
      <c r="R24" s="1118"/>
      <c r="S24" s="1119"/>
      <c r="T24" s="1118"/>
      <c r="U24" s="1119"/>
      <c r="V24" s="1118"/>
      <c r="W24" s="1119"/>
      <c r="X24" s="1113"/>
      <c r="Y24" s="3434"/>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4"/>
      <c r="Q25" s="621">
        <f>B25</f>
        <v>111</v>
      </c>
      <c r="R25" s="1118" t="s">
        <v>1358</v>
      </c>
      <c r="S25" s="1119">
        <f>F25</f>
        <v>100</v>
      </c>
      <c r="T25" s="1118" t="s">
        <v>1358</v>
      </c>
      <c r="U25" s="1119">
        <f>H25</f>
        <v>100</v>
      </c>
      <c r="V25" s="1118" t="s">
        <v>1358</v>
      </c>
      <c r="W25" s="1119">
        <f>J25</f>
        <v>100</v>
      </c>
      <c r="X25" s="1113"/>
      <c r="Y25" s="3434"/>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4"/>
      <c r="Q26" s="621">
        <f t="shared" ref="Q26:Q40" si="11">B26</f>
        <v>111</v>
      </c>
      <c r="R26" s="1118" t="s">
        <v>1358</v>
      </c>
      <c r="S26" s="1119">
        <f>F26</f>
        <v>100</v>
      </c>
      <c r="T26" s="1118" t="s">
        <v>1358</v>
      </c>
      <c r="U26" s="1119">
        <f>H26</f>
        <v>100</v>
      </c>
      <c r="V26" s="1118" t="s">
        <v>1358</v>
      </c>
      <c r="W26" s="1119">
        <f>J26</f>
        <v>100</v>
      </c>
      <c r="X26" s="1113"/>
      <c r="Y26" s="3434"/>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4"/>
      <c r="Q27" s="790">
        <f t="shared" si="11"/>
        <v>111</v>
      </c>
      <c r="R27" s="1114" t="s">
        <v>1358</v>
      </c>
      <c r="S27" s="1115">
        <f>F27</f>
        <v>100</v>
      </c>
      <c r="T27" s="1114" t="s">
        <v>1358</v>
      </c>
      <c r="U27" s="1115">
        <f>H27</f>
        <v>100</v>
      </c>
      <c r="V27" s="1114" t="s">
        <v>1358</v>
      </c>
      <c r="W27" s="1115">
        <f>J27</f>
        <v>100</v>
      </c>
      <c r="X27" s="1116"/>
      <c r="Y27" s="3434"/>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4"/>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34"/>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500" t="s">
        <v>1384</v>
      </c>
      <c r="Q29" s="621" t="str">
        <f t="shared" si="11"/>
        <v>建筑类型</v>
      </c>
      <c r="R29" s="1118" t="s">
        <v>1358</v>
      </c>
      <c r="S29" s="1119">
        <f t="shared" si="12"/>
        <v>100</v>
      </c>
      <c r="T29" s="1118" t="s">
        <v>1358</v>
      </c>
      <c r="U29" s="1119">
        <f t="shared" si="13"/>
        <v>100</v>
      </c>
      <c r="V29" s="1118" t="s">
        <v>1358</v>
      </c>
      <c r="W29" s="1119">
        <f t="shared" si="14"/>
        <v>100</v>
      </c>
      <c r="X29" s="1113"/>
      <c r="Y29" s="3435"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5"/>
      <c r="Q30" s="1308" t="str">
        <f t="shared" si="11"/>
        <v>项目建筑规模</v>
      </c>
      <c r="R30" s="1120" t="s">
        <v>1358</v>
      </c>
      <c r="S30" s="1121" t="e">
        <f t="shared" si="12"/>
        <v>#N/A</v>
      </c>
      <c r="T30" s="1120" t="s">
        <v>1358</v>
      </c>
      <c r="U30" s="1121" t="e">
        <f t="shared" si="13"/>
        <v>#N/A</v>
      </c>
      <c r="V30" s="1120" t="s">
        <v>1358</v>
      </c>
      <c r="W30" s="1121" t="e">
        <f t="shared" si="14"/>
        <v>#N/A</v>
      </c>
      <c r="X30" s="1122"/>
      <c r="Y30" s="3435"/>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5"/>
      <c r="Q31" s="621" t="str">
        <f t="shared" si="11"/>
        <v>建筑结构</v>
      </c>
      <c r="R31" s="1118" t="s">
        <v>1358</v>
      </c>
      <c r="S31" s="1119">
        <f t="shared" si="12"/>
        <v>100</v>
      </c>
      <c r="T31" s="1118" t="s">
        <v>1358</v>
      </c>
      <c r="U31" s="1119">
        <f t="shared" si="13"/>
        <v>100</v>
      </c>
      <c r="V31" s="1118" t="s">
        <v>1358</v>
      </c>
      <c r="W31" s="1119">
        <f t="shared" si="14"/>
        <v>100</v>
      </c>
      <c r="X31" s="1113"/>
      <c r="Y31" s="3435"/>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5"/>
      <c r="Q32" s="621" t="str">
        <f t="shared" si="11"/>
        <v>公共部分装修</v>
      </c>
      <c r="R32" s="1118" t="s">
        <v>1358</v>
      </c>
      <c r="S32" s="1119">
        <f t="shared" si="12"/>
        <v>100</v>
      </c>
      <c r="T32" s="1118" t="s">
        <v>1358</v>
      </c>
      <c r="U32" s="1119">
        <f t="shared" si="13"/>
        <v>100</v>
      </c>
      <c r="V32" s="1118" t="s">
        <v>1358</v>
      </c>
      <c r="W32" s="1119">
        <f t="shared" si="14"/>
        <v>100</v>
      </c>
      <c r="X32" s="1113"/>
      <c r="Y32" s="3435"/>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5"/>
      <c r="Q33" s="621" t="str">
        <f t="shared" si="11"/>
        <v>成新度</v>
      </c>
      <c r="R33" s="1118" t="s">
        <v>1358</v>
      </c>
      <c r="S33" s="1119" t="e">
        <f t="shared" si="12"/>
        <v>#N/A</v>
      </c>
      <c r="T33" s="1118" t="s">
        <v>1358</v>
      </c>
      <c r="U33" s="1119" t="e">
        <f t="shared" si="13"/>
        <v>#N/A</v>
      </c>
      <c r="V33" s="1118" t="s">
        <v>1358</v>
      </c>
      <c r="W33" s="1119" t="e">
        <f t="shared" si="14"/>
        <v>#N/A</v>
      </c>
      <c r="X33" s="1113"/>
      <c r="Y33" s="3435"/>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5"/>
      <c r="Q34" s="790" t="str">
        <f t="shared" si="11"/>
        <v>物业管理</v>
      </c>
      <c r="R34" s="1114" t="s">
        <v>1358</v>
      </c>
      <c r="S34" s="1115">
        <f t="shared" si="12"/>
        <v>100</v>
      </c>
      <c r="T34" s="1114" t="s">
        <v>1358</v>
      </c>
      <c r="U34" s="1115">
        <f t="shared" si="13"/>
        <v>100</v>
      </c>
      <c r="V34" s="1114" t="s">
        <v>1358</v>
      </c>
      <c r="W34" s="1115">
        <f t="shared" si="14"/>
        <v>100</v>
      </c>
      <c r="X34" s="1116"/>
      <c r="Y34" s="3435"/>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5" t="s">
        <v>1384</v>
      </c>
      <c r="Q35" s="621" t="str">
        <f t="shared" si="11"/>
        <v>市政基础设施</v>
      </c>
      <c r="R35" s="1118" t="s">
        <v>1358</v>
      </c>
      <c r="S35" s="1119">
        <f t="shared" si="12"/>
        <v>100</v>
      </c>
      <c r="T35" s="1118" t="s">
        <v>1358</v>
      </c>
      <c r="U35" s="1119">
        <f t="shared" si="13"/>
        <v>100</v>
      </c>
      <c r="V35" s="1118" t="s">
        <v>1358</v>
      </c>
      <c r="W35" s="1119">
        <f t="shared" si="14"/>
        <v>100</v>
      </c>
      <c r="X35" s="1113"/>
      <c r="Y35" s="3435"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5"/>
      <c r="Q36" s="621" t="str">
        <f t="shared" si="11"/>
        <v>内部装修</v>
      </c>
      <c r="R36" s="1118" t="s">
        <v>1358</v>
      </c>
      <c r="S36" s="1119">
        <f t="shared" si="12"/>
        <v>100</v>
      </c>
      <c r="T36" s="1118" t="s">
        <v>1358</v>
      </c>
      <c r="U36" s="1119">
        <f t="shared" si="13"/>
        <v>100</v>
      </c>
      <c r="V36" s="1118" t="s">
        <v>1358</v>
      </c>
      <c r="W36" s="1119">
        <f t="shared" si="14"/>
        <v>100</v>
      </c>
      <c r="X36" s="1113"/>
      <c r="Y36" s="3435"/>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5"/>
      <c r="Q37" s="621" t="str">
        <f t="shared" si="11"/>
        <v>内部装修状况</v>
      </c>
      <c r="R37" s="1118" t="s">
        <v>1358</v>
      </c>
      <c r="S37" s="1119">
        <f t="shared" si="12"/>
        <v>100</v>
      </c>
      <c r="T37" s="1118" t="s">
        <v>1358</v>
      </c>
      <c r="U37" s="1119">
        <f t="shared" si="13"/>
        <v>100</v>
      </c>
      <c r="V37" s="1118" t="s">
        <v>1358</v>
      </c>
      <c r="W37" s="1119">
        <f t="shared" si="14"/>
        <v>100</v>
      </c>
      <c r="X37" s="1113"/>
      <c r="Y37" s="3435"/>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5"/>
      <c r="Q38" s="1308">
        <f t="shared" si="11"/>
        <v>111</v>
      </c>
      <c r="R38" s="1120" t="s">
        <v>1358</v>
      </c>
      <c r="S38" s="1121">
        <f t="shared" si="12"/>
        <v>100</v>
      </c>
      <c r="T38" s="1120" t="s">
        <v>1358</v>
      </c>
      <c r="U38" s="1121">
        <f t="shared" si="13"/>
        <v>100</v>
      </c>
      <c r="V38" s="1120" t="s">
        <v>1358</v>
      </c>
      <c r="W38" s="1121">
        <f t="shared" si="14"/>
        <v>100</v>
      </c>
      <c r="X38" s="1122"/>
      <c r="Y38" s="3435"/>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5"/>
      <c r="Q39" s="621">
        <f t="shared" si="11"/>
        <v>111</v>
      </c>
      <c r="R39" s="1118" t="s">
        <v>1358</v>
      </c>
      <c r="S39" s="1119">
        <f t="shared" si="12"/>
        <v>100</v>
      </c>
      <c r="T39" s="1118" t="s">
        <v>1358</v>
      </c>
      <c r="U39" s="1119">
        <f t="shared" si="13"/>
        <v>100</v>
      </c>
      <c r="V39" s="1118" t="s">
        <v>1358</v>
      </c>
      <c r="W39" s="1119">
        <f t="shared" si="14"/>
        <v>100</v>
      </c>
      <c r="X39" s="1113"/>
      <c r="Y39" s="3435"/>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6"/>
      <c r="Q40" s="621">
        <f t="shared" si="11"/>
        <v>111</v>
      </c>
      <c r="R40" s="1118" t="s">
        <v>1358</v>
      </c>
      <c r="S40" s="1119">
        <f t="shared" si="12"/>
        <v>100</v>
      </c>
      <c r="T40" s="1118" t="s">
        <v>1358</v>
      </c>
      <c r="U40" s="1119">
        <f t="shared" si="13"/>
        <v>100</v>
      </c>
      <c r="V40" s="1118" t="s">
        <v>1358</v>
      </c>
      <c r="W40" s="1119">
        <f t="shared" si="14"/>
        <v>100</v>
      </c>
      <c r="X40" s="1113"/>
      <c r="Y40" s="3436"/>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26" t="str">
        <f>A41</f>
        <v>成交单价（元/平方米）</v>
      </c>
      <c r="Q41" s="3426"/>
      <c r="R41" s="3427">
        <f>E41</f>
        <v>0</v>
      </c>
      <c r="S41" s="3427"/>
      <c r="T41" s="3427">
        <f>G41</f>
        <v>0</v>
      </c>
      <c r="U41" s="3427"/>
      <c r="V41" s="3427">
        <f>I41</f>
        <v>0</v>
      </c>
      <c r="W41" s="3427"/>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26" t="str">
        <f>A42</f>
        <v>比较价值（元/平方米）</v>
      </c>
      <c r="Q42" s="3426"/>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41" t="s">
        <v>1349</v>
      </c>
      <c r="AC4" s="3465" t="s">
        <v>1350</v>
      </c>
    </row>
    <row r="5" spans="1:29">
      <c r="A5" s="922"/>
      <c r="B5" s="923"/>
      <c r="C5" s="3459" t="s">
        <v>1575</v>
      </c>
      <c r="D5" s="3416"/>
      <c r="E5" s="3493" t="s">
        <v>1576</v>
      </c>
      <c r="F5" s="3461"/>
      <c r="G5" s="3459" t="s">
        <v>1577</v>
      </c>
      <c r="H5" s="3416"/>
      <c r="I5" s="3459" t="s">
        <v>1353</v>
      </c>
      <c r="J5" s="3416"/>
      <c r="K5" s="1064"/>
      <c r="L5" s="1065"/>
      <c r="M5" s="1015"/>
      <c r="N5" s="1015"/>
      <c r="O5" s="1015"/>
      <c r="P5" s="3468"/>
      <c r="Q5" s="3449"/>
      <c r="R5" s="3454"/>
      <c r="S5" s="3455"/>
      <c r="T5" s="3454"/>
      <c r="U5" s="3455"/>
      <c r="V5" s="3427"/>
      <c r="W5" s="3427"/>
      <c r="X5" s="1113"/>
      <c r="Y5" s="3454"/>
      <c r="Z5" s="3455"/>
      <c r="AA5" s="3441"/>
      <c r="AB5" s="3441"/>
      <c r="AC5" s="3441"/>
    </row>
    <row r="6" spans="1:29" ht="14.4">
      <c r="A6" s="924"/>
      <c r="B6" s="925"/>
      <c r="C6" s="3417" t="s">
        <v>1354</v>
      </c>
      <c r="D6" s="3418"/>
      <c r="E6" s="3419" t="s">
        <v>1354</v>
      </c>
      <c r="F6" s="3420"/>
      <c r="G6" s="3417" t="s">
        <v>1354</v>
      </c>
      <c r="H6" s="3418"/>
      <c r="I6" s="3417" t="s">
        <v>1354</v>
      </c>
      <c r="J6" s="3418"/>
      <c r="K6" s="1064" t="s">
        <v>1355</v>
      </c>
      <c r="L6" s="1065"/>
      <c r="M6" s="1015"/>
      <c r="N6" s="1015"/>
      <c r="O6" s="1015"/>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3" t="s">
        <v>1357</v>
      </c>
      <c r="Q7" s="3422"/>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26" t="s">
        <v>1364</v>
      </c>
      <c r="Q9" s="790" t="str">
        <f t="shared" ref="Q9:Q14" si="6">B9</f>
        <v>用途</v>
      </c>
      <c r="R9" s="1114" t="s">
        <v>1358</v>
      </c>
      <c r="S9" s="1115">
        <f t="shared" si="0"/>
        <v>100</v>
      </c>
      <c r="T9" s="1114" t="s">
        <v>1358</v>
      </c>
      <c r="U9" s="1115">
        <f t="shared" si="1"/>
        <v>100</v>
      </c>
      <c r="V9" s="1114" t="s">
        <v>1358</v>
      </c>
      <c r="W9" s="1115">
        <f t="shared" si="2"/>
        <v>100</v>
      </c>
      <c r="X9" s="1116"/>
      <c r="Y9" s="3378"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26"/>
      <c r="Q10" s="790" t="str">
        <f t="shared" si="6"/>
        <v>土地使用年限（年）</v>
      </c>
      <c r="R10" s="1114" t="s">
        <v>1358</v>
      </c>
      <c r="S10" s="1115">
        <f t="shared" si="0"/>
        <v>100</v>
      </c>
      <c r="T10" s="1114" t="s">
        <v>1358</v>
      </c>
      <c r="U10" s="1115">
        <f t="shared" si="1"/>
        <v>100</v>
      </c>
      <c r="V10" s="1114" t="s">
        <v>1358</v>
      </c>
      <c r="W10" s="1115">
        <f t="shared" si="2"/>
        <v>100</v>
      </c>
      <c r="X10" s="1116"/>
      <c r="Y10" s="3378"/>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26"/>
      <c r="Q11" s="790">
        <f t="shared" si="6"/>
        <v>111</v>
      </c>
      <c r="R11" s="1114" t="s">
        <v>1358</v>
      </c>
      <c r="S11" s="1115">
        <f t="shared" si="0"/>
        <v>100</v>
      </c>
      <c r="T11" s="1114" t="s">
        <v>1358</v>
      </c>
      <c r="U11" s="1115">
        <f t="shared" si="1"/>
        <v>100</v>
      </c>
      <c r="V11" s="1114" t="s">
        <v>1358</v>
      </c>
      <c r="W11" s="1115">
        <f t="shared" si="2"/>
        <v>100</v>
      </c>
      <c r="X11" s="1116"/>
      <c r="Y11" s="3378"/>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26"/>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26"/>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3" t="s">
        <v>1370</v>
      </c>
      <c r="Q14" s="621" t="str">
        <f t="shared" si="6"/>
        <v>交通便捷度</v>
      </c>
      <c r="R14" s="1118" t="s">
        <v>1358</v>
      </c>
      <c r="S14" s="1119">
        <f t="shared" si="0"/>
        <v>100</v>
      </c>
      <c r="T14" s="1118" t="s">
        <v>1358</v>
      </c>
      <c r="U14" s="1119">
        <f t="shared" si="1"/>
        <v>100</v>
      </c>
      <c r="V14" s="1118" t="s">
        <v>1358</v>
      </c>
      <c r="W14" s="1119">
        <f t="shared" si="2"/>
        <v>100</v>
      </c>
      <c r="X14" s="1113"/>
      <c r="Y14" s="3433"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4"/>
      <c r="Q15" s="621"/>
      <c r="R15" s="1118"/>
      <c r="S15" s="1119"/>
      <c r="T15" s="1118"/>
      <c r="U15" s="1119"/>
      <c r="V15" s="1118"/>
      <c r="W15" s="1119"/>
      <c r="X15" s="1113"/>
      <c r="Y15" s="3434"/>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4"/>
      <c r="Q16" s="621" t="str">
        <f>B16</f>
        <v>公共配套设施</v>
      </c>
      <c r="R16" s="1118" t="s">
        <v>1358</v>
      </c>
      <c r="S16" s="1119">
        <f>F16</f>
        <v>100</v>
      </c>
      <c r="T16" s="1118" t="s">
        <v>1358</v>
      </c>
      <c r="U16" s="1119">
        <f>H16</f>
        <v>100</v>
      </c>
      <c r="V16" s="1118" t="s">
        <v>1358</v>
      </c>
      <c r="W16" s="1119">
        <f>J16</f>
        <v>100</v>
      </c>
      <c r="X16" s="1113"/>
      <c r="Y16" s="3434"/>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4"/>
      <c r="Q17" s="621"/>
      <c r="R17" s="1118"/>
      <c r="S17" s="1119"/>
      <c r="T17" s="1118"/>
      <c r="U17" s="1119"/>
      <c r="V17" s="1118"/>
      <c r="W17" s="1119"/>
      <c r="X17" s="1113"/>
      <c r="Y17" s="3434"/>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4"/>
      <c r="Q18" s="621" t="str">
        <f>B18</f>
        <v>基础设施水平</v>
      </c>
      <c r="R18" s="1118" t="s">
        <v>1358</v>
      </c>
      <c r="S18" s="1119">
        <f>F18</f>
        <v>100</v>
      </c>
      <c r="T18" s="1118" t="s">
        <v>1358</v>
      </c>
      <c r="U18" s="1119">
        <f>H18</f>
        <v>100</v>
      </c>
      <c r="V18" s="1118" t="s">
        <v>1358</v>
      </c>
      <c r="W18" s="1119">
        <f>J18</f>
        <v>100</v>
      </c>
      <c r="X18" s="1113"/>
      <c r="Y18" s="3434"/>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4"/>
      <c r="Q19" s="621"/>
      <c r="R19" s="1118"/>
      <c r="S19" s="1119"/>
      <c r="T19" s="1118"/>
      <c r="U19" s="1119"/>
      <c r="V19" s="1118"/>
      <c r="W19" s="1119"/>
      <c r="X19" s="1113"/>
      <c r="Y19" s="3434"/>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4"/>
      <c r="Q20" s="621" t="str">
        <f>B20</f>
        <v>自然及人文环境</v>
      </c>
      <c r="R20" s="1118" t="s">
        <v>1358</v>
      </c>
      <c r="S20" s="1119">
        <f>F20</f>
        <v>100</v>
      </c>
      <c r="T20" s="1118" t="s">
        <v>1358</v>
      </c>
      <c r="U20" s="1119">
        <f>H20</f>
        <v>100</v>
      </c>
      <c r="V20" s="1118" t="s">
        <v>1358</v>
      </c>
      <c r="W20" s="1119">
        <f>J20</f>
        <v>100</v>
      </c>
      <c r="X20" s="1113"/>
      <c r="Y20" s="3434"/>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4"/>
      <c r="Q21" s="621"/>
      <c r="R21" s="1118"/>
      <c r="S21" s="1119"/>
      <c r="T21" s="1118"/>
      <c r="U21" s="1119"/>
      <c r="V21" s="1118"/>
      <c r="W21" s="1119"/>
      <c r="X21" s="1113"/>
      <c r="Y21" s="3434"/>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4"/>
      <c r="Q22" s="621" t="str">
        <f>B22</f>
        <v>楼层</v>
      </c>
      <c r="R22" s="1118" t="s">
        <v>1358</v>
      </c>
      <c r="S22" s="1119">
        <f>F22</f>
        <v>100</v>
      </c>
      <c r="T22" s="1118" t="s">
        <v>1358</v>
      </c>
      <c r="U22" s="1119">
        <f>H22</f>
        <v>100</v>
      </c>
      <c r="V22" s="1118" t="s">
        <v>1358</v>
      </c>
      <c r="W22" s="1119">
        <f>J22</f>
        <v>100</v>
      </c>
      <c r="X22" s="1113"/>
      <c r="Y22" s="3434"/>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4"/>
      <c r="Q23" s="621">
        <f>B23</f>
        <v>111</v>
      </c>
      <c r="R23" s="1118" t="s">
        <v>1358</v>
      </c>
      <c r="S23" s="1119">
        <f>F23</f>
        <v>100</v>
      </c>
      <c r="T23" s="1118" t="s">
        <v>1358</v>
      </c>
      <c r="U23" s="1119">
        <f>H23</f>
        <v>100</v>
      </c>
      <c r="V23" s="1118" t="s">
        <v>1358</v>
      </c>
      <c r="W23" s="1119">
        <f>J23</f>
        <v>100</v>
      </c>
      <c r="X23" s="1113"/>
      <c r="Y23" s="3434"/>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4"/>
      <c r="Q24" s="621">
        <f t="shared" ref="Q24:Q36" si="11">B24</f>
        <v>111</v>
      </c>
      <c r="R24" s="1118" t="s">
        <v>1358</v>
      </c>
      <c r="S24" s="1119">
        <f>F24</f>
        <v>100</v>
      </c>
      <c r="T24" s="1118" t="s">
        <v>1358</v>
      </c>
      <c r="U24" s="1119">
        <f>H24</f>
        <v>100</v>
      </c>
      <c r="V24" s="1118" t="s">
        <v>1358</v>
      </c>
      <c r="W24" s="1119">
        <f>J24</f>
        <v>100</v>
      </c>
      <c r="X24" s="1113"/>
      <c r="Y24" s="3434"/>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4"/>
      <c r="Q25" s="790">
        <f t="shared" si="11"/>
        <v>111</v>
      </c>
      <c r="R25" s="1114" t="s">
        <v>1358</v>
      </c>
      <c r="S25" s="1115">
        <f>F25</f>
        <v>100</v>
      </c>
      <c r="T25" s="1114" t="s">
        <v>1358</v>
      </c>
      <c r="U25" s="1115">
        <f>H25</f>
        <v>100</v>
      </c>
      <c r="V25" s="1114" t="s">
        <v>1358</v>
      </c>
      <c r="W25" s="1115">
        <f>J25</f>
        <v>100</v>
      </c>
      <c r="X25" s="1116"/>
      <c r="Y25" s="3434"/>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500"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35"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5"/>
      <c r="Q27" s="1308" t="str">
        <f t="shared" si="11"/>
        <v>项目停车位配比</v>
      </c>
      <c r="R27" s="1120" t="s">
        <v>1358</v>
      </c>
      <c r="S27" s="1121">
        <f t="shared" si="12"/>
        <v>100</v>
      </c>
      <c r="T27" s="1120" t="s">
        <v>1358</v>
      </c>
      <c r="U27" s="1121">
        <f t="shared" si="13"/>
        <v>100</v>
      </c>
      <c r="V27" s="1120" t="s">
        <v>1358</v>
      </c>
      <c r="W27" s="1121">
        <f t="shared" si="14"/>
        <v>100</v>
      </c>
      <c r="X27" s="1122"/>
      <c r="Y27" s="3435"/>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5"/>
      <c r="Q28" s="621" t="str">
        <f t="shared" si="11"/>
        <v>公共部分装修</v>
      </c>
      <c r="R28" s="1118" t="s">
        <v>1358</v>
      </c>
      <c r="S28" s="1119">
        <f t="shared" si="12"/>
        <v>100</v>
      </c>
      <c r="T28" s="1118" t="s">
        <v>1358</v>
      </c>
      <c r="U28" s="1119">
        <f t="shared" si="13"/>
        <v>100</v>
      </c>
      <c r="V28" s="1118" t="s">
        <v>1358</v>
      </c>
      <c r="W28" s="1119">
        <f t="shared" si="14"/>
        <v>100</v>
      </c>
      <c r="X28" s="1113"/>
      <c r="Y28" s="3435"/>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5"/>
      <c r="Q29" s="621" t="str">
        <f t="shared" si="11"/>
        <v>成新率</v>
      </c>
      <c r="R29" s="1118" t="s">
        <v>1358</v>
      </c>
      <c r="S29" s="1119" t="e">
        <f t="shared" si="12"/>
        <v>#N/A</v>
      </c>
      <c r="T29" s="1118" t="s">
        <v>1358</v>
      </c>
      <c r="U29" s="1119" t="e">
        <f t="shared" si="13"/>
        <v>#N/A</v>
      </c>
      <c r="V29" s="1118" t="s">
        <v>1358</v>
      </c>
      <c r="W29" s="1119" t="e">
        <f t="shared" si="14"/>
        <v>#N/A</v>
      </c>
      <c r="X29" s="1113"/>
      <c r="Y29" s="3435"/>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5"/>
      <c r="Q30" s="621" t="str">
        <f t="shared" si="11"/>
        <v>物业等级</v>
      </c>
      <c r="R30" s="1118" t="s">
        <v>1358</v>
      </c>
      <c r="S30" s="1119">
        <f t="shared" si="12"/>
        <v>100</v>
      </c>
      <c r="T30" s="1118" t="s">
        <v>1358</v>
      </c>
      <c r="U30" s="1119">
        <f t="shared" si="13"/>
        <v>100</v>
      </c>
      <c r="V30" s="1118" t="s">
        <v>1358</v>
      </c>
      <c r="W30" s="1119">
        <f t="shared" si="14"/>
        <v>100</v>
      </c>
      <c r="X30" s="1113"/>
      <c r="Y30" s="3435"/>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5"/>
      <c r="Q31" s="790" t="str">
        <f t="shared" si="11"/>
        <v>停车位面积</v>
      </c>
      <c r="R31" s="1114" t="s">
        <v>1358</v>
      </c>
      <c r="S31" s="1115" t="e">
        <f t="shared" si="12"/>
        <v>#N/A</v>
      </c>
      <c r="T31" s="1114" t="s">
        <v>1358</v>
      </c>
      <c r="U31" s="1115" t="e">
        <f t="shared" si="13"/>
        <v>#N/A</v>
      </c>
      <c r="V31" s="1114" t="s">
        <v>1358</v>
      </c>
      <c r="W31" s="1115" t="e">
        <f t="shared" si="14"/>
        <v>#N/A</v>
      </c>
      <c r="X31" s="1116"/>
      <c r="Y31" s="3435"/>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5" t="s">
        <v>1384</v>
      </c>
      <c r="Q32" s="621" t="str">
        <f t="shared" si="11"/>
        <v>车位类型</v>
      </c>
      <c r="R32" s="1118" t="s">
        <v>1358</v>
      </c>
      <c r="S32" s="1119">
        <f t="shared" si="12"/>
        <v>100</v>
      </c>
      <c r="T32" s="1118" t="s">
        <v>1358</v>
      </c>
      <c r="U32" s="1119">
        <f t="shared" si="13"/>
        <v>100</v>
      </c>
      <c r="V32" s="1118" t="s">
        <v>1358</v>
      </c>
      <c r="W32" s="1119">
        <f t="shared" si="14"/>
        <v>100</v>
      </c>
      <c r="X32" s="1113"/>
      <c r="Y32" s="3435"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5"/>
      <c r="Q33" s="621" t="str">
        <f t="shared" si="11"/>
        <v>是否直接入户</v>
      </c>
      <c r="R33" s="1118" t="s">
        <v>1358</v>
      </c>
      <c r="S33" s="1119">
        <f t="shared" si="12"/>
        <v>100</v>
      </c>
      <c r="T33" s="1118" t="s">
        <v>1358</v>
      </c>
      <c r="U33" s="1119">
        <f t="shared" si="13"/>
        <v>100</v>
      </c>
      <c r="V33" s="1118" t="s">
        <v>1358</v>
      </c>
      <c r="W33" s="1119">
        <f t="shared" si="14"/>
        <v>100</v>
      </c>
      <c r="X33" s="1113"/>
      <c r="Y33" s="3435"/>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5"/>
      <c r="Q34" s="621">
        <f t="shared" si="11"/>
        <v>111</v>
      </c>
      <c r="R34" s="1118" t="s">
        <v>1358</v>
      </c>
      <c r="S34" s="1119">
        <f t="shared" si="12"/>
        <v>100</v>
      </c>
      <c r="T34" s="1118" t="s">
        <v>1358</v>
      </c>
      <c r="U34" s="1119">
        <f t="shared" si="13"/>
        <v>100</v>
      </c>
      <c r="V34" s="1118" t="s">
        <v>1358</v>
      </c>
      <c r="W34" s="1119">
        <f t="shared" si="14"/>
        <v>100</v>
      </c>
      <c r="X34" s="1113"/>
      <c r="Y34" s="3435"/>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5"/>
      <c r="Q35" s="1308">
        <f t="shared" si="11"/>
        <v>111</v>
      </c>
      <c r="R35" s="1120" t="s">
        <v>1358</v>
      </c>
      <c r="S35" s="1121">
        <f t="shared" si="12"/>
        <v>100</v>
      </c>
      <c r="T35" s="1120" t="s">
        <v>1358</v>
      </c>
      <c r="U35" s="1121">
        <f t="shared" si="13"/>
        <v>100</v>
      </c>
      <c r="V35" s="1120" t="s">
        <v>1358</v>
      </c>
      <c r="W35" s="1121">
        <f t="shared" si="14"/>
        <v>100</v>
      </c>
      <c r="X35" s="1122"/>
      <c r="Y35" s="3435"/>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5"/>
      <c r="Q36" s="621">
        <f t="shared" si="11"/>
        <v>111</v>
      </c>
      <c r="R36" s="1118" t="s">
        <v>1358</v>
      </c>
      <c r="S36" s="1119">
        <f t="shared" si="12"/>
        <v>100</v>
      </c>
      <c r="T36" s="1118" t="s">
        <v>1358</v>
      </c>
      <c r="U36" s="1119">
        <f t="shared" si="13"/>
        <v>100</v>
      </c>
      <c r="V36" s="1118" t="s">
        <v>1358</v>
      </c>
      <c r="W36" s="1119">
        <f t="shared" si="14"/>
        <v>100</v>
      </c>
      <c r="X36" s="1113"/>
      <c r="Y36" s="3435"/>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26" t="str">
        <f>A37</f>
        <v>成交单价</v>
      </c>
      <c r="Q37" s="3426"/>
      <c r="R37" s="3427">
        <f>E37</f>
        <v>0</v>
      </c>
      <c r="S37" s="3427"/>
      <c r="T37" s="3427">
        <f>G37</f>
        <v>0</v>
      </c>
      <c r="U37" s="3427"/>
      <c r="V37" s="3427">
        <f>I37</f>
        <v>0</v>
      </c>
      <c r="W37" s="3427"/>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26" t="str">
        <f>A38</f>
        <v>比较价值（元/平方米）</v>
      </c>
      <c r="Q38" s="3426"/>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62" t="str">
        <f>A39</f>
        <v>估价对象XX用房的比较价值（楼面单价，元/平方米）</v>
      </c>
      <c r="Q39" s="3463"/>
      <c r="R39" s="3501" t="e">
        <f>IF(F1="售价",ROUND(IF(D38="简单平均",AVERAGE(R38:W38),R38*F38+T38*H38+V38*J38),0),ROUND(IF(D38="简单平均",AVERAGE(R38:V38),R38*F38+T38*H38+V38*J38),1))</f>
        <v>#DIV/0!</v>
      </c>
      <c r="S39" s="3501"/>
      <c r="T39" s="3501"/>
      <c r="U39" s="3501"/>
      <c r="V39" s="3501"/>
      <c r="W39" s="3501"/>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41" t="s">
        <v>1349</v>
      </c>
      <c r="AC4" s="3465" t="s">
        <v>1350</v>
      </c>
    </row>
    <row r="5" spans="1:29">
      <c r="A5" s="922"/>
      <c r="B5" s="923"/>
      <c r="C5" s="3459" t="s">
        <v>1575</v>
      </c>
      <c r="D5" s="3416"/>
      <c r="E5" s="3493" t="s">
        <v>1576</v>
      </c>
      <c r="F5" s="3461"/>
      <c r="G5" s="3459" t="s">
        <v>1577</v>
      </c>
      <c r="H5" s="3416"/>
      <c r="I5" s="3459" t="s">
        <v>1353</v>
      </c>
      <c r="J5" s="3416"/>
      <c r="K5" s="1064"/>
      <c r="L5" s="1065"/>
      <c r="M5" s="1015"/>
      <c r="N5" s="1015"/>
      <c r="O5" s="1015"/>
      <c r="P5" s="3468"/>
      <c r="Q5" s="3449"/>
      <c r="R5" s="3454"/>
      <c r="S5" s="3455"/>
      <c r="T5" s="3454"/>
      <c r="U5" s="3455"/>
      <c r="V5" s="3427"/>
      <c r="W5" s="3427"/>
      <c r="X5" s="1113"/>
      <c r="Y5" s="3454"/>
      <c r="Z5" s="3455"/>
      <c r="AA5" s="3441"/>
      <c r="AB5" s="3441"/>
      <c r="AC5" s="3441"/>
    </row>
    <row r="6" spans="1:29" ht="14.4">
      <c r="A6" s="924"/>
      <c r="B6" s="925"/>
      <c r="C6" s="3417" t="s">
        <v>1354</v>
      </c>
      <c r="D6" s="3418"/>
      <c r="E6" s="3419" t="s">
        <v>1354</v>
      </c>
      <c r="F6" s="3420"/>
      <c r="G6" s="3417" t="s">
        <v>1354</v>
      </c>
      <c r="H6" s="3418"/>
      <c r="I6" s="3417" t="s">
        <v>1354</v>
      </c>
      <c r="J6" s="3418"/>
      <c r="K6" s="1064" t="s">
        <v>1355</v>
      </c>
      <c r="L6" s="1065"/>
      <c r="M6" s="1015"/>
      <c r="N6" s="1015"/>
      <c r="O6" s="1015"/>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3" t="s">
        <v>1357</v>
      </c>
      <c r="Q7" s="3422"/>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26" t="s">
        <v>1364</v>
      </c>
      <c r="Q9" s="790" t="str">
        <f t="shared" ref="Q9:Q14" si="6">B9</f>
        <v>用途</v>
      </c>
      <c r="R9" s="1114" t="s">
        <v>1358</v>
      </c>
      <c r="S9" s="1115">
        <f t="shared" si="0"/>
        <v>100</v>
      </c>
      <c r="T9" s="1114" t="s">
        <v>1358</v>
      </c>
      <c r="U9" s="1115">
        <f t="shared" si="1"/>
        <v>100</v>
      </c>
      <c r="V9" s="1114" t="s">
        <v>1358</v>
      </c>
      <c r="W9" s="1115">
        <f t="shared" si="2"/>
        <v>100</v>
      </c>
      <c r="X9" s="1116"/>
      <c r="Y9" s="3378"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26"/>
      <c r="Q10" s="790" t="str">
        <f t="shared" si="6"/>
        <v>土地使用年限（年）</v>
      </c>
      <c r="R10" s="1114" t="s">
        <v>1358</v>
      </c>
      <c r="S10" s="1115">
        <f t="shared" si="0"/>
        <v>100</v>
      </c>
      <c r="T10" s="1114" t="s">
        <v>1358</v>
      </c>
      <c r="U10" s="1115">
        <f t="shared" si="1"/>
        <v>100</v>
      </c>
      <c r="V10" s="1114" t="s">
        <v>1358</v>
      </c>
      <c r="W10" s="1115">
        <f t="shared" si="2"/>
        <v>100</v>
      </c>
      <c r="X10" s="1116"/>
      <c r="Y10" s="3378"/>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26"/>
      <c r="Q11" s="790">
        <f t="shared" si="6"/>
        <v>111</v>
      </c>
      <c r="R11" s="1114" t="s">
        <v>1358</v>
      </c>
      <c r="S11" s="1115">
        <f t="shared" si="0"/>
        <v>100</v>
      </c>
      <c r="T11" s="1114" t="s">
        <v>1358</v>
      </c>
      <c r="U11" s="1115">
        <f t="shared" si="1"/>
        <v>100</v>
      </c>
      <c r="V11" s="1114" t="s">
        <v>1358</v>
      </c>
      <c r="W11" s="1115">
        <f t="shared" si="2"/>
        <v>100</v>
      </c>
      <c r="X11" s="1116"/>
      <c r="Y11" s="3378"/>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26"/>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26"/>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3" t="s">
        <v>1370</v>
      </c>
      <c r="Q14" s="621" t="str">
        <f t="shared" si="6"/>
        <v>交通便捷度</v>
      </c>
      <c r="R14" s="1118" t="s">
        <v>1358</v>
      </c>
      <c r="S14" s="1119">
        <f t="shared" si="0"/>
        <v>100</v>
      </c>
      <c r="T14" s="1118" t="s">
        <v>1358</v>
      </c>
      <c r="U14" s="1119">
        <f t="shared" si="1"/>
        <v>100</v>
      </c>
      <c r="V14" s="1118" t="s">
        <v>1358</v>
      </c>
      <c r="W14" s="1119">
        <f t="shared" si="2"/>
        <v>100</v>
      </c>
      <c r="X14" s="1113"/>
      <c r="Y14" s="3433"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4"/>
      <c r="Q15" s="621"/>
      <c r="R15" s="1118"/>
      <c r="S15" s="1119"/>
      <c r="T15" s="1118"/>
      <c r="U15" s="1119"/>
      <c r="V15" s="1118"/>
      <c r="W15" s="1119"/>
      <c r="X15" s="1113"/>
      <c r="Y15" s="3434"/>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4"/>
      <c r="Q16" s="621" t="str">
        <f>B16</f>
        <v>公共配套设施</v>
      </c>
      <c r="R16" s="1118" t="s">
        <v>1358</v>
      </c>
      <c r="S16" s="1119">
        <f>F16</f>
        <v>100</v>
      </c>
      <c r="T16" s="1118" t="s">
        <v>1358</v>
      </c>
      <c r="U16" s="1119">
        <f>H16</f>
        <v>100</v>
      </c>
      <c r="V16" s="1118" t="s">
        <v>1358</v>
      </c>
      <c r="W16" s="1119">
        <f>J16</f>
        <v>100</v>
      </c>
      <c r="X16" s="1113"/>
      <c r="Y16" s="3434"/>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4"/>
      <c r="Q17" s="621"/>
      <c r="R17" s="1118"/>
      <c r="S17" s="1119"/>
      <c r="T17" s="1118"/>
      <c r="U17" s="1119"/>
      <c r="V17" s="1118"/>
      <c r="W17" s="1119"/>
      <c r="X17" s="1113"/>
      <c r="Y17" s="3434"/>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4"/>
      <c r="Q18" s="621" t="str">
        <f>B18</f>
        <v>基础设施水平</v>
      </c>
      <c r="R18" s="1118" t="s">
        <v>1358</v>
      </c>
      <c r="S18" s="1119">
        <f>F18</f>
        <v>100</v>
      </c>
      <c r="T18" s="1118" t="s">
        <v>1358</v>
      </c>
      <c r="U18" s="1119">
        <f>H18</f>
        <v>100</v>
      </c>
      <c r="V18" s="1118" t="s">
        <v>1358</v>
      </c>
      <c r="W18" s="1119">
        <f>J18</f>
        <v>100</v>
      </c>
      <c r="X18" s="1113"/>
      <c r="Y18" s="3434"/>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4"/>
      <c r="Q19" s="621"/>
      <c r="R19" s="1118"/>
      <c r="S19" s="1119"/>
      <c r="T19" s="1118"/>
      <c r="U19" s="1119"/>
      <c r="V19" s="1118"/>
      <c r="W19" s="1119"/>
      <c r="X19" s="1113"/>
      <c r="Y19" s="3434"/>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4"/>
      <c r="Q20" s="621" t="str">
        <f>B20</f>
        <v>自然及人文环境</v>
      </c>
      <c r="R20" s="1118" t="s">
        <v>1358</v>
      </c>
      <c r="S20" s="1119">
        <f>F20</f>
        <v>100</v>
      </c>
      <c r="T20" s="1118" t="s">
        <v>1358</v>
      </c>
      <c r="U20" s="1119">
        <f>H20</f>
        <v>100</v>
      </c>
      <c r="V20" s="1118" t="s">
        <v>1358</v>
      </c>
      <c r="W20" s="1119">
        <f>J20</f>
        <v>100</v>
      </c>
      <c r="X20" s="1113"/>
      <c r="Y20" s="3434"/>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4"/>
      <c r="Q21" s="621"/>
      <c r="R21" s="1118"/>
      <c r="S21" s="1119"/>
      <c r="T21" s="1118"/>
      <c r="U21" s="1119"/>
      <c r="V21" s="1118"/>
      <c r="W21" s="1119"/>
      <c r="X21" s="1113"/>
      <c r="Y21" s="3434"/>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4"/>
      <c r="Q22" s="621" t="str">
        <f>B22</f>
        <v>楼层</v>
      </c>
      <c r="R22" s="1118" t="s">
        <v>1358</v>
      </c>
      <c r="S22" s="1119">
        <f>F22</f>
        <v>100</v>
      </c>
      <c r="T22" s="1118" t="s">
        <v>1358</v>
      </c>
      <c r="U22" s="1119">
        <f>H22</f>
        <v>100</v>
      </c>
      <c r="V22" s="1118" t="s">
        <v>1358</v>
      </c>
      <c r="W22" s="1119">
        <f>J22</f>
        <v>100</v>
      </c>
      <c r="X22" s="1113"/>
      <c r="Y22" s="3434"/>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4"/>
      <c r="Q23" s="621">
        <f>B23</f>
        <v>111</v>
      </c>
      <c r="R23" s="1118" t="s">
        <v>1358</v>
      </c>
      <c r="S23" s="1119">
        <f>F23</f>
        <v>100</v>
      </c>
      <c r="T23" s="1118" t="s">
        <v>1358</v>
      </c>
      <c r="U23" s="1119">
        <f>H23</f>
        <v>100</v>
      </c>
      <c r="V23" s="1118" t="s">
        <v>1358</v>
      </c>
      <c r="W23" s="1119">
        <f>J23</f>
        <v>100</v>
      </c>
      <c r="X23" s="1113"/>
      <c r="Y23" s="3434"/>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4"/>
      <c r="Q24" s="621">
        <f t="shared" ref="Q24:Q34" si="11">B24</f>
        <v>111</v>
      </c>
      <c r="R24" s="1118" t="s">
        <v>1358</v>
      </c>
      <c r="S24" s="1119">
        <f>F24</f>
        <v>100</v>
      </c>
      <c r="T24" s="1118" t="s">
        <v>1358</v>
      </c>
      <c r="U24" s="1119">
        <f>H24</f>
        <v>100</v>
      </c>
      <c r="V24" s="1118" t="s">
        <v>1358</v>
      </c>
      <c r="W24" s="1119">
        <f>J24</f>
        <v>100</v>
      </c>
      <c r="X24" s="1113"/>
      <c r="Y24" s="3434"/>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4"/>
      <c r="Q25" s="790">
        <f t="shared" si="11"/>
        <v>111</v>
      </c>
      <c r="R25" s="1114" t="s">
        <v>1358</v>
      </c>
      <c r="S25" s="1115">
        <f>F25</f>
        <v>100</v>
      </c>
      <c r="T25" s="1114" t="s">
        <v>1358</v>
      </c>
      <c r="U25" s="1115">
        <f>H25</f>
        <v>100</v>
      </c>
      <c r="V25" s="1114" t="s">
        <v>1358</v>
      </c>
      <c r="W25" s="1115">
        <f>J25</f>
        <v>100</v>
      </c>
      <c r="X25" s="1116"/>
      <c r="Y25" s="3434"/>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500"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35"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5"/>
      <c r="Q27" s="1308" t="str">
        <f t="shared" si="11"/>
        <v>成新率</v>
      </c>
      <c r="R27" s="1120" t="s">
        <v>1358</v>
      </c>
      <c r="S27" s="1121" t="e">
        <f t="shared" si="12"/>
        <v>#N/A</v>
      </c>
      <c r="T27" s="1120" t="s">
        <v>1358</v>
      </c>
      <c r="U27" s="1121" t="e">
        <f t="shared" si="13"/>
        <v>#N/A</v>
      </c>
      <c r="V27" s="1120" t="s">
        <v>1358</v>
      </c>
      <c r="W27" s="1121" t="e">
        <f t="shared" si="14"/>
        <v>#N/A</v>
      </c>
      <c r="X27" s="1122"/>
      <c r="Y27" s="3435"/>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5"/>
      <c r="Q28" s="621" t="str">
        <f t="shared" si="11"/>
        <v>物业等级</v>
      </c>
      <c r="R28" s="1118" t="s">
        <v>1358</v>
      </c>
      <c r="S28" s="1119">
        <f t="shared" si="12"/>
        <v>100</v>
      </c>
      <c r="T28" s="1118" t="s">
        <v>1358</v>
      </c>
      <c r="U28" s="1119">
        <f t="shared" si="13"/>
        <v>100</v>
      </c>
      <c r="V28" s="1118" t="s">
        <v>1358</v>
      </c>
      <c r="W28" s="1119">
        <f t="shared" si="14"/>
        <v>100</v>
      </c>
      <c r="X28" s="1113"/>
      <c r="Y28" s="3435"/>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5"/>
      <c r="Q29" s="621" t="str">
        <f t="shared" si="11"/>
        <v>有无电梯</v>
      </c>
      <c r="R29" s="1118" t="s">
        <v>1358</v>
      </c>
      <c r="S29" s="1119">
        <f t="shared" si="12"/>
        <v>100</v>
      </c>
      <c r="T29" s="1118" t="s">
        <v>1358</v>
      </c>
      <c r="U29" s="1119">
        <f t="shared" si="13"/>
        <v>100</v>
      </c>
      <c r="V29" s="1118" t="s">
        <v>1358</v>
      </c>
      <c r="W29" s="1119">
        <f t="shared" si="14"/>
        <v>100</v>
      </c>
      <c r="X29" s="1113"/>
      <c r="Y29" s="3435"/>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5"/>
      <c r="Q30" s="621" t="str">
        <f t="shared" si="11"/>
        <v>建筑面积</v>
      </c>
      <c r="R30" s="1118" t="s">
        <v>1358</v>
      </c>
      <c r="S30" s="1119" t="e">
        <f t="shared" si="12"/>
        <v>#N/A</v>
      </c>
      <c r="T30" s="1118" t="s">
        <v>1358</v>
      </c>
      <c r="U30" s="1119" t="e">
        <f t="shared" si="13"/>
        <v>#N/A</v>
      </c>
      <c r="V30" s="1118" t="s">
        <v>1358</v>
      </c>
      <c r="W30" s="1119" t="e">
        <f t="shared" si="14"/>
        <v>#N/A</v>
      </c>
      <c r="X30" s="1113"/>
      <c r="Y30" s="3435"/>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5"/>
      <c r="Q31" s="790" t="str">
        <f t="shared" si="11"/>
        <v>是否封闭</v>
      </c>
      <c r="R31" s="1114" t="s">
        <v>1358</v>
      </c>
      <c r="S31" s="1115">
        <f t="shared" si="12"/>
        <v>100</v>
      </c>
      <c r="T31" s="1114" t="s">
        <v>1358</v>
      </c>
      <c r="U31" s="1115">
        <f t="shared" si="13"/>
        <v>100</v>
      </c>
      <c r="V31" s="1114" t="s">
        <v>1358</v>
      </c>
      <c r="W31" s="1115">
        <f t="shared" si="14"/>
        <v>100</v>
      </c>
      <c r="X31" s="1116"/>
      <c r="Y31" s="3435"/>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5" t="s">
        <v>1384</v>
      </c>
      <c r="Q32" s="621">
        <f t="shared" si="11"/>
        <v>111</v>
      </c>
      <c r="R32" s="1118" t="s">
        <v>1358</v>
      </c>
      <c r="S32" s="1119">
        <f t="shared" si="12"/>
        <v>100</v>
      </c>
      <c r="T32" s="1118" t="s">
        <v>1358</v>
      </c>
      <c r="U32" s="1119">
        <f t="shared" si="13"/>
        <v>100</v>
      </c>
      <c r="V32" s="1118" t="s">
        <v>1358</v>
      </c>
      <c r="W32" s="1119">
        <f t="shared" si="14"/>
        <v>100</v>
      </c>
      <c r="X32" s="1113"/>
      <c r="Y32" s="3435"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5"/>
      <c r="Q33" s="621">
        <f t="shared" si="11"/>
        <v>111</v>
      </c>
      <c r="R33" s="1118" t="s">
        <v>1358</v>
      </c>
      <c r="S33" s="1119">
        <f t="shared" si="12"/>
        <v>100</v>
      </c>
      <c r="T33" s="1118" t="s">
        <v>1358</v>
      </c>
      <c r="U33" s="1119">
        <f t="shared" si="13"/>
        <v>100</v>
      </c>
      <c r="V33" s="1118" t="s">
        <v>1358</v>
      </c>
      <c r="W33" s="1119">
        <f t="shared" si="14"/>
        <v>100</v>
      </c>
      <c r="X33" s="1113"/>
      <c r="Y33" s="3435"/>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5"/>
      <c r="Q34" s="621">
        <f t="shared" si="11"/>
        <v>111</v>
      </c>
      <c r="R34" s="1118" t="s">
        <v>1358</v>
      </c>
      <c r="S34" s="1119">
        <f t="shared" si="12"/>
        <v>100</v>
      </c>
      <c r="T34" s="1118" t="s">
        <v>1358</v>
      </c>
      <c r="U34" s="1119">
        <f t="shared" si="13"/>
        <v>100</v>
      </c>
      <c r="V34" s="1118" t="s">
        <v>1358</v>
      </c>
      <c r="W34" s="1119">
        <f t="shared" si="14"/>
        <v>100</v>
      </c>
      <c r="X34" s="1113"/>
      <c r="Y34" s="3435"/>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26" t="str">
        <f>A35</f>
        <v>成交单价（元/平方米）</v>
      </c>
      <c r="Q35" s="3426"/>
      <c r="R35" s="3427">
        <f>E35</f>
        <v>0</v>
      </c>
      <c r="S35" s="3427"/>
      <c r="T35" s="3427">
        <f>G35</f>
        <v>0</v>
      </c>
      <c r="U35" s="3427"/>
      <c r="V35" s="3427">
        <f>I35</f>
        <v>0</v>
      </c>
      <c r="W35" s="3427"/>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26" t="str">
        <f>A36</f>
        <v>比较价值（元/平方米）</v>
      </c>
      <c r="Q36" s="3426"/>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62" t="str">
        <f>A37</f>
        <v>估价对象XX用房的比较价值（楼面单价，元/平方米）</v>
      </c>
      <c r="Q37" s="3463"/>
      <c r="R37" s="3501" t="e">
        <f>IF(F1="售价",ROUND(IF(D36="简单平均",AVERAGE(R36:W36),R36*F36+T36*H36+V36*J36),0),ROUND(IF(D36="简单平均",AVERAGE(R36:V36),R36*F36+T36*H36+V36*J36),1))</f>
        <v>#DIV/0!</v>
      </c>
      <c r="S37" s="3501"/>
      <c r="T37" s="3501"/>
      <c r="U37" s="3501"/>
      <c r="V37" s="3501"/>
      <c r="W37" s="3501"/>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41" t="s">
        <v>1349</v>
      </c>
      <c r="AC4" s="3465" t="s">
        <v>1350</v>
      </c>
    </row>
    <row r="5" spans="1:29">
      <c r="A5" s="922"/>
      <c r="B5" s="923"/>
      <c r="C5" s="3459" t="s">
        <v>1575</v>
      </c>
      <c r="D5" s="3416"/>
      <c r="E5" s="3493" t="s">
        <v>1576</v>
      </c>
      <c r="F5" s="3461"/>
      <c r="G5" s="3459" t="s">
        <v>1577</v>
      </c>
      <c r="H5" s="3416"/>
      <c r="I5" s="3459" t="s">
        <v>1353</v>
      </c>
      <c r="J5" s="3416"/>
      <c r="K5" s="1064"/>
      <c r="L5" s="1065"/>
      <c r="M5" s="1015"/>
      <c r="N5" s="1015"/>
      <c r="O5" s="1015"/>
      <c r="P5" s="3468"/>
      <c r="Q5" s="3449"/>
      <c r="R5" s="3454"/>
      <c r="S5" s="3455"/>
      <c r="T5" s="3454"/>
      <c r="U5" s="3455"/>
      <c r="V5" s="3427"/>
      <c r="W5" s="3427"/>
      <c r="X5" s="1113"/>
      <c r="Y5" s="3454"/>
      <c r="Z5" s="3455"/>
      <c r="AA5" s="3441"/>
      <c r="AB5" s="3441"/>
      <c r="AC5" s="3441"/>
    </row>
    <row r="6" spans="1:29" ht="14.4">
      <c r="A6" s="924"/>
      <c r="B6" s="925"/>
      <c r="C6" s="3417" t="s">
        <v>1354</v>
      </c>
      <c r="D6" s="3418"/>
      <c r="E6" s="3419" t="s">
        <v>1354</v>
      </c>
      <c r="F6" s="3420"/>
      <c r="G6" s="3417" t="s">
        <v>1354</v>
      </c>
      <c r="H6" s="3418"/>
      <c r="I6" s="3417" t="s">
        <v>1354</v>
      </c>
      <c r="J6" s="3418"/>
      <c r="K6" s="1064" t="s">
        <v>1355</v>
      </c>
      <c r="L6" s="1065"/>
      <c r="M6" s="1015"/>
      <c r="N6" s="1015"/>
      <c r="O6" s="1015"/>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3" t="s">
        <v>1357</v>
      </c>
      <c r="Q7" s="3422"/>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26"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110</v>
      </c>
      <c r="G10" s="1231"/>
      <c r="H10" s="942">
        <f>ROUND(100/'数据-取费表'!G16,0)</f>
        <v>110</v>
      </c>
      <c r="I10" s="1231"/>
      <c r="J10" s="942">
        <f>ROUND(100/'数据-取费表'!G16,0)</f>
        <v>110</v>
      </c>
      <c r="K10" s="1074"/>
      <c r="L10" s="1075"/>
      <c r="M10" s="1076"/>
      <c r="N10" s="1076"/>
      <c r="O10" s="1077"/>
      <c r="P10" s="3426"/>
      <c r="Q10" s="790" t="str">
        <f t="shared" si="6"/>
        <v>土地使用年限（年）</v>
      </c>
      <c r="R10" s="1114" t="s">
        <v>1358</v>
      </c>
      <c r="S10" s="1115">
        <f t="shared" si="0"/>
        <v>110</v>
      </c>
      <c r="T10" s="1114" t="s">
        <v>1358</v>
      </c>
      <c r="U10" s="1115">
        <f t="shared" si="1"/>
        <v>110</v>
      </c>
      <c r="V10" s="1114" t="s">
        <v>1358</v>
      </c>
      <c r="W10" s="1115">
        <f t="shared" si="2"/>
        <v>110</v>
      </c>
      <c r="X10" s="1116"/>
      <c r="Y10" s="3378"/>
      <c r="Z10" s="1126" t="str">
        <f t="shared" si="7"/>
        <v>土地使用年限（年）</v>
      </c>
      <c r="AA10" s="1126">
        <f t="shared" si="3"/>
        <v>0.90909090909090906</v>
      </c>
      <c r="AB10" s="1126">
        <f t="shared" si="4"/>
        <v>0.90909090909090906</v>
      </c>
      <c r="AC10" s="1126">
        <f t="shared" si="5"/>
        <v>0.90909090909090906</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26"/>
      <c r="Q11" s="790" t="str">
        <f t="shared" si="6"/>
        <v>容积率</v>
      </c>
      <c r="R11" s="1114" t="s">
        <v>1358</v>
      </c>
      <c r="S11" s="1115" t="e">
        <f t="shared" si="0"/>
        <v>#N/A</v>
      </c>
      <c r="T11" s="1114" t="s">
        <v>1358</v>
      </c>
      <c r="U11" s="1115" t="e">
        <f t="shared" si="1"/>
        <v>#N/A</v>
      </c>
      <c r="V11" s="1114" t="s">
        <v>1358</v>
      </c>
      <c r="W11" s="1115" t="e">
        <f t="shared" si="2"/>
        <v>#N/A</v>
      </c>
      <c r="X11" s="1116"/>
      <c r="Y11" s="3378"/>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26"/>
      <c r="Q12" s="790" t="str">
        <f t="shared" si="6"/>
        <v>配建</v>
      </c>
      <c r="R12" s="1114" t="s">
        <v>1358</v>
      </c>
      <c r="S12" s="1115">
        <f t="shared" si="0"/>
        <v>100</v>
      </c>
      <c r="T12" s="1114" t="s">
        <v>1358</v>
      </c>
      <c r="U12" s="1115">
        <f t="shared" si="1"/>
        <v>100</v>
      </c>
      <c r="V12" s="1114" t="s">
        <v>1358</v>
      </c>
      <c r="W12" s="1115">
        <f t="shared" si="2"/>
        <v>100</v>
      </c>
      <c r="X12" s="1116"/>
      <c r="Y12" s="3378"/>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26"/>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26"/>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3" t="s">
        <v>1370</v>
      </c>
      <c r="Q15" s="621" t="str">
        <f t="shared" si="6"/>
        <v>居住社区成熟度</v>
      </c>
      <c r="R15" s="1118" t="s">
        <v>1358</v>
      </c>
      <c r="S15" s="1119">
        <f t="shared" si="0"/>
        <v>100</v>
      </c>
      <c r="T15" s="1118" t="s">
        <v>1358</v>
      </c>
      <c r="U15" s="1119">
        <f t="shared" si="1"/>
        <v>100</v>
      </c>
      <c r="V15" s="1118" t="s">
        <v>1358</v>
      </c>
      <c r="W15" s="1119">
        <f t="shared" si="2"/>
        <v>100</v>
      </c>
      <c r="X15" s="1113"/>
      <c r="Y15" s="3433"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4"/>
      <c r="Q16" s="621"/>
      <c r="R16" s="1118"/>
      <c r="S16" s="1119"/>
      <c r="T16" s="1118"/>
      <c r="U16" s="1119"/>
      <c r="V16" s="1118"/>
      <c r="W16" s="1119"/>
      <c r="X16" s="1113"/>
      <c r="Y16" s="3434"/>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4"/>
      <c r="Q17" s="621" t="str">
        <f>B17</f>
        <v>商业繁华度</v>
      </c>
      <c r="R17" s="1118" t="s">
        <v>1358</v>
      </c>
      <c r="S17" s="1119">
        <f>F17</f>
        <v>100</v>
      </c>
      <c r="T17" s="1118" t="s">
        <v>1358</v>
      </c>
      <c r="U17" s="1119">
        <f>H17</f>
        <v>100</v>
      </c>
      <c r="V17" s="1118" t="s">
        <v>1358</v>
      </c>
      <c r="W17" s="1119">
        <f>J17</f>
        <v>100</v>
      </c>
      <c r="X17" s="1113"/>
      <c r="Y17" s="3434"/>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4"/>
      <c r="Q18" s="621"/>
      <c r="R18" s="1118"/>
      <c r="S18" s="1119"/>
      <c r="T18" s="1118"/>
      <c r="U18" s="1119"/>
      <c r="V18" s="1118"/>
      <c r="W18" s="1119"/>
      <c r="X18" s="1113"/>
      <c r="Y18" s="3434"/>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4"/>
      <c r="Q19" s="621" t="str">
        <f>B19</f>
        <v>办公集聚程度</v>
      </c>
      <c r="R19" s="1118" t="s">
        <v>1358</v>
      </c>
      <c r="S19" s="1119">
        <f>F19</f>
        <v>100</v>
      </c>
      <c r="T19" s="1118" t="s">
        <v>1358</v>
      </c>
      <c r="U19" s="1119">
        <f>H19</f>
        <v>100</v>
      </c>
      <c r="V19" s="1118" t="s">
        <v>1358</v>
      </c>
      <c r="W19" s="1119">
        <f>J19</f>
        <v>100</v>
      </c>
      <c r="X19" s="1113"/>
      <c r="Y19" s="3434"/>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4"/>
      <c r="Q20" s="621"/>
      <c r="R20" s="1118"/>
      <c r="S20" s="1119"/>
      <c r="T20" s="1118"/>
      <c r="U20" s="1119"/>
      <c r="V20" s="1118"/>
      <c r="W20" s="1119"/>
      <c r="X20" s="1113"/>
      <c r="Y20" s="3434"/>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4"/>
      <c r="Q21" s="621" t="str">
        <f>B21</f>
        <v>交通便捷度</v>
      </c>
      <c r="R21" s="1118" t="s">
        <v>1358</v>
      </c>
      <c r="S21" s="1119">
        <f>F21</f>
        <v>100</v>
      </c>
      <c r="T21" s="1118" t="s">
        <v>1358</v>
      </c>
      <c r="U21" s="1119">
        <f>H21</f>
        <v>100</v>
      </c>
      <c r="V21" s="1118" t="s">
        <v>1358</v>
      </c>
      <c r="W21" s="1119">
        <f>J21</f>
        <v>100</v>
      </c>
      <c r="X21" s="1113"/>
      <c r="Y21" s="3434"/>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4"/>
      <c r="Q22" s="621"/>
      <c r="R22" s="1118"/>
      <c r="S22" s="1119"/>
      <c r="T22" s="1118"/>
      <c r="U22" s="1119"/>
      <c r="V22" s="1118"/>
      <c r="W22" s="1119"/>
      <c r="X22" s="1113"/>
      <c r="Y22" s="3434"/>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4"/>
      <c r="Q23" s="621" t="str">
        <f t="shared" ref="Q23:Q38" si="8">B23</f>
        <v>区域土地利用方向</v>
      </c>
      <c r="R23" s="1118" t="s">
        <v>1358</v>
      </c>
      <c r="S23" s="1119">
        <f>F23</f>
        <v>100</v>
      </c>
      <c r="T23" s="1118" t="s">
        <v>1358</v>
      </c>
      <c r="U23" s="1119">
        <f>H23</f>
        <v>100</v>
      </c>
      <c r="V23" s="1118" t="s">
        <v>1358</v>
      </c>
      <c r="W23" s="1119">
        <f>J23</f>
        <v>100</v>
      </c>
      <c r="X23" s="1113"/>
      <c r="Y23" s="3434"/>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4"/>
      <c r="Q24" s="621"/>
      <c r="R24" s="1118"/>
      <c r="S24" s="1119"/>
      <c r="T24" s="1118"/>
      <c r="U24" s="1119"/>
      <c r="V24" s="1118"/>
      <c r="W24" s="1119"/>
      <c r="X24" s="1113"/>
      <c r="Y24" s="3434"/>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4"/>
      <c r="Q25" s="621" t="str">
        <f t="shared" si="8"/>
        <v>自然及人文环境状况</v>
      </c>
      <c r="R25" s="1118" t="s">
        <v>1358</v>
      </c>
      <c r="S25" s="1119">
        <f>F25</f>
        <v>100</v>
      </c>
      <c r="T25" s="1118" t="s">
        <v>1358</v>
      </c>
      <c r="U25" s="1119">
        <f>H25</f>
        <v>100</v>
      </c>
      <c r="V25" s="1118" t="s">
        <v>1358</v>
      </c>
      <c r="W25" s="1119">
        <f>J25</f>
        <v>100</v>
      </c>
      <c r="X25" s="1113"/>
      <c r="Y25" s="3434"/>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4"/>
      <c r="Q26" s="621"/>
      <c r="R26" s="1118"/>
      <c r="S26" s="1119"/>
      <c r="T26" s="1118"/>
      <c r="U26" s="1119"/>
      <c r="V26" s="1118"/>
      <c r="W26" s="1119"/>
      <c r="X26" s="1113"/>
      <c r="Y26" s="3434"/>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4"/>
      <c r="Q27" s="790" t="str">
        <f t="shared" si="8"/>
        <v>公共配套设施</v>
      </c>
      <c r="R27" s="1114" t="s">
        <v>1358</v>
      </c>
      <c r="S27" s="1115">
        <f>F27</f>
        <v>100</v>
      </c>
      <c r="T27" s="1114" t="s">
        <v>1358</v>
      </c>
      <c r="U27" s="1115">
        <f>H27</f>
        <v>100</v>
      </c>
      <c r="V27" s="1114" t="s">
        <v>1358</v>
      </c>
      <c r="W27" s="1115">
        <f>J27</f>
        <v>100</v>
      </c>
      <c r="X27" s="1116"/>
      <c r="Y27" s="3434"/>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4"/>
      <c r="Q28" s="790"/>
      <c r="R28" s="1114"/>
      <c r="S28" s="1115"/>
      <c r="T28" s="1114"/>
      <c r="U28" s="1115"/>
      <c r="V28" s="1114"/>
      <c r="W28" s="1115"/>
      <c r="X28" s="1116"/>
      <c r="Y28" s="3434"/>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4"/>
      <c r="Q29" s="790" t="str">
        <f t="shared" ref="Q29" si="9">B29</f>
        <v>基础设施水平</v>
      </c>
      <c r="R29" s="1114" t="s">
        <v>1358</v>
      </c>
      <c r="S29" s="1115">
        <f>F29</f>
        <v>100</v>
      </c>
      <c r="T29" s="1114" t="s">
        <v>1358</v>
      </c>
      <c r="U29" s="1115">
        <f>H29</f>
        <v>100</v>
      </c>
      <c r="V29" s="1114" t="s">
        <v>1358</v>
      </c>
      <c r="W29" s="1115">
        <f>J29</f>
        <v>100</v>
      </c>
      <c r="X29" s="1116"/>
      <c r="Y29" s="3434"/>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4"/>
      <c r="Q30" s="790"/>
      <c r="R30" s="1114"/>
      <c r="S30" s="1115"/>
      <c r="T30" s="1114"/>
      <c r="U30" s="1115"/>
      <c r="V30" s="1114"/>
      <c r="W30" s="1115"/>
      <c r="X30" s="1116"/>
      <c r="Y30" s="3434"/>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4"/>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34"/>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4"/>
      <c r="Q32" s="621" t="str">
        <f t="shared" si="8"/>
        <v>毗邻道路的类型与等级</v>
      </c>
      <c r="R32" s="1118" t="s">
        <v>1358</v>
      </c>
      <c r="S32" s="1119">
        <f t="shared" si="10"/>
        <v>100</v>
      </c>
      <c r="T32" s="1118" t="s">
        <v>1358</v>
      </c>
      <c r="U32" s="1119">
        <f t="shared" si="11"/>
        <v>100</v>
      </c>
      <c r="V32" s="1118" t="s">
        <v>1358</v>
      </c>
      <c r="W32" s="1119">
        <f t="shared" si="12"/>
        <v>100</v>
      </c>
      <c r="X32" s="1113"/>
      <c r="Y32" s="3434"/>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4"/>
      <c r="Q33" s="621"/>
      <c r="R33" s="1118"/>
      <c r="S33" s="1119"/>
      <c r="T33" s="1118"/>
      <c r="U33" s="1119"/>
      <c r="V33" s="1118"/>
      <c r="W33" s="1119"/>
      <c r="X33" s="1113"/>
      <c r="Y33" s="3434"/>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4"/>
      <c r="Q34" s="621" t="str">
        <f t="shared" si="8"/>
        <v>土地级别</v>
      </c>
      <c r="R34" s="1118" t="s">
        <v>1358</v>
      </c>
      <c r="S34" s="1119">
        <f t="shared" si="10"/>
        <v>100</v>
      </c>
      <c r="T34" s="1118" t="s">
        <v>1358</v>
      </c>
      <c r="U34" s="1119">
        <f t="shared" si="11"/>
        <v>100</v>
      </c>
      <c r="V34" s="1118" t="s">
        <v>1358</v>
      </c>
      <c r="W34" s="1119">
        <f t="shared" si="12"/>
        <v>100</v>
      </c>
      <c r="X34" s="1113"/>
      <c r="Y34" s="3434"/>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4"/>
      <c r="Q35" s="621">
        <f t="shared" si="8"/>
        <v>111</v>
      </c>
      <c r="R35" s="1118" t="s">
        <v>1358</v>
      </c>
      <c r="S35" s="1119">
        <f t="shared" si="10"/>
        <v>100</v>
      </c>
      <c r="T35" s="1118" t="s">
        <v>1358</v>
      </c>
      <c r="U35" s="1119">
        <f t="shared" si="11"/>
        <v>100</v>
      </c>
      <c r="V35" s="1118" t="s">
        <v>1358</v>
      </c>
      <c r="W35" s="1119">
        <f t="shared" si="12"/>
        <v>100</v>
      </c>
      <c r="X35" s="1113"/>
      <c r="Y35" s="3434"/>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500" t="s">
        <v>1384</v>
      </c>
      <c r="Q36" s="621">
        <f t="shared" si="8"/>
        <v>111</v>
      </c>
      <c r="R36" s="1118" t="s">
        <v>1358</v>
      </c>
      <c r="S36" s="1119">
        <f t="shared" si="10"/>
        <v>100</v>
      </c>
      <c r="T36" s="1118" t="s">
        <v>1358</v>
      </c>
      <c r="U36" s="1119">
        <f t="shared" si="11"/>
        <v>100</v>
      </c>
      <c r="V36" s="1118" t="s">
        <v>1358</v>
      </c>
      <c r="W36" s="1119">
        <f t="shared" si="12"/>
        <v>100</v>
      </c>
      <c r="X36" s="1113"/>
      <c r="Y36" s="3435"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5"/>
      <c r="Q37" s="621">
        <f t="shared" si="8"/>
        <v>111</v>
      </c>
      <c r="R37" s="1120" t="s">
        <v>1358</v>
      </c>
      <c r="S37" s="1121">
        <f t="shared" si="10"/>
        <v>100</v>
      </c>
      <c r="T37" s="1120" t="s">
        <v>1358</v>
      </c>
      <c r="U37" s="1121">
        <f t="shared" si="11"/>
        <v>100</v>
      </c>
      <c r="V37" s="1120" t="s">
        <v>1358</v>
      </c>
      <c r="W37" s="1121">
        <f t="shared" si="12"/>
        <v>100</v>
      </c>
      <c r="X37" s="1122"/>
      <c r="Y37" s="3435"/>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5"/>
      <c r="Q38" s="621" t="str">
        <f t="shared" si="8"/>
        <v>宗地面积</v>
      </c>
      <c r="R38" s="1118" t="s">
        <v>1358</v>
      </c>
      <c r="S38" s="1119" t="e">
        <f t="shared" si="10"/>
        <v>#N/A</v>
      </c>
      <c r="T38" s="1118" t="s">
        <v>1358</v>
      </c>
      <c r="U38" s="1119" t="e">
        <f t="shared" si="11"/>
        <v>#N/A</v>
      </c>
      <c r="V38" s="1118" t="s">
        <v>1358</v>
      </c>
      <c r="W38" s="1119" t="e">
        <f t="shared" si="12"/>
        <v>#N/A</v>
      </c>
      <c r="X38" s="1113"/>
      <c r="Y38" s="3435"/>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5"/>
      <c r="Q39" s="621" t="str">
        <f t="shared" ref="Q39:Q45" si="14">B39</f>
        <v>宗地形状</v>
      </c>
      <c r="R39" s="1118" t="s">
        <v>1358</v>
      </c>
      <c r="S39" s="1119">
        <f t="shared" si="10"/>
        <v>100</v>
      </c>
      <c r="T39" s="1118" t="s">
        <v>1358</v>
      </c>
      <c r="U39" s="1119">
        <f t="shared" si="11"/>
        <v>100</v>
      </c>
      <c r="V39" s="1118" t="s">
        <v>1358</v>
      </c>
      <c r="W39" s="1119">
        <f t="shared" si="12"/>
        <v>100</v>
      </c>
      <c r="X39" s="1113"/>
      <c r="Y39" s="3435"/>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5"/>
      <c r="Q40" s="621" t="str">
        <f t="shared" si="14"/>
        <v>临街宽度及深度</v>
      </c>
      <c r="R40" s="1118" t="s">
        <v>1358</v>
      </c>
      <c r="S40" s="1119">
        <f t="shared" si="10"/>
        <v>100</v>
      </c>
      <c r="T40" s="1118" t="s">
        <v>1358</v>
      </c>
      <c r="U40" s="1119">
        <f t="shared" si="11"/>
        <v>100</v>
      </c>
      <c r="V40" s="1118" t="s">
        <v>1358</v>
      </c>
      <c r="W40" s="1119">
        <f t="shared" si="12"/>
        <v>100</v>
      </c>
      <c r="X40" s="1113"/>
      <c r="Y40" s="3435"/>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5"/>
      <c r="Q41" s="621" t="str">
        <f t="shared" si="14"/>
        <v>宗地开发程度</v>
      </c>
      <c r="R41" s="1114" t="s">
        <v>1358</v>
      </c>
      <c r="S41" s="1115">
        <f t="shared" si="10"/>
        <v>100</v>
      </c>
      <c r="T41" s="1114" t="s">
        <v>1358</v>
      </c>
      <c r="U41" s="1115">
        <f t="shared" si="11"/>
        <v>100</v>
      </c>
      <c r="V41" s="1114" t="s">
        <v>1358</v>
      </c>
      <c r="W41" s="1115">
        <f t="shared" si="12"/>
        <v>100</v>
      </c>
      <c r="X41" s="1116"/>
      <c r="Y41" s="3435"/>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5" t="s">
        <v>1384</v>
      </c>
      <c r="Q42" s="621" t="str">
        <f t="shared" si="14"/>
        <v>工程地质条件</v>
      </c>
      <c r="R42" s="1118" t="s">
        <v>1358</v>
      </c>
      <c r="S42" s="1119">
        <f t="shared" si="10"/>
        <v>100</v>
      </c>
      <c r="T42" s="1118" t="s">
        <v>1358</v>
      </c>
      <c r="U42" s="1119">
        <f t="shared" si="11"/>
        <v>100</v>
      </c>
      <c r="V42" s="1118" t="s">
        <v>1358</v>
      </c>
      <c r="W42" s="1119">
        <f t="shared" si="12"/>
        <v>100</v>
      </c>
      <c r="X42" s="1113"/>
      <c r="Y42" s="3435"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5"/>
      <c r="Q43" s="621">
        <f t="shared" si="14"/>
        <v>111</v>
      </c>
      <c r="R43" s="1118" t="s">
        <v>1358</v>
      </c>
      <c r="S43" s="1119">
        <f t="shared" si="10"/>
        <v>100</v>
      </c>
      <c r="T43" s="1118" t="s">
        <v>1358</v>
      </c>
      <c r="U43" s="1119">
        <f t="shared" si="11"/>
        <v>100</v>
      </c>
      <c r="V43" s="1118" t="s">
        <v>1358</v>
      </c>
      <c r="W43" s="1119">
        <f t="shared" si="12"/>
        <v>100</v>
      </c>
      <c r="X43" s="1113"/>
      <c r="Y43" s="3435"/>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5"/>
      <c r="Q44" s="621">
        <f t="shared" si="14"/>
        <v>111</v>
      </c>
      <c r="R44" s="1118" t="s">
        <v>1358</v>
      </c>
      <c r="S44" s="1119">
        <f t="shared" si="10"/>
        <v>100</v>
      </c>
      <c r="T44" s="1118" t="s">
        <v>1358</v>
      </c>
      <c r="U44" s="1119">
        <f t="shared" si="11"/>
        <v>100</v>
      </c>
      <c r="V44" s="1118" t="s">
        <v>1358</v>
      </c>
      <c r="W44" s="1119">
        <f t="shared" si="12"/>
        <v>100</v>
      </c>
      <c r="X44" s="1113"/>
      <c r="Y44" s="3435"/>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5"/>
      <c r="Q45" s="621">
        <f t="shared" si="14"/>
        <v>111</v>
      </c>
      <c r="R45" s="1120" t="s">
        <v>1358</v>
      </c>
      <c r="S45" s="1121">
        <f t="shared" si="10"/>
        <v>100</v>
      </c>
      <c r="T45" s="1120" t="s">
        <v>1358</v>
      </c>
      <c r="U45" s="1121">
        <f t="shared" si="11"/>
        <v>100</v>
      </c>
      <c r="V45" s="1120" t="s">
        <v>1358</v>
      </c>
      <c r="W45" s="1121">
        <f t="shared" si="12"/>
        <v>100</v>
      </c>
      <c r="X45" s="1122"/>
      <c r="Y45" s="3435"/>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26" t="str">
        <f>A46</f>
        <v>成交单价</v>
      </c>
      <c r="Q46" s="3426"/>
      <c r="R46" s="3427">
        <f>E46</f>
        <v>0</v>
      </c>
      <c r="S46" s="3427"/>
      <c r="T46" s="3427">
        <f>G46</f>
        <v>0</v>
      </c>
      <c r="U46" s="3427"/>
      <c r="V46" s="3427">
        <f>I46</f>
        <v>0</v>
      </c>
      <c r="W46" s="3427"/>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26" t="str">
        <f>A47</f>
        <v>比较价值（元/平方米）</v>
      </c>
      <c r="Q47" s="3426"/>
      <c r="R47" s="3503" t="e">
        <f>ROUND(PRODUCT(R46,AA7:AA45),0)</f>
        <v>#DIV/0!</v>
      </c>
      <c r="S47" s="3503"/>
      <c r="T47" s="3503" t="e">
        <f>ROUND(PRODUCT(T46,AB7:AB45),0)</f>
        <v>#DIV/0!</v>
      </c>
      <c r="U47" s="3503"/>
      <c r="V47" s="3503" t="e">
        <f>ROUND(PRODUCT(V46,AC7:AC45),0)</f>
        <v>#DIV/0!</v>
      </c>
      <c r="W47" s="3503"/>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62" t="str">
        <f>A48</f>
        <v>估价对象XX用房的比较价值（楼面单价，元/平方米）</v>
      </c>
      <c r="Q48" s="3463"/>
      <c r="R48" s="3504" t="e">
        <f>ROUND(IF(D47="简单平均",AVERAGE(R47:W47),R47*F47+T47*H47+V47*J47),0)</f>
        <v>#DIV/0!</v>
      </c>
      <c r="S48" s="3504"/>
      <c r="T48" s="3504"/>
      <c r="U48" s="3504"/>
      <c r="V48" s="3504"/>
      <c r="W48" s="3504"/>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11" t="s">
        <v>1673</v>
      </c>
      <c r="H55" s="3502"/>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27483.820000000003</v>
      </c>
      <c r="F56" s="1242" t="e">
        <f t="shared" ref="F56:F64" si="15">ROUND(B56*E56/10000,0)</f>
        <v>#DIV/0!</v>
      </c>
      <c r="G56" s="3425"/>
      <c r="H56" s="3426"/>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27483.820000000003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11" t="s">
        <v>1347</v>
      </c>
      <c r="D4" s="3412"/>
      <c r="E4" s="3413" t="s">
        <v>1348</v>
      </c>
      <c r="F4" s="3414"/>
      <c r="G4" s="3411" t="s">
        <v>1349</v>
      </c>
      <c r="H4" s="3412"/>
      <c r="I4" s="3411" t="s">
        <v>1350</v>
      </c>
      <c r="J4" s="3412"/>
      <c r="K4" s="1064" t="s">
        <v>1351</v>
      </c>
      <c r="L4" s="1065"/>
      <c r="M4" s="1015"/>
      <c r="N4" s="1015"/>
      <c r="O4" s="1015"/>
      <c r="P4" s="3466" t="s">
        <v>1352</v>
      </c>
      <c r="Q4" s="3467"/>
      <c r="R4" s="3470" t="s">
        <v>1348</v>
      </c>
      <c r="S4" s="3471"/>
      <c r="T4" s="3470" t="s">
        <v>1349</v>
      </c>
      <c r="U4" s="3471"/>
      <c r="V4" s="3427" t="s">
        <v>1350</v>
      </c>
      <c r="W4" s="3427"/>
      <c r="X4" s="1113"/>
      <c r="Y4" s="3470" t="s">
        <v>1352</v>
      </c>
      <c r="Z4" s="3471"/>
      <c r="AA4" s="3465" t="s">
        <v>1348</v>
      </c>
      <c r="AB4" s="3441" t="s">
        <v>1349</v>
      </c>
      <c r="AC4" s="3465" t="s">
        <v>1350</v>
      </c>
    </row>
    <row r="5" spans="1:29">
      <c r="A5" s="922"/>
      <c r="B5" s="923"/>
      <c r="C5" s="3459" t="s">
        <v>1575</v>
      </c>
      <c r="D5" s="3416"/>
      <c r="E5" s="3493" t="s">
        <v>1576</v>
      </c>
      <c r="F5" s="3461"/>
      <c r="G5" s="3459" t="s">
        <v>1577</v>
      </c>
      <c r="H5" s="3416"/>
      <c r="I5" s="3459" t="s">
        <v>1353</v>
      </c>
      <c r="J5" s="3416"/>
      <c r="K5" s="1064"/>
      <c r="L5" s="1065"/>
      <c r="M5" s="1015"/>
      <c r="N5" s="1015"/>
      <c r="O5" s="1015"/>
      <c r="P5" s="3468"/>
      <c r="Q5" s="3449"/>
      <c r="R5" s="3454"/>
      <c r="S5" s="3455"/>
      <c r="T5" s="3454"/>
      <c r="U5" s="3455"/>
      <c r="V5" s="3427"/>
      <c r="W5" s="3427"/>
      <c r="X5" s="1113"/>
      <c r="Y5" s="3454"/>
      <c r="Z5" s="3455"/>
      <c r="AA5" s="3441"/>
      <c r="AB5" s="3441"/>
      <c r="AC5" s="3441"/>
    </row>
    <row r="6" spans="1:29" ht="14.4">
      <c r="A6" s="924"/>
      <c r="B6" s="925"/>
      <c r="C6" s="3505" t="s">
        <v>1697</v>
      </c>
      <c r="D6" s="3506"/>
      <c r="E6" s="3507" t="s">
        <v>1697</v>
      </c>
      <c r="F6" s="3508"/>
      <c r="G6" s="3505" t="s">
        <v>1697</v>
      </c>
      <c r="H6" s="3506"/>
      <c r="I6" s="3505" t="s">
        <v>1697</v>
      </c>
      <c r="J6" s="3506"/>
      <c r="K6" s="1064" t="s">
        <v>1355</v>
      </c>
      <c r="L6" s="1065"/>
      <c r="M6" s="1015"/>
      <c r="N6" s="1015"/>
      <c r="O6" s="1015"/>
      <c r="P6" s="3469"/>
      <c r="Q6" s="3451"/>
      <c r="R6" s="3454"/>
      <c r="S6" s="3455"/>
      <c r="T6" s="3456"/>
      <c r="U6" s="3457"/>
      <c r="V6" s="3427"/>
      <c r="W6" s="3427"/>
      <c r="X6" s="1113"/>
      <c r="Y6" s="3456"/>
      <c r="Z6" s="3457"/>
      <c r="AA6" s="3442"/>
      <c r="AB6" s="3442"/>
      <c r="AC6" s="3442"/>
    </row>
    <row r="7" spans="1:29" s="899" customFormat="1" ht="14.4">
      <c r="A7" s="927" t="s">
        <v>1356</v>
      </c>
      <c r="B7" s="928"/>
      <c r="C7" s="929">
        <f>'数据-取费表'!B2</f>
        <v>45838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3" t="s">
        <v>1357</v>
      </c>
      <c r="Q7" s="3422"/>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26" t="s">
        <v>1364</v>
      </c>
      <c r="Q9" s="790" t="str">
        <f t="shared" ref="Q9:Q15" si="6">B9</f>
        <v>用途</v>
      </c>
      <c r="R9" s="1114" t="s">
        <v>1358</v>
      </c>
      <c r="S9" s="1115">
        <f t="shared" si="0"/>
        <v>100</v>
      </c>
      <c r="T9" s="1114" t="s">
        <v>1358</v>
      </c>
      <c r="U9" s="1115">
        <f t="shared" si="1"/>
        <v>100</v>
      </c>
      <c r="V9" s="1114" t="s">
        <v>1358</v>
      </c>
      <c r="W9" s="1115">
        <f t="shared" si="2"/>
        <v>100</v>
      </c>
      <c r="X9" s="1116"/>
      <c r="Y9" s="3378"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110</v>
      </c>
      <c r="G10" s="941"/>
      <c r="H10" s="942">
        <f>ROUND(100/'数据-取费表'!G16,0)</f>
        <v>110</v>
      </c>
      <c r="I10" s="941"/>
      <c r="J10" s="942">
        <f>ROUND(100/'数据-取费表'!G16,0)</f>
        <v>110</v>
      </c>
      <c r="K10" s="1074"/>
      <c r="L10" s="1075"/>
      <c r="M10" s="1076"/>
      <c r="N10" s="1076"/>
      <c r="O10" s="1077"/>
      <c r="P10" s="3426"/>
      <c r="Q10" s="790" t="str">
        <f t="shared" si="6"/>
        <v>土地使用年限（年）</v>
      </c>
      <c r="R10" s="1114" t="s">
        <v>1358</v>
      </c>
      <c r="S10" s="1115">
        <f t="shared" si="0"/>
        <v>110</v>
      </c>
      <c r="T10" s="1114" t="s">
        <v>1358</v>
      </c>
      <c r="U10" s="1115">
        <f t="shared" si="1"/>
        <v>110</v>
      </c>
      <c r="V10" s="1114" t="s">
        <v>1358</v>
      </c>
      <c r="W10" s="1115">
        <f t="shared" si="2"/>
        <v>110</v>
      </c>
      <c r="X10" s="1116"/>
      <c r="Y10" s="3378"/>
      <c r="Z10" s="1126" t="str">
        <f t="shared" si="7"/>
        <v>土地使用年限（年）</v>
      </c>
      <c r="AA10" s="1126">
        <f t="shared" si="3"/>
        <v>0.90909090909090906</v>
      </c>
      <c r="AB10" s="1126">
        <f t="shared" si="4"/>
        <v>0.90909090909090906</v>
      </c>
      <c r="AC10" s="1126">
        <f t="shared" si="5"/>
        <v>0.90909090909090906</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26"/>
      <c r="Q11" s="790" t="str">
        <f t="shared" si="6"/>
        <v>容积率</v>
      </c>
      <c r="R11" s="1114" t="s">
        <v>1358</v>
      </c>
      <c r="S11" s="1115" t="e">
        <f t="shared" si="0"/>
        <v>#N/A</v>
      </c>
      <c r="T11" s="1114" t="s">
        <v>1358</v>
      </c>
      <c r="U11" s="1115" t="e">
        <f t="shared" si="1"/>
        <v>#N/A</v>
      </c>
      <c r="V11" s="1114" t="s">
        <v>1358</v>
      </c>
      <c r="W11" s="1115" t="e">
        <f t="shared" si="2"/>
        <v>#N/A</v>
      </c>
      <c r="X11" s="1116"/>
      <c r="Y11" s="3378"/>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26"/>
      <c r="Q12" s="790">
        <f t="shared" si="6"/>
        <v>111</v>
      </c>
      <c r="R12" s="1114" t="s">
        <v>1358</v>
      </c>
      <c r="S12" s="1115">
        <f t="shared" si="0"/>
        <v>100</v>
      </c>
      <c r="T12" s="1114" t="s">
        <v>1358</v>
      </c>
      <c r="U12" s="1115">
        <f t="shared" si="1"/>
        <v>100</v>
      </c>
      <c r="V12" s="1114" t="s">
        <v>1358</v>
      </c>
      <c r="W12" s="1115">
        <f t="shared" si="2"/>
        <v>100</v>
      </c>
      <c r="X12" s="1116"/>
      <c r="Y12" s="3378"/>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26"/>
      <c r="Q13" s="790">
        <f t="shared" si="6"/>
        <v>111</v>
      </c>
      <c r="R13" s="1114" t="s">
        <v>1358</v>
      </c>
      <c r="S13" s="1115">
        <f t="shared" si="0"/>
        <v>100</v>
      </c>
      <c r="T13" s="1114" t="s">
        <v>1358</v>
      </c>
      <c r="U13" s="1115">
        <f t="shared" si="1"/>
        <v>100</v>
      </c>
      <c r="V13" s="1114" t="s">
        <v>1358</v>
      </c>
      <c r="W13" s="1115">
        <f t="shared" si="2"/>
        <v>100</v>
      </c>
      <c r="X13" s="1116"/>
      <c r="Y13" s="3378"/>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26"/>
      <c r="Q14" s="790">
        <f t="shared" si="6"/>
        <v>111</v>
      </c>
      <c r="R14" s="1114" t="s">
        <v>1358</v>
      </c>
      <c r="S14" s="1115">
        <f t="shared" si="0"/>
        <v>100</v>
      </c>
      <c r="T14" s="1114" t="s">
        <v>1358</v>
      </c>
      <c r="U14" s="1115">
        <f t="shared" si="1"/>
        <v>100</v>
      </c>
      <c r="V14" s="1114" t="s">
        <v>1358</v>
      </c>
      <c r="W14" s="1115">
        <f t="shared" si="2"/>
        <v>100</v>
      </c>
      <c r="X14" s="1116"/>
      <c r="Y14" s="3378"/>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3" t="s">
        <v>1370</v>
      </c>
      <c r="Q15" s="621" t="str">
        <f t="shared" si="6"/>
        <v>产业集聚程度</v>
      </c>
      <c r="R15" s="1118" t="s">
        <v>1358</v>
      </c>
      <c r="S15" s="1119">
        <f t="shared" si="0"/>
        <v>100</v>
      </c>
      <c r="T15" s="1118" t="s">
        <v>1358</v>
      </c>
      <c r="U15" s="1119">
        <f t="shared" si="1"/>
        <v>100</v>
      </c>
      <c r="V15" s="1118" t="s">
        <v>1358</v>
      </c>
      <c r="W15" s="1119">
        <f t="shared" si="2"/>
        <v>100</v>
      </c>
      <c r="X15" s="1113"/>
      <c r="Y15" s="3433"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4"/>
      <c r="Q16" s="621"/>
      <c r="R16" s="1118"/>
      <c r="S16" s="1119"/>
      <c r="T16" s="1118"/>
      <c r="U16" s="1119"/>
      <c r="V16" s="1118"/>
      <c r="W16" s="1119"/>
      <c r="X16" s="1113"/>
      <c r="Y16" s="3434"/>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4"/>
      <c r="Q17" s="621" t="str">
        <f>B17</f>
        <v>交通便捷度</v>
      </c>
      <c r="R17" s="1118" t="s">
        <v>1358</v>
      </c>
      <c r="S17" s="1119">
        <f>F17</f>
        <v>100</v>
      </c>
      <c r="T17" s="1118" t="s">
        <v>1358</v>
      </c>
      <c r="U17" s="1119">
        <f>H17</f>
        <v>100</v>
      </c>
      <c r="V17" s="1118" t="s">
        <v>1358</v>
      </c>
      <c r="W17" s="1119">
        <f>J17</f>
        <v>100</v>
      </c>
      <c r="X17" s="1113"/>
      <c r="Y17" s="3434"/>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4"/>
      <c r="Q18" s="621"/>
      <c r="R18" s="1118"/>
      <c r="S18" s="1119"/>
      <c r="T18" s="1118"/>
      <c r="U18" s="1119"/>
      <c r="V18" s="1118"/>
      <c r="W18" s="1119"/>
      <c r="X18" s="1113"/>
      <c r="Y18" s="3434"/>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4"/>
      <c r="Q19" s="621" t="str">
        <f t="shared" ref="Q19:Q34" si="8">B19</f>
        <v>区域土地利用方向</v>
      </c>
      <c r="R19" s="1118" t="s">
        <v>1358</v>
      </c>
      <c r="S19" s="1119">
        <f>F19</f>
        <v>100</v>
      </c>
      <c r="T19" s="1118" t="s">
        <v>1358</v>
      </c>
      <c r="U19" s="1119">
        <f>H19</f>
        <v>100</v>
      </c>
      <c r="V19" s="1118" t="s">
        <v>1358</v>
      </c>
      <c r="W19" s="1119">
        <f>J19</f>
        <v>100</v>
      </c>
      <c r="X19" s="1113"/>
      <c r="Y19" s="3434"/>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4"/>
      <c r="Q20" s="621"/>
      <c r="R20" s="1118"/>
      <c r="S20" s="1119"/>
      <c r="T20" s="1118"/>
      <c r="U20" s="1119"/>
      <c r="V20" s="1118"/>
      <c r="W20" s="1119"/>
      <c r="X20" s="1113"/>
      <c r="Y20" s="3434"/>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4"/>
      <c r="Q21" s="621" t="str">
        <f t="shared" si="8"/>
        <v>环境状况</v>
      </c>
      <c r="R21" s="1118" t="s">
        <v>1358</v>
      </c>
      <c r="S21" s="1119">
        <f>F21</f>
        <v>100</v>
      </c>
      <c r="T21" s="1118" t="s">
        <v>1358</v>
      </c>
      <c r="U21" s="1119">
        <f>H21</f>
        <v>100</v>
      </c>
      <c r="V21" s="1118" t="s">
        <v>1358</v>
      </c>
      <c r="W21" s="1119">
        <f>J21</f>
        <v>100</v>
      </c>
      <c r="X21" s="1113"/>
      <c r="Y21" s="3434"/>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4"/>
      <c r="Q22" s="621"/>
      <c r="R22" s="1118"/>
      <c r="S22" s="1119"/>
      <c r="T22" s="1118"/>
      <c r="U22" s="1119"/>
      <c r="V22" s="1118"/>
      <c r="W22" s="1119"/>
      <c r="X22" s="1113"/>
      <c r="Y22" s="3434"/>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4"/>
      <c r="Q23" s="790" t="str">
        <f t="shared" si="8"/>
        <v>公共配套设施</v>
      </c>
      <c r="R23" s="1114" t="s">
        <v>1358</v>
      </c>
      <c r="S23" s="1115">
        <f>F23</f>
        <v>100</v>
      </c>
      <c r="T23" s="1114" t="s">
        <v>1358</v>
      </c>
      <c r="U23" s="1115">
        <f>H23</f>
        <v>100</v>
      </c>
      <c r="V23" s="1114" t="s">
        <v>1358</v>
      </c>
      <c r="W23" s="1115">
        <f>J23</f>
        <v>100</v>
      </c>
      <c r="X23" s="1116"/>
      <c r="Y23" s="3434"/>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4"/>
      <c r="Q24" s="790"/>
      <c r="R24" s="1114"/>
      <c r="S24" s="1115"/>
      <c r="T24" s="1114"/>
      <c r="U24" s="1115"/>
      <c r="V24" s="1114"/>
      <c r="W24" s="1115"/>
      <c r="X24" s="1116"/>
      <c r="Y24" s="3434"/>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4"/>
      <c r="Q25" s="790" t="str">
        <f t="shared" ref="Q25" si="9">B25</f>
        <v>基础设施水平</v>
      </c>
      <c r="R25" s="1114" t="s">
        <v>1358</v>
      </c>
      <c r="S25" s="1115">
        <f>F25</f>
        <v>100</v>
      </c>
      <c r="T25" s="1114" t="s">
        <v>1358</v>
      </c>
      <c r="U25" s="1115">
        <f>H25</f>
        <v>100</v>
      </c>
      <c r="V25" s="1114" t="s">
        <v>1358</v>
      </c>
      <c r="W25" s="1115">
        <f>J25</f>
        <v>100</v>
      </c>
      <c r="X25" s="1116"/>
      <c r="Y25" s="3434"/>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4"/>
      <c r="Q26" s="790"/>
      <c r="R26" s="1114"/>
      <c r="S26" s="1115"/>
      <c r="T26" s="1114"/>
      <c r="U26" s="1115"/>
      <c r="V26" s="1114"/>
      <c r="W26" s="1115"/>
      <c r="X26" s="1116"/>
      <c r="Y26" s="3434"/>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4"/>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34"/>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4"/>
      <c r="Q28" s="621" t="str">
        <f t="shared" si="8"/>
        <v>毗邻道路的类型与等级</v>
      </c>
      <c r="R28" s="1118" t="s">
        <v>1358</v>
      </c>
      <c r="S28" s="1119">
        <f t="shared" si="10"/>
        <v>100</v>
      </c>
      <c r="T28" s="1118" t="s">
        <v>1358</v>
      </c>
      <c r="U28" s="1119">
        <f t="shared" si="11"/>
        <v>100</v>
      </c>
      <c r="V28" s="1118" t="s">
        <v>1358</v>
      </c>
      <c r="W28" s="1119">
        <f t="shared" si="12"/>
        <v>100</v>
      </c>
      <c r="X28" s="1113"/>
      <c r="Y28" s="3434"/>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4"/>
      <c r="Q29" s="621"/>
      <c r="R29" s="1118"/>
      <c r="S29" s="1119"/>
      <c r="T29" s="1118"/>
      <c r="U29" s="1119"/>
      <c r="V29" s="1118"/>
      <c r="W29" s="1119"/>
      <c r="X29" s="1113"/>
      <c r="Y29" s="3434"/>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4"/>
      <c r="Q30" s="621" t="str">
        <f t="shared" si="8"/>
        <v>土地级别</v>
      </c>
      <c r="R30" s="1118" t="s">
        <v>1358</v>
      </c>
      <c r="S30" s="1119">
        <f t="shared" si="10"/>
        <v>100</v>
      </c>
      <c r="T30" s="1118" t="s">
        <v>1358</v>
      </c>
      <c r="U30" s="1119">
        <f t="shared" si="11"/>
        <v>100</v>
      </c>
      <c r="V30" s="1118" t="s">
        <v>1358</v>
      </c>
      <c r="W30" s="1119">
        <f t="shared" si="12"/>
        <v>100</v>
      </c>
      <c r="X30" s="1113"/>
      <c r="Y30" s="3434"/>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4"/>
      <c r="Q31" s="621">
        <f t="shared" si="8"/>
        <v>111</v>
      </c>
      <c r="R31" s="1118" t="s">
        <v>1358</v>
      </c>
      <c r="S31" s="1119">
        <f t="shared" si="10"/>
        <v>100</v>
      </c>
      <c r="T31" s="1118" t="s">
        <v>1358</v>
      </c>
      <c r="U31" s="1119">
        <f t="shared" si="11"/>
        <v>100</v>
      </c>
      <c r="V31" s="1118" t="s">
        <v>1358</v>
      </c>
      <c r="W31" s="1119">
        <f t="shared" si="12"/>
        <v>100</v>
      </c>
      <c r="X31" s="1113"/>
      <c r="Y31" s="3434"/>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500" t="s">
        <v>1384</v>
      </c>
      <c r="Q32" s="621">
        <f t="shared" si="8"/>
        <v>111</v>
      </c>
      <c r="R32" s="1118" t="s">
        <v>1358</v>
      </c>
      <c r="S32" s="1119">
        <f t="shared" si="10"/>
        <v>100</v>
      </c>
      <c r="T32" s="1118" t="s">
        <v>1358</v>
      </c>
      <c r="U32" s="1119">
        <f t="shared" si="11"/>
        <v>100</v>
      </c>
      <c r="V32" s="1118" t="s">
        <v>1358</v>
      </c>
      <c r="W32" s="1119">
        <f t="shared" si="12"/>
        <v>100</v>
      </c>
      <c r="X32" s="1113"/>
      <c r="Y32" s="3435"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5"/>
      <c r="Q33" s="621">
        <f t="shared" si="8"/>
        <v>111</v>
      </c>
      <c r="R33" s="1120" t="s">
        <v>1358</v>
      </c>
      <c r="S33" s="1121">
        <f t="shared" si="10"/>
        <v>100</v>
      </c>
      <c r="T33" s="1120" t="s">
        <v>1358</v>
      </c>
      <c r="U33" s="1121">
        <f t="shared" si="11"/>
        <v>100</v>
      </c>
      <c r="V33" s="1120" t="s">
        <v>1358</v>
      </c>
      <c r="W33" s="1121">
        <f t="shared" si="12"/>
        <v>100</v>
      </c>
      <c r="X33" s="1122"/>
      <c r="Y33" s="3435"/>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5"/>
      <c r="Q34" s="621" t="str">
        <f t="shared" si="8"/>
        <v>宗地面积</v>
      </c>
      <c r="R34" s="1118" t="s">
        <v>1358</v>
      </c>
      <c r="S34" s="1119" t="e">
        <f t="shared" si="10"/>
        <v>#N/A</v>
      </c>
      <c r="T34" s="1118" t="s">
        <v>1358</v>
      </c>
      <c r="U34" s="1119" t="e">
        <f t="shared" si="11"/>
        <v>#N/A</v>
      </c>
      <c r="V34" s="1118" t="s">
        <v>1358</v>
      </c>
      <c r="W34" s="1119" t="e">
        <f t="shared" si="12"/>
        <v>#N/A</v>
      </c>
      <c r="X34" s="1113"/>
      <c r="Y34" s="3435"/>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5"/>
      <c r="Q35" s="621" t="str">
        <f t="shared" ref="Q35:Q40" si="14">B35</f>
        <v>宗地形状</v>
      </c>
      <c r="R35" s="1118" t="s">
        <v>1358</v>
      </c>
      <c r="S35" s="1119">
        <f t="shared" si="10"/>
        <v>100</v>
      </c>
      <c r="T35" s="1118" t="s">
        <v>1358</v>
      </c>
      <c r="U35" s="1119">
        <f t="shared" si="11"/>
        <v>100</v>
      </c>
      <c r="V35" s="1118" t="s">
        <v>1358</v>
      </c>
      <c r="W35" s="1119">
        <f t="shared" si="12"/>
        <v>100</v>
      </c>
      <c r="X35" s="1113"/>
      <c r="Y35" s="3435"/>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5"/>
      <c r="Q36" s="621" t="str">
        <f t="shared" si="14"/>
        <v>宗地开发程度</v>
      </c>
      <c r="R36" s="1114" t="s">
        <v>1358</v>
      </c>
      <c r="S36" s="1115">
        <f t="shared" si="10"/>
        <v>100</v>
      </c>
      <c r="T36" s="1114" t="s">
        <v>1358</v>
      </c>
      <c r="U36" s="1115">
        <f t="shared" si="11"/>
        <v>100</v>
      </c>
      <c r="V36" s="1114" t="s">
        <v>1358</v>
      </c>
      <c r="W36" s="1115">
        <f t="shared" si="12"/>
        <v>100</v>
      </c>
      <c r="X36" s="1116"/>
      <c r="Y36" s="3435"/>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5" t="s">
        <v>1384</v>
      </c>
      <c r="Q37" s="621" t="str">
        <f t="shared" si="14"/>
        <v>工程地质条件</v>
      </c>
      <c r="R37" s="1118" t="s">
        <v>1358</v>
      </c>
      <c r="S37" s="1119">
        <f t="shared" si="10"/>
        <v>100</v>
      </c>
      <c r="T37" s="1118" t="s">
        <v>1358</v>
      </c>
      <c r="U37" s="1119">
        <f t="shared" si="11"/>
        <v>100</v>
      </c>
      <c r="V37" s="1118" t="s">
        <v>1358</v>
      </c>
      <c r="W37" s="1119">
        <f t="shared" si="12"/>
        <v>100</v>
      </c>
      <c r="X37" s="1113"/>
      <c r="Y37" s="3435"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5"/>
      <c r="Q38" s="621">
        <f t="shared" si="14"/>
        <v>111</v>
      </c>
      <c r="R38" s="1118" t="s">
        <v>1358</v>
      </c>
      <c r="S38" s="1119">
        <f t="shared" si="10"/>
        <v>100</v>
      </c>
      <c r="T38" s="1118" t="s">
        <v>1358</v>
      </c>
      <c r="U38" s="1119">
        <f t="shared" si="11"/>
        <v>100</v>
      </c>
      <c r="V38" s="1118" t="s">
        <v>1358</v>
      </c>
      <c r="W38" s="1119">
        <f t="shared" si="12"/>
        <v>100</v>
      </c>
      <c r="X38" s="1113"/>
      <c r="Y38" s="3435"/>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5"/>
      <c r="Q39" s="621">
        <f t="shared" si="14"/>
        <v>111</v>
      </c>
      <c r="R39" s="1118" t="s">
        <v>1358</v>
      </c>
      <c r="S39" s="1119">
        <f t="shared" si="10"/>
        <v>100</v>
      </c>
      <c r="T39" s="1118" t="s">
        <v>1358</v>
      </c>
      <c r="U39" s="1119">
        <f t="shared" si="11"/>
        <v>100</v>
      </c>
      <c r="V39" s="1118" t="s">
        <v>1358</v>
      </c>
      <c r="W39" s="1119">
        <f t="shared" si="12"/>
        <v>100</v>
      </c>
      <c r="X39" s="1113"/>
      <c r="Y39" s="3435"/>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5"/>
      <c r="Q40" s="621">
        <f t="shared" si="14"/>
        <v>111</v>
      </c>
      <c r="R40" s="1120" t="s">
        <v>1358</v>
      </c>
      <c r="S40" s="1121">
        <f t="shared" si="10"/>
        <v>100</v>
      </c>
      <c r="T40" s="1120" t="s">
        <v>1358</v>
      </c>
      <c r="U40" s="1121">
        <f t="shared" si="11"/>
        <v>100</v>
      </c>
      <c r="V40" s="1120" t="s">
        <v>1358</v>
      </c>
      <c r="W40" s="1121">
        <f t="shared" si="12"/>
        <v>100</v>
      </c>
      <c r="X40" s="1122"/>
      <c r="Y40" s="3435"/>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26" t="str">
        <f>A41</f>
        <v>成交单价</v>
      </c>
      <c r="Q41" s="3426"/>
      <c r="R41" s="3427">
        <f>E41</f>
        <v>0</v>
      </c>
      <c r="S41" s="3427"/>
      <c r="T41" s="3427">
        <f>G41</f>
        <v>0</v>
      </c>
      <c r="U41" s="3427"/>
      <c r="V41" s="3427">
        <f>I41</f>
        <v>0</v>
      </c>
      <c r="W41" s="3427"/>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26" t="str">
        <f>A42</f>
        <v>比较价值（元/平方米）</v>
      </c>
      <c r="Q42" s="3426"/>
      <c r="R42" s="3503" t="e">
        <f>ROUND(PRODUCT(R41,AA7:AA40),0)</f>
        <v>#DIV/0!</v>
      </c>
      <c r="S42" s="3503"/>
      <c r="T42" s="3503" t="e">
        <f>ROUND(PRODUCT(T41,AB7:AB40),0)</f>
        <v>#DIV/0!</v>
      </c>
      <c r="U42" s="3503"/>
      <c r="V42" s="3503" t="e">
        <f>ROUND(PRODUCT(V41,AC7:AC40),0)</f>
        <v>#DIV/0!</v>
      </c>
      <c r="W42" s="3503"/>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62" t="str">
        <f>A43</f>
        <v>估价对象XX用房的比较价值（楼面单价，元/平方米）</v>
      </c>
      <c r="Q43" s="3463"/>
      <c r="R43" s="3504" t="e">
        <f>ROUND(IF(D42="简单平均",AVERAGE(R42:W42),R42*F42+T42*H42+V42*J42),0)</f>
        <v>#DIV/0!</v>
      </c>
      <c r="S43" s="3504"/>
      <c r="T43" s="3504"/>
      <c r="U43" s="3504"/>
      <c r="V43" s="3504"/>
      <c r="W43" s="3504"/>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11" t="s">
        <v>1673</v>
      </c>
      <c r="H50" s="3502"/>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27483.820000000003</v>
      </c>
      <c r="F51" s="1034" t="e">
        <f t="shared" ref="F51:F60" si="15">ROUND(B51*E51/10000,0)</f>
        <v>#DIV/0!</v>
      </c>
      <c r="G51" s="3425"/>
      <c r="H51" s="3426"/>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56554.63</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f ca="1">SUMIF(B6:B13,"&lt;&gt;#ref!",B6:B13)</f>
        <v>3789</v>
      </c>
      <c r="C2" s="889" t="s">
        <v>1703</v>
      </c>
      <c r="D2" s="889" t="s">
        <v>1704</v>
      </c>
      <c r="E2" s="891">
        <f ca="1">SUMIF(E6:E13,"&lt;&gt;#ref!",E6:E13)</f>
        <v>56554.63</v>
      </c>
      <c r="F2" s="888"/>
      <c r="G2" s="888"/>
      <c r="H2" s="888"/>
      <c r="I2" s="888"/>
      <c r="J2" s="888"/>
      <c r="K2" s="888"/>
      <c r="L2" s="888"/>
      <c r="M2" s="888"/>
      <c r="N2" s="888"/>
      <c r="O2" s="888"/>
      <c r="P2" s="888"/>
    </row>
    <row r="3" spans="1:16" ht="15.6">
      <c r="A3" s="889" t="s">
        <v>1705</v>
      </c>
      <c r="B3" s="890">
        <f ca="1">ROUND(B2*10000/E2,0)</f>
        <v>670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f ca="1">SUMIF(INDIRECT("'"&amp;A6&amp;"'"&amp;"!A:A"),"总价",INDIRECT("'"&amp;A6&amp;"'"&amp;"!B:B"))</f>
        <v>3789</v>
      </c>
      <c r="C6" s="889" t="s">
        <v>1703</v>
      </c>
      <c r="D6" s="888"/>
      <c r="E6" s="891">
        <f ca="1">SUMIF(INDIRECT("'"&amp;A6&amp;"'"&amp;"!C:C"),"建筑面积",INDIRECT("'"&amp;A6&amp;"'"&amp;"!D:D"))</f>
        <v>56554.63</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#N/A</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#N/A</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#N/A</v>
      </c>
      <c r="D5" s="355" t="s">
        <v>1004</v>
      </c>
      <c r="E5" s="356" t="s">
        <v>1005</v>
      </c>
      <c r="F5" s="356" t="s">
        <v>900</v>
      </c>
      <c r="G5" s="357"/>
    </row>
    <row r="6" spans="1:8" s="335" customFormat="1" ht="13.5" customHeight="1">
      <c r="A6" s="358" t="s">
        <v>1006</v>
      </c>
      <c r="B6" s="359" t="s">
        <v>1007</v>
      </c>
      <c r="C6" s="360">
        <f>ROUND(基准地价修正!D33*基准地价修正!C33,0)</f>
        <v>37891602</v>
      </c>
      <c r="D6" s="361"/>
      <c r="E6" s="362"/>
      <c r="F6" s="362"/>
      <c r="G6" s="363"/>
    </row>
    <row r="7" spans="1:8" s="335" customFormat="1" ht="13.5" customHeight="1">
      <c r="A7" s="358" t="s">
        <v>1008</v>
      </c>
      <c r="B7" s="359" t="s">
        <v>1009</v>
      </c>
      <c r="C7" s="364">
        <f>ROUND(C6*F7,0)</f>
        <v>1155694</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80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#N/A</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#N/A</v>
      </c>
      <c r="D22" s="381">
        <f ca="1">C26</f>
        <v>2.9999999999999997E-4</v>
      </c>
      <c r="E22" s="382" t="s">
        <v>1040</v>
      </c>
      <c r="F22" s="385">
        <f ca="1">'数据-取费表'!B40</f>
        <v>0.03</v>
      </c>
      <c r="G22" s="383" t="str">
        <f>IF('数据-取费表'!B22&lt;=1,"单利计息","复利计息")</f>
        <v>单利计息</v>
      </c>
    </row>
    <row r="23" spans="1:7" s="335" customFormat="1" ht="13.5" customHeight="1">
      <c r="A23" s="386" t="s">
        <v>1006</v>
      </c>
      <c r="B23" s="359" t="s">
        <v>1044</v>
      </c>
      <c r="C23" s="388" t="e">
        <f ca="1">ROUND(IF('数据-取费表'!B22&lt;=1,C5*F22*'数据-取费表'!B22,C5*(POWER((1+F22),'数据-取费表'!B22)-1)),0)</f>
        <v>#N/A</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#N/A</v>
      </c>
      <c r="D25" s="388"/>
      <c r="E25" s="391"/>
      <c r="F25" s="389"/>
      <c r="G25" s="392" t="s">
        <v>1049</v>
      </c>
    </row>
    <row r="26" spans="1:7" s="335" customFormat="1">
      <c r="A26" s="386" t="s">
        <v>1050</v>
      </c>
      <c r="B26" s="359" t="s">
        <v>1051</v>
      </c>
      <c r="C26" s="388">
        <f ca="1">ROUND(IF('数据-取费表'!B22&lt;=1,F21*F22*'数据-取费表'!B22/2,F21*(POWER((1+F22),'数据-取费表'!B22/2)-1)),4)</f>
        <v>2.9999999999999997E-4</v>
      </c>
      <c r="D26" s="388"/>
      <c r="E26" s="391"/>
      <c r="F26" s="389"/>
      <c r="G26" s="393"/>
    </row>
    <row r="27" spans="1:7" s="335" customFormat="1" ht="26.4">
      <c r="A27" s="353" t="s">
        <v>1052</v>
      </c>
      <c r="B27" s="394" t="s">
        <v>1053</v>
      </c>
      <c r="C27" s="395" t="e">
        <f ca="1">C28</f>
        <v>#N/A</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#N/A</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#N/A</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2.9999999999999997E-4</v>
      </c>
      <c r="E41" s="382" t="s">
        <v>1074</v>
      </c>
      <c r="F41" s="385">
        <f ca="1">F22</f>
        <v>0.03</v>
      </c>
      <c r="G41" s="383" t="str">
        <f>IF('数据-取费表'!B22&lt;=1,"单利计息","复利计息")</f>
        <v>单利计息</v>
      </c>
    </row>
    <row r="42" spans="1:7" ht="13.5" customHeight="1">
      <c r="A42" s="386" t="s">
        <v>1006</v>
      </c>
      <c r="B42" s="359" t="s">
        <v>1044</v>
      </c>
      <c r="C42" s="388" t="e">
        <f ca="1">ROUND(IF('数据-取费表'!B22&lt;=1,C33*F22*'数据-取费表'!B20/2,C33*(POWER((1+F22),'数据-取费表'!B20/2)-1)),0)</f>
        <v>#N/A</v>
      </c>
      <c r="D42" s="388"/>
      <c r="E42" s="388"/>
      <c r="F42" s="389"/>
      <c r="G42" s="3403" t="s">
        <v>1716</v>
      </c>
    </row>
    <row r="43" spans="1:7" ht="13.5" customHeight="1">
      <c r="A43" s="386" t="s">
        <v>1008</v>
      </c>
      <c r="B43" s="359" t="s">
        <v>1046</v>
      </c>
      <c r="C43" s="388" t="e">
        <f ca="1">ROUND(IF('数据-取费表'!B22&lt;=1,C39*F22*'数据-取费表'!B20/2,C39*(POWER((1+F22),'数据-取费表'!B20/2)-1)),0)</f>
        <v>#N/A</v>
      </c>
      <c r="D43" s="388"/>
      <c r="E43" s="388"/>
      <c r="F43" s="389"/>
      <c r="G43" s="3404"/>
    </row>
    <row r="44" spans="1:7" ht="13.5" customHeight="1">
      <c r="A44" s="386" t="s">
        <v>1010</v>
      </c>
      <c r="B44" s="359" t="s">
        <v>1048</v>
      </c>
      <c r="C44" s="388">
        <f ca="1">ROUND(IF('数据-取费表'!B22&lt;=1,C40*F22*'数据-取费表'!B20/2,C40*(POWER((1+F22),'数据-取费表'!B20/2)-1)),4)</f>
        <v>2.9999999999999997E-4</v>
      </c>
      <c r="D44" s="388"/>
      <c r="E44" s="388"/>
      <c r="F44" s="389"/>
      <c r="G44" s="3405"/>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#N/A</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1920</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1924</v>
      </c>
      <c r="B18" s="460"/>
      <c r="C18" s="461"/>
      <c r="D18" s="461"/>
      <c r="E18" s="460"/>
      <c r="F18" s="461"/>
      <c r="G18" s="461"/>
    </row>
    <row r="19" spans="1:13" ht="19.5" customHeight="1">
      <c r="A19" s="459" t="s">
        <v>1925</v>
      </c>
      <c r="B19" s="462" t="s">
        <v>1926</v>
      </c>
      <c r="C19" s="462" t="s">
        <v>1927</v>
      </c>
      <c r="D19" s="463"/>
      <c r="E19" s="459" t="s">
        <v>1928</v>
      </c>
      <c r="F19" s="464"/>
      <c r="G19" s="464"/>
    </row>
    <row r="20" spans="1:13" ht="19.5" customHeight="1">
      <c r="A20" s="3509" t="s">
        <v>1920</v>
      </c>
      <c r="B20" s="3515" t="s">
        <v>1929</v>
      </c>
      <c r="C20" s="465" t="s">
        <v>1930</v>
      </c>
      <c r="D20" s="466"/>
      <c r="E20" s="467">
        <v>1</v>
      </c>
      <c r="F20" s="468" t="s">
        <v>1931</v>
      </c>
      <c r="G20" s="468"/>
    </row>
    <row r="21" spans="1:13" ht="19.5" customHeight="1">
      <c r="A21" s="3510"/>
      <c r="B21" s="3516"/>
      <c r="C21" s="469" t="s">
        <v>1932</v>
      </c>
      <c r="D21" s="470"/>
      <c r="E21" s="471">
        <v>1</v>
      </c>
      <c r="F21" s="468" t="s">
        <v>1933</v>
      </c>
      <c r="G21" s="468"/>
    </row>
    <row r="22" spans="1:13" ht="19.5" customHeight="1">
      <c r="A22" s="3510"/>
      <c r="B22" s="3516"/>
      <c r="C22" s="469" t="s">
        <v>1934</v>
      </c>
      <c r="D22" s="470"/>
      <c r="E22" s="471">
        <v>0.9</v>
      </c>
      <c r="F22" s="468" t="s">
        <v>1935</v>
      </c>
      <c r="G22" s="468"/>
    </row>
    <row r="23" spans="1:13" ht="19.5" customHeight="1">
      <c r="A23" s="3510"/>
      <c r="B23" s="3516"/>
      <c r="C23" s="469" t="s">
        <v>1936</v>
      </c>
      <c r="D23" s="470"/>
      <c r="E23" s="471">
        <v>0.9</v>
      </c>
      <c r="F23" s="468" t="s">
        <v>1937</v>
      </c>
      <c r="G23" s="468"/>
    </row>
    <row r="24" spans="1:13" ht="19.5" customHeight="1">
      <c r="A24" s="3510"/>
      <c r="B24" s="3516"/>
      <c r="C24" s="469" t="s">
        <v>1938</v>
      </c>
      <c r="D24" s="470"/>
      <c r="E24" s="471">
        <v>0.8</v>
      </c>
      <c r="F24" s="468" t="s">
        <v>1939</v>
      </c>
      <c r="G24" s="468"/>
    </row>
    <row r="25" spans="1:13" ht="19.5" customHeight="1">
      <c r="A25" s="3511"/>
      <c r="B25" s="3517"/>
      <c r="C25" s="472" t="s">
        <v>1940</v>
      </c>
      <c r="D25" s="473"/>
      <c r="E25" s="474">
        <v>0.8</v>
      </c>
      <c r="F25" s="468" t="s">
        <v>1941</v>
      </c>
      <c r="G25" s="468"/>
    </row>
    <row r="26" spans="1:13" ht="19.5" customHeight="1">
      <c r="A26" s="475" t="s">
        <v>562</v>
      </c>
      <c r="B26" s="476" t="s">
        <v>1929</v>
      </c>
      <c r="C26" s="477" t="s">
        <v>1731</v>
      </c>
      <c r="D26" s="478"/>
      <c r="E26" s="479">
        <v>1</v>
      </c>
      <c r="F26" s="468" t="s">
        <v>1942</v>
      </c>
      <c r="G26" s="468"/>
    </row>
    <row r="27" spans="1:13" ht="19.5" customHeight="1">
      <c r="A27" s="3512" t="s">
        <v>280</v>
      </c>
      <c r="B27" s="3515" t="s">
        <v>280</v>
      </c>
      <c r="C27" s="465" t="s">
        <v>1943</v>
      </c>
      <c r="D27" s="466"/>
      <c r="E27" s="467">
        <v>1</v>
      </c>
      <c r="F27" s="468" t="s">
        <v>1944</v>
      </c>
      <c r="G27" s="468"/>
    </row>
    <row r="28" spans="1:13" ht="19.5" customHeight="1">
      <c r="A28" s="3513"/>
      <c r="B28" s="3516"/>
      <c r="C28" s="469" t="s">
        <v>1945</v>
      </c>
      <c r="D28" s="470"/>
      <c r="E28" s="471">
        <v>1</v>
      </c>
      <c r="F28" s="468" t="s">
        <v>1946</v>
      </c>
      <c r="G28" s="468"/>
    </row>
    <row r="29" spans="1:13" ht="19.5" customHeight="1">
      <c r="A29" s="3513"/>
      <c r="B29" s="3516"/>
      <c r="C29" s="469" t="s">
        <v>1947</v>
      </c>
      <c r="D29" s="470"/>
      <c r="E29" s="471">
        <v>0.8</v>
      </c>
      <c r="F29" s="468" t="s">
        <v>1948</v>
      </c>
      <c r="G29" s="468"/>
    </row>
    <row r="30" spans="1:13" ht="19.5" customHeight="1">
      <c r="A30" s="3513"/>
      <c r="B30" s="3516"/>
      <c r="C30" s="469" t="s">
        <v>1949</v>
      </c>
      <c r="D30" s="470"/>
      <c r="E30" s="471">
        <v>0.8</v>
      </c>
      <c r="F30" s="468" t="s">
        <v>1950</v>
      </c>
      <c r="G30" s="468"/>
    </row>
    <row r="31" spans="1:13" ht="19.5" customHeight="1">
      <c r="A31" s="3513"/>
      <c r="B31" s="3516"/>
      <c r="C31" s="469" t="s">
        <v>1951</v>
      </c>
      <c r="D31" s="470"/>
      <c r="E31" s="471">
        <v>0.8</v>
      </c>
      <c r="F31" s="468" t="s">
        <v>1952</v>
      </c>
      <c r="G31" s="468"/>
    </row>
    <row r="32" spans="1:13" ht="19.5" customHeight="1">
      <c r="A32" s="3513"/>
      <c r="B32" s="3516"/>
      <c r="C32" s="469" t="s">
        <v>1953</v>
      </c>
      <c r="D32" s="470"/>
      <c r="E32" s="471">
        <v>0.7</v>
      </c>
      <c r="F32" s="468" t="s">
        <v>1954</v>
      </c>
      <c r="G32" s="468"/>
    </row>
    <row r="33" spans="1:7" ht="19.5" customHeight="1">
      <c r="A33" s="3513"/>
      <c r="B33" s="3516"/>
      <c r="C33" s="469" t="s">
        <v>1955</v>
      </c>
      <c r="D33" s="470"/>
      <c r="E33" s="471">
        <v>0.8</v>
      </c>
      <c r="F33" s="468" t="s">
        <v>1956</v>
      </c>
      <c r="G33" s="468"/>
    </row>
    <row r="34" spans="1:7" ht="19.5" customHeight="1">
      <c r="A34" s="3513"/>
      <c r="B34" s="3516"/>
      <c r="C34" s="469" t="s">
        <v>1957</v>
      </c>
      <c r="D34" s="470"/>
      <c r="E34" s="471">
        <v>0.6</v>
      </c>
      <c r="F34" s="468" t="s">
        <v>1958</v>
      </c>
      <c r="G34" s="468"/>
    </row>
    <row r="35" spans="1:7" ht="19.5" customHeight="1">
      <c r="A35" s="3513"/>
      <c r="B35" s="3516"/>
      <c r="C35" s="469" t="s">
        <v>1959</v>
      </c>
      <c r="D35" s="470"/>
      <c r="E35" s="471">
        <v>0.2</v>
      </c>
      <c r="F35" s="468" t="s">
        <v>1960</v>
      </c>
      <c r="G35" s="468"/>
    </row>
    <row r="36" spans="1:7" ht="19.5" customHeight="1">
      <c r="A36" s="3513"/>
      <c r="B36" s="3516"/>
      <c r="C36" s="469" t="s">
        <v>1961</v>
      </c>
      <c r="D36" s="470"/>
      <c r="E36" s="471">
        <v>0.2</v>
      </c>
      <c r="F36" s="468" t="s">
        <v>1962</v>
      </c>
      <c r="G36" s="468"/>
    </row>
    <row r="37" spans="1:7" ht="19.5" customHeight="1">
      <c r="A37" s="3513"/>
      <c r="B37" s="3518" t="s">
        <v>1963</v>
      </c>
      <c r="C37" s="469" t="s">
        <v>1964</v>
      </c>
      <c r="D37" s="470"/>
      <c r="E37" s="471">
        <v>0.6</v>
      </c>
      <c r="F37" s="468" t="s">
        <v>1965</v>
      </c>
      <c r="G37" s="468"/>
    </row>
    <row r="38" spans="1:7" ht="19.5" customHeight="1">
      <c r="A38" s="3513"/>
      <c r="B38" s="3516"/>
      <c r="C38" s="469" t="s">
        <v>1966</v>
      </c>
      <c r="D38" s="470"/>
      <c r="E38" s="471">
        <v>0.6</v>
      </c>
      <c r="F38" s="468" t="s">
        <v>1967</v>
      </c>
      <c r="G38" s="468"/>
    </row>
    <row r="39" spans="1:7" ht="19.5" customHeight="1">
      <c r="A39" s="3514"/>
      <c r="B39" s="3517"/>
      <c r="C39" s="472" t="s">
        <v>1968</v>
      </c>
      <c r="D39" s="473"/>
      <c r="E39" s="474">
        <v>0.6</v>
      </c>
      <c r="F39" s="468" t="s">
        <v>1969</v>
      </c>
      <c r="G39" s="468"/>
    </row>
    <row r="40" spans="1:7" ht="19.5" customHeight="1">
      <c r="A40" s="475" t="s">
        <v>412</v>
      </c>
      <c r="B40" s="476" t="s">
        <v>412</v>
      </c>
      <c r="C40" s="477" t="s">
        <v>1970</v>
      </c>
      <c r="D40" s="478"/>
      <c r="E40" s="479">
        <v>1</v>
      </c>
      <c r="F40" s="468" t="s">
        <v>1971</v>
      </c>
      <c r="G40" s="468"/>
    </row>
    <row r="41" spans="1:7" ht="19.5" customHeight="1">
      <c r="A41" s="3509" t="s">
        <v>408</v>
      </c>
      <c r="B41" s="3515" t="s">
        <v>1972</v>
      </c>
      <c r="C41" s="465" t="s">
        <v>1973</v>
      </c>
      <c r="D41" s="466"/>
      <c r="E41" s="467">
        <v>1</v>
      </c>
      <c r="F41" s="468" t="s">
        <v>1974</v>
      </c>
      <c r="G41" s="468"/>
    </row>
    <row r="42" spans="1:7" ht="19.5" customHeight="1">
      <c r="A42" s="3510"/>
      <c r="B42" s="3516"/>
      <c r="C42" s="469" t="s">
        <v>1975</v>
      </c>
      <c r="D42" s="470"/>
      <c r="E42" s="471">
        <v>1</v>
      </c>
      <c r="F42" s="468" t="s">
        <v>1976</v>
      </c>
      <c r="G42" s="468"/>
    </row>
    <row r="43" spans="1:7" ht="19.5" customHeight="1">
      <c r="A43" s="3510"/>
      <c r="B43" s="3519"/>
      <c r="C43" s="469" t="s">
        <v>1977</v>
      </c>
      <c r="D43" s="470"/>
      <c r="E43" s="471">
        <v>1.5</v>
      </c>
      <c r="F43" s="468" t="s">
        <v>1978</v>
      </c>
      <c r="G43" s="468"/>
    </row>
    <row r="44" spans="1:7" ht="19.5" customHeight="1">
      <c r="A44" s="3510"/>
      <c r="B44" s="481" t="s">
        <v>280</v>
      </c>
      <c r="C44" s="469" t="s">
        <v>1921</v>
      </c>
      <c r="D44" s="470"/>
      <c r="E44" s="471">
        <v>2</v>
      </c>
      <c r="F44" s="468" t="s">
        <v>1979</v>
      </c>
      <c r="G44" s="468"/>
    </row>
    <row r="45" spans="1:7" ht="19.5" customHeight="1">
      <c r="A45" s="3510"/>
      <c r="B45" s="3518" t="s">
        <v>1980</v>
      </c>
      <c r="C45" s="469" t="s">
        <v>1981</v>
      </c>
      <c r="D45" s="470"/>
      <c r="E45" s="471">
        <v>1</v>
      </c>
      <c r="F45" s="468" t="s">
        <v>1982</v>
      </c>
      <c r="G45" s="468"/>
    </row>
    <row r="46" spans="1:7" ht="19.5" customHeight="1">
      <c r="A46" s="3510"/>
      <c r="B46" s="3516"/>
      <c r="C46" s="469" t="s">
        <v>1983</v>
      </c>
      <c r="D46" s="470"/>
      <c r="E46" s="471">
        <v>1</v>
      </c>
      <c r="F46" s="468" t="s">
        <v>1984</v>
      </c>
      <c r="G46" s="468"/>
    </row>
    <row r="47" spans="1:7" ht="19.5" customHeight="1">
      <c r="A47" s="3510"/>
      <c r="B47" s="3516"/>
      <c r="C47" s="469" t="s">
        <v>1985</v>
      </c>
      <c r="D47" s="470"/>
      <c r="E47" s="471">
        <v>1</v>
      </c>
      <c r="F47" s="468" t="s">
        <v>1986</v>
      </c>
      <c r="G47" s="468"/>
    </row>
    <row r="48" spans="1:7" ht="19.5" customHeight="1">
      <c r="A48" s="3510"/>
      <c r="B48" s="3516"/>
      <c r="C48" s="469" t="s">
        <v>1987</v>
      </c>
      <c r="D48" s="470"/>
      <c r="E48" s="471">
        <v>1</v>
      </c>
      <c r="F48" s="468" t="s">
        <v>1988</v>
      </c>
      <c r="G48" s="468"/>
    </row>
    <row r="49" spans="1:7" ht="19.5" customHeight="1">
      <c r="A49" s="3510"/>
      <c r="B49" s="3516"/>
      <c r="C49" s="469" t="s">
        <v>1989</v>
      </c>
      <c r="D49" s="470"/>
      <c r="E49" s="471">
        <v>1</v>
      </c>
      <c r="F49" s="468" t="s">
        <v>1990</v>
      </c>
      <c r="G49" s="468"/>
    </row>
    <row r="50" spans="1:7" ht="19.5" customHeight="1">
      <c r="A50" s="3510"/>
      <c r="B50" s="3516"/>
      <c r="C50" s="469" t="s">
        <v>1991</v>
      </c>
      <c r="D50" s="470"/>
      <c r="E50" s="471">
        <v>1</v>
      </c>
      <c r="F50" s="468" t="s">
        <v>1992</v>
      </c>
      <c r="G50" s="468"/>
    </row>
    <row r="51" spans="1:7" ht="19.5" customHeight="1">
      <c r="A51" s="3511"/>
      <c r="B51" s="3517"/>
      <c r="C51" s="472" t="s">
        <v>1993</v>
      </c>
      <c r="D51" s="473"/>
      <c r="E51" s="474">
        <v>1</v>
      </c>
      <c r="F51" s="468" t="s">
        <v>1994</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1995</v>
      </c>
      <c r="G54" s="459" t="s">
        <v>432</v>
      </c>
    </row>
    <row r="55" spans="1:7" ht="19.5" customHeight="1">
      <c r="A55" s="484"/>
      <c r="B55" s="459" t="s">
        <v>1920</v>
      </c>
      <c r="C55" s="459" t="s">
        <v>1920</v>
      </c>
      <c r="D55" s="459" t="s">
        <v>1920</v>
      </c>
      <c r="E55" s="457" t="s">
        <v>562</v>
      </c>
      <c r="F55" s="457" t="s">
        <v>408</v>
      </c>
      <c r="G55" s="457" t="s">
        <v>1637</v>
      </c>
    </row>
    <row r="56" spans="1:7" ht="19.5" customHeight="1">
      <c r="A56" s="485"/>
      <c r="B56" s="457">
        <v>1</v>
      </c>
      <c r="C56" s="457">
        <v>2</v>
      </c>
      <c r="D56" s="457">
        <v>3</v>
      </c>
      <c r="E56" s="486" t="s">
        <v>1996</v>
      </c>
      <c r="F56" s="486" t="s">
        <v>1996</v>
      </c>
      <c r="G56" s="486" t="s">
        <v>1996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1997</v>
      </c>
      <c r="E70" s="497"/>
      <c r="F70" s="497"/>
    </row>
    <row r="71" spans="1:7" ht="19.5" customHeight="1">
      <c r="A71" s="481" t="s">
        <v>1333</v>
      </c>
      <c r="B71" s="481" t="s">
        <v>1998</v>
      </c>
      <c r="C71" s="481" t="s">
        <v>1999</v>
      </c>
      <c r="D71" s="481" t="s">
        <v>2000</v>
      </c>
      <c r="E71" s="481" t="s">
        <v>2001</v>
      </c>
      <c r="F71" s="481" t="s">
        <v>2002</v>
      </c>
    </row>
    <row r="72" spans="1:7" ht="14.4">
      <c r="A72" s="481"/>
      <c r="B72" s="481"/>
      <c r="C72" s="481" t="s">
        <v>2003</v>
      </c>
      <c r="D72" s="481"/>
      <c r="E72" s="481" t="s">
        <v>124</v>
      </c>
      <c r="F72" s="481" t="s">
        <v>124</v>
      </c>
    </row>
    <row r="73" spans="1:7" ht="14.4">
      <c r="A73" s="481">
        <v>1</v>
      </c>
      <c r="B73" s="3518" t="s">
        <v>2004</v>
      </c>
      <c r="C73" s="457" t="s">
        <v>2005</v>
      </c>
      <c r="D73" s="457" t="s">
        <v>2006</v>
      </c>
      <c r="E73" s="481">
        <v>0.2</v>
      </c>
      <c r="F73" s="481">
        <v>25</v>
      </c>
    </row>
    <row r="74" spans="1:7" ht="24">
      <c r="A74" s="481">
        <v>2</v>
      </c>
      <c r="B74" s="3516"/>
      <c r="C74" s="457" t="s">
        <v>2007</v>
      </c>
      <c r="D74" s="457" t="s">
        <v>2008</v>
      </c>
      <c r="E74" s="481">
        <v>0.2</v>
      </c>
      <c r="F74" s="481">
        <v>25</v>
      </c>
    </row>
    <row r="75" spans="1:7" ht="24">
      <c r="A75" s="481">
        <v>3</v>
      </c>
      <c r="B75" s="3516"/>
      <c r="C75" s="457" t="s">
        <v>2009</v>
      </c>
      <c r="D75" s="457" t="s">
        <v>2010</v>
      </c>
      <c r="E75" s="481">
        <v>0.2</v>
      </c>
      <c r="F75" s="481">
        <v>25</v>
      </c>
    </row>
    <row r="76" spans="1:7" ht="14.4">
      <c r="A76" s="481">
        <v>4</v>
      </c>
      <c r="B76" s="3516"/>
      <c r="C76" s="457" t="s">
        <v>2011</v>
      </c>
      <c r="D76" s="457" t="s">
        <v>2012</v>
      </c>
      <c r="E76" s="481">
        <v>0.15</v>
      </c>
      <c r="F76" s="481">
        <v>20</v>
      </c>
    </row>
    <row r="77" spans="1:7" ht="24">
      <c r="A77" s="481">
        <v>5</v>
      </c>
      <c r="B77" s="3516"/>
      <c r="C77" s="457" t="s">
        <v>2013</v>
      </c>
      <c r="D77" s="457" t="s">
        <v>2014</v>
      </c>
      <c r="E77" s="481">
        <v>0.15</v>
      </c>
      <c r="F77" s="481">
        <v>20</v>
      </c>
    </row>
    <row r="78" spans="1:7" ht="24">
      <c r="A78" s="481">
        <v>6</v>
      </c>
      <c r="B78" s="3516"/>
      <c r="C78" s="457" t="s">
        <v>2015</v>
      </c>
      <c r="D78" s="457" t="s">
        <v>2016</v>
      </c>
      <c r="E78" s="481">
        <v>0.15</v>
      </c>
      <c r="F78" s="481">
        <v>20</v>
      </c>
    </row>
    <row r="79" spans="1:7" ht="24">
      <c r="A79" s="481">
        <v>7</v>
      </c>
      <c r="B79" s="3516"/>
      <c r="C79" s="457" t="s">
        <v>2017</v>
      </c>
      <c r="D79" s="457" t="s">
        <v>2018</v>
      </c>
      <c r="E79" s="481">
        <v>0.15</v>
      </c>
      <c r="F79" s="481">
        <v>20</v>
      </c>
    </row>
    <row r="80" spans="1:7" ht="24">
      <c r="A80" s="481">
        <v>8</v>
      </c>
      <c r="B80" s="3516"/>
      <c r="C80" s="457" t="s">
        <v>2019</v>
      </c>
      <c r="D80" s="457" t="s">
        <v>2020</v>
      </c>
      <c r="E80" s="481">
        <v>0.1</v>
      </c>
      <c r="F80" s="481">
        <v>15</v>
      </c>
    </row>
    <row r="81" spans="1:6" ht="24">
      <c r="A81" s="481">
        <v>9</v>
      </c>
      <c r="B81" s="3516"/>
      <c r="C81" s="457" t="s">
        <v>2021</v>
      </c>
      <c r="D81" s="457" t="s">
        <v>2022</v>
      </c>
      <c r="E81" s="481">
        <v>0.1</v>
      </c>
      <c r="F81" s="481">
        <v>15</v>
      </c>
    </row>
    <row r="82" spans="1:6" ht="24">
      <c r="A82" s="481">
        <v>10</v>
      </c>
      <c r="B82" s="3516"/>
      <c r="C82" s="457" t="s">
        <v>2023</v>
      </c>
      <c r="D82" s="457" t="s">
        <v>2024</v>
      </c>
      <c r="E82" s="481">
        <v>0.1</v>
      </c>
      <c r="F82" s="481">
        <v>15</v>
      </c>
    </row>
    <row r="83" spans="1:6" ht="24">
      <c r="A83" s="481">
        <v>11</v>
      </c>
      <c r="B83" s="3516"/>
      <c r="C83" s="457" t="s">
        <v>2025</v>
      </c>
      <c r="D83" s="457" t="s">
        <v>2026</v>
      </c>
      <c r="E83" s="481">
        <v>0.1</v>
      </c>
      <c r="F83" s="481">
        <v>15</v>
      </c>
    </row>
    <row r="84" spans="1:6" ht="24">
      <c r="A84" s="481">
        <v>12</v>
      </c>
      <c r="B84" s="3516"/>
      <c r="C84" s="457" t="s">
        <v>2027</v>
      </c>
      <c r="D84" s="457" t="s">
        <v>2028</v>
      </c>
      <c r="E84" s="481">
        <v>0.1</v>
      </c>
      <c r="F84" s="481">
        <v>15</v>
      </c>
    </row>
    <row r="85" spans="1:6" ht="24">
      <c r="A85" s="481">
        <v>13</v>
      </c>
      <c r="B85" s="3516"/>
      <c r="C85" s="457" t="s">
        <v>2029</v>
      </c>
      <c r="D85" s="457" t="s">
        <v>2030</v>
      </c>
      <c r="E85" s="481">
        <v>0.1</v>
      </c>
      <c r="F85" s="481">
        <v>15</v>
      </c>
    </row>
    <row r="86" spans="1:6" ht="24">
      <c r="A86" s="481">
        <v>14</v>
      </c>
      <c r="B86" s="3516"/>
      <c r="C86" s="457" t="s">
        <v>2031</v>
      </c>
      <c r="D86" s="457" t="s">
        <v>2032</v>
      </c>
      <c r="E86" s="481">
        <v>0.1</v>
      </c>
      <c r="F86" s="481">
        <v>15</v>
      </c>
    </row>
    <row r="87" spans="1:6" ht="24">
      <c r="A87" s="481">
        <v>15</v>
      </c>
      <c r="B87" s="3516"/>
      <c r="C87" s="457" t="s">
        <v>2033</v>
      </c>
      <c r="D87" s="457" t="s">
        <v>2034</v>
      </c>
      <c r="E87" s="481">
        <v>0.1</v>
      </c>
      <c r="F87" s="481">
        <v>15</v>
      </c>
    </row>
    <row r="88" spans="1:6" ht="24">
      <c r="A88" s="481">
        <v>16</v>
      </c>
      <c r="B88" s="3516"/>
      <c r="C88" s="457" t="s">
        <v>2035</v>
      </c>
      <c r="D88" s="457" t="s">
        <v>2036</v>
      </c>
      <c r="E88" s="481">
        <v>0.1</v>
      </c>
      <c r="F88" s="481">
        <v>15</v>
      </c>
    </row>
    <row r="89" spans="1:6" ht="24">
      <c r="A89" s="481">
        <v>17</v>
      </c>
      <c r="B89" s="3519"/>
      <c r="C89" s="457" t="s">
        <v>2037</v>
      </c>
      <c r="D89" s="457" t="s">
        <v>2038</v>
      </c>
      <c r="E89" s="481">
        <v>0.1</v>
      </c>
      <c r="F89" s="481">
        <v>15</v>
      </c>
    </row>
    <row r="90" spans="1:6" ht="14.4">
      <c r="A90" s="481">
        <v>18</v>
      </c>
      <c r="B90" s="3518" t="s">
        <v>2039</v>
      </c>
      <c r="C90" s="457" t="s">
        <v>2040</v>
      </c>
      <c r="D90" s="457" t="s">
        <v>2041</v>
      </c>
      <c r="E90" s="481">
        <v>0.2</v>
      </c>
      <c r="F90" s="481">
        <v>25</v>
      </c>
    </row>
    <row r="91" spans="1:6" ht="24">
      <c r="A91" s="481">
        <v>19</v>
      </c>
      <c r="B91" s="3516"/>
      <c r="C91" s="457" t="s">
        <v>2042</v>
      </c>
      <c r="D91" s="457" t="s">
        <v>2043</v>
      </c>
      <c r="E91" s="481">
        <v>0.2</v>
      </c>
      <c r="F91" s="481">
        <v>25</v>
      </c>
    </row>
    <row r="92" spans="1:6" ht="14.4">
      <c r="A92" s="481">
        <v>20</v>
      </c>
      <c r="B92" s="3516"/>
      <c r="C92" s="457" t="s">
        <v>2044</v>
      </c>
      <c r="D92" s="457" t="s">
        <v>2045</v>
      </c>
      <c r="E92" s="481">
        <v>0.15</v>
      </c>
      <c r="F92" s="481">
        <v>20</v>
      </c>
    </row>
    <row r="93" spans="1:6" ht="24">
      <c r="A93" s="481">
        <v>21</v>
      </c>
      <c r="B93" s="3516"/>
      <c r="C93" s="457" t="s">
        <v>2046</v>
      </c>
      <c r="D93" s="457" t="s">
        <v>2047</v>
      </c>
      <c r="E93" s="481">
        <v>0.15</v>
      </c>
      <c r="F93" s="481">
        <v>20</v>
      </c>
    </row>
    <row r="94" spans="1:6" ht="24">
      <c r="A94" s="481">
        <v>22</v>
      </c>
      <c r="B94" s="3516"/>
      <c r="C94" s="457" t="s">
        <v>2048</v>
      </c>
      <c r="D94" s="457" t="s">
        <v>2049</v>
      </c>
      <c r="E94" s="481">
        <v>0.15</v>
      </c>
      <c r="F94" s="481">
        <v>20</v>
      </c>
    </row>
    <row r="95" spans="1:6" ht="36">
      <c r="A95" s="481">
        <v>23</v>
      </c>
      <c r="B95" s="3516"/>
      <c r="C95" s="457" t="s">
        <v>2050</v>
      </c>
      <c r="D95" s="457" t="s">
        <v>2051</v>
      </c>
      <c r="E95" s="481">
        <v>0.15</v>
      </c>
      <c r="F95" s="481">
        <v>20</v>
      </c>
    </row>
    <row r="96" spans="1:6" ht="24">
      <c r="A96" s="481">
        <v>24</v>
      </c>
      <c r="B96" s="3516"/>
      <c r="C96" s="457" t="s">
        <v>2052</v>
      </c>
      <c r="D96" s="457" t="s">
        <v>2053</v>
      </c>
      <c r="E96" s="481">
        <v>0.1</v>
      </c>
      <c r="F96" s="481">
        <v>15</v>
      </c>
    </row>
    <row r="97" spans="1:6" ht="24">
      <c r="A97" s="481">
        <v>25</v>
      </c>
      <c r="B97" s="3516"/>
      <c r="C97" s="457" t="s">
        <v>2054</v>
      </c>
      <c r="D97" s="457" t="s">
        <v>2055</v>
      </c>
      <c r="E97" s="481">
        <v>0.1</v>
      </c>
      <c r="F97" s="481">
        <v>15</v>
      </c>
    </row>
    <row r="98" spans="1:6" ht="24">
      <c r="A98" s="481">
        <v>26</v>
      </c>
      <c r="B98" s="3516"/>
      <c r="C98" s="457" t="s">
        <v>2056</v>
      </c>
      <c r="D98" s="457" t="s">
        <v>2057</v>
      </c>
      <c r="E98" s="481">
        <v>0.1</v>
      </c>
      <c r="F98" s="481">
        <v>15</v>
      </c>
    </row>
    <row r="99" spans="1:6" ht="24">
      <c r="A99" s="481">
        <v>27</v>
      </c>
      <c r="B99" s="3516"/>
      <c r="C99" s="457" t="s">
        <v>2058</v>
      </c>
      <c r="D99" s="457" t="s">
        <v>2059</v>
      </c>
      <c r="E99" s="481">
        <v>0.1</v>
      </c>
      <c r="F99" s="481">
        <v>15</v>
      </c>
    </row>
    <row r="100" spans="1:6" ht="24">
      <c r="A100" s="481">
        <v>28</v>
      </c>
      <c r="B100" s="3516"/>
      <c r="C100" s="457" t="s">
        <v>2060</v>
      </c>
      <c r="D100" s="457" t="s">
        <v>2061</v>
      </c>
      <c r="E100" s="481">
        <v>0.1</v>
      </c>
      <c r="F100" s="481">
        <v>15</v>
      </c>
    </row>
    <row r="101" spans="1:6" ht="24">
      <c r="A101" s="481">
        <v>29</v>
      </c>
      <c r="B101" s="3516"/>
      <c r="C101" s="457" t="s">
        <v>2062</v>
      </c>
      <c r="D101" s="457" t="s">
        <v>2063</v>
      </c>
      <c r="E101" s="481">
        <v>0.1</v>
      </c>
      <c r="F101" s="481">
        <v>15</v>
      </c>
    </row>
    <row r="102" spans="1:6" ht="24">
      <c r="A102" s="481">
        <v>30</v>
      </c>
      <c r="B102" s="3516"/>
      <c r="C102" s="457" t="s">
        <v>2064</v>
      </c>
      <c r="D102" s="457" t="s">
        <v>2065</v>
      </c>
      <c r="E102" s="481">
        <v>0.1</v>
      </c>
      <c r="F102" s="481">
        <v>15</v>
      </c>
    </row>
    <row r="103" spans="1:6" ht="24">
      <c r="A103" s="481">
        <v>31</v>
      </c>
      <c r="B103" s="3516"/>
      <c r="C103" s="457" t="s">
        <v>2066</v>
      </c>
      <c r="D103" s="457" t="s">
        <v>2067</v>
      </c>
      <c r="E103" s="481">
        <v>0.1</v>
      </c>
      <c r="F103" s="481">
        <v>15</v>
      </c>
    </row>
    <row r="104" spans="1:6" ht="24">
      <c r="A104" s="481">
        <v>32</v>
      </c>
      <c r="B104" s="3516"/>
      <c r="C104" s="457" t="s">
        <v>2068</v>
      </c>
      <c r="D104" s="457" t="s">
        <v>2069</v>
      </c>
      <c r="E104" s="481">
        <v>0.1</v>
      </c>
      <c r="F104" s="481">
        <v>15</v>
      </c>
    </row>
    <row r="105" spans="1:6" ht="24">
      <c r="A105" s="481">
        <v>33</v>
      </c>
      <c r="B105" s="3516"/>
      <c r="C105" s="457" t="s">
        <v>2070</v>
      </c>
      <c r="D105" s="457" t="s">
        <v>2071</v>
      </c>
      <c r="E105" s="481">
        <v>0.1</v>
      </c>
      <c r="F105" s="481">
        <v>15</v>
      </c>
    </row>
    <row r="106" spans="1:6" ht="24">
      <c r="A106" s="481">
        <v>34</v>
      </c>
      <c r="B106" s="3519"/>
      <c r="C106" s="457" t="s">
        <v>2072</v>
      </c>
      <c r="D106" s="457" t="s">
        <v>2073</v>
      </c>
      <c r="E106" s="481">
        <v>0.1</v>
      </c>
      <c r="F106" s="481">
        <v>15</v>
      </c>
    </row>
    <row r="107" spans="1:6" ht="36">
      <c r="A107" s="481">
        <v>35</v>
      </c>
      <c r="B107" s="3518" t="s">
        <v>2074</v>
      </c>
      <c r="C107" s="481" t="s">
        <v>2075</v>
      </c>
      <c r="D107" s="457" t="s">
        <v>2076</v>
      </c>
      <c r="E107" s="481">
        <v>0.15</v>
      </c>
      <c r="F107" s="481">
        <v>20</v>
      </c>
    </row>
    <row r="108" spans="1:6" ht="24">
      <c r="A108" s="481">
        <v>36</v>
      </c>
      <c r="B108" s="3516"/>
      <c r="C108" s="481" t="s">
        <v>2077</v>
      </c>
      <c r="D108" s="457" t="s">
        <v>2078</v>
      </c>
      <c r="E108" s="481">
        <v>0.15</v>
      </c>
      <c r="F108" s="481">
        <v>20</v>
      </c>
    </row>
    <row r="109" spans="1:6" ht="24">
      <c r="A109" s="481">
        <v>37</v>
      </c>
      <c r="B109" s="3516"/>
      <c r="C109" s="481" t="s">
        <v>2079</v>
      </c>
      <c r="D109" s="457" t="s">
        <v>2080</v>
      </c>
      <c r="E109" s="481">
        <v>0.15</v>
      </c>
      <c r="F109" s="481">
        <v>20</v>
      </c>
    </row>
    <row r="110" spans="1:6" ht="24">
      <c r="A110" s="481">
        <v>38</v>
      </c>
      <c r="B110" s="3516"/>
      <c r="C110" s="481" t="s">
        <v>2081</v>
      </c>
      <c r="D110" s="457" t="s">
        <v>2082</v>
      </c>
      <c r="E110" s="481">
        <v>0.1</v>
      </c>
      <c r="F110" s="481">
        <v>15</v>
      </c>
    </row>
    <row r="111" spans="1:6" ht="24">
      <c r="A111" s="481">
        <v>39</v>
      </c>
      <c r="B111" s="3516"/>
      <c r="C111" s="481" t="s">
        <v>2083</v>
      </c>
      <c r="D111" s="457" t="s">
        <v>2084</v>
      </c>
      <c r="E111" s="481">
        <v>0.1</v>
      </c>
      <c r="F111" s="481">
        <v>15</v>
      </c>
    </row>
    <row r="112" spans="1:6" ht="24">
      <c r="A112" s="481">
        <v>40</v>
      </c>
      <c r="B112" s="3519"/>
      <c r="C112" s="481" t="s">
        <v>2085</v>
      </c>
      <c r="D112" s="457" t="s">
        <v>2086</v>
      </c>
      <c r="E112" s="481">
        <v>0.1</v>
      </c>
      <c r="F112" s="481">
        <v>15</v>
      </c>
    </row>
    <row r="113" spans="1:6" ht="24">
      <c r="A113" s="481">
        <v>41</v>
      </c>
      <c r="B113" s="3520" t="s">
        <v>2087</v>
      </c>
      <c r="C113" s="481" t="s">
        <v>2088</v>
      </c>
      <c r="D113" s="457" t="s">
        <v>2089</v>
      </c>
      <c r="E113" s="481">
        <v>0.1</v>
      </c>
      <c r="F113" s="481">
        <v>15</v>
      </c>
    </row>
    <row r="114" spans="1:6" ht="24">
      <c r="A114" s="481">
        <v>42</v>
      </c>
      <c r="B114" s="3520"/>
      <c r="C114" s="481" t="s">
        <v>2090</v>
      </c>
      <c r="D114" s="457" t="s">
        <v>2091</v>
      </c>
      <c r="E114" s="481">
        <v>0.1</v>
      </c>
      <c r="F114" s="481">
        <v>15</v>
      </c>
    </row>
    <row r="115" spans="1:6" ht="24">
      <c r="A115" s="481">
        <v>43</v>
      </c>
      <c r="B115" s="3520"/>
      <c r="C115" s="481" t="s">
        <v>2092</v>
      </c>
      <c r="D115" s="457" t="s">
        <v>2093</v>
      </c>
      <c r="E115" s="481">
        <v>0.1</v>
      </c>
      <c r="F115" s="481">
        <v>15</v>
      </c>
    </row>
    <row r="116" spans="1:6" ht="24">
      <c r="A116" s="481">
        <v>44</v>
      </c>
      <c r="B116" s="3518" t="s">
        <v>2094</v>
      </c>
      <c r="C116" s="481" t="s">
        <v>2095</v>
      </c>
      <c r="D116" s="457" t="s">
        <v>2096</v>
      </c>
      <c r="E116" s="481">
        <v>0.1</v>
      </c>
      <c r="F116" s="481">
        <v>15</v>
      </c>
    </row>
    <row r="117" spans="1:6" ht="24">
      <c r="A117" s="481">
        <v>45</v>
      </c>
      <c r="B117" s="3519"/>
      <c r="C117" s="457" t="s">
        <v>2097</v>
      </c>
      <c r="D117" s="457" t="s">
        <v>2098</v>
      </c>
      <c r="E117" s="481">
        <v>0.1</v>
      </c>
      <c r="F117" s="481">
        <v>15</v>
      </c>
    </row>
    <row r="118" spans="1:6" ht="24">
      <c r="A118" s="481">
        <v>46</v>
      </c>
      <c r="B118" s="3518" t="s">
        <v>2099</v>
      </c>
      <c r="C118" s="481" t="s">
        <v>2100</v>
      </c>
      <c r="D118" s="457" t="s">
        <v>2101</v>
      </c>
      <c r="E118" s="481">
        <v>0.1</v>
      </c>
      <c r="F118" s="481">
        <v>15</v>
      </c>
    </row>
    <row r="119" spans="1:6" ht="24">
      <c r="A119" s="481">
        <v>47</v>
      </c>
      <c r="B119" s="3519"/>
      <c r="C119" s="481" t="s">
        <v>2102</v>
      </c>
      <c r="D119" s="457" t="s">
        <v>2103</v>
      </c>
      <c r="E119" s="481">
        <v>0.1</v>
      </c>
      <c r="F119" s="481">
        <v>15</v>
      </c>
    </row>
    <row r="120" spans="1:6" ht="24">
      <c r="A120" s="481">
        <v>48</v>
      </c>
      <c r="B120" s="3518" t="s">
        <v>2104</v>
      </c>
      <c r="C120" s="481" t="s">
        <v>2105</v>
      </c>
      <c r="D120" s="457" t="s">
        <v>2106</v>
      </c>
      <c r="E120" s="481">
        <v>0.1</v>
      </c>
      <c r="F120" s="481">
        <v>15</v>
      </c>
    </row>
    <row r="121" spans="1:6" ht="24">
      <c r="A121" s="481">
        <v>49</v>
      </c>
      <c r="B121" s="3519"/>
      <c r="C121" s="481" t="s">
        <v>2107</v>
      </c>
      <c r="D121" s="457" t="s">
        <v>2108</v>
      </c>
      <c r="E121" s="481">
        <v>0.1</v>
      </c>
      <c r="F121" s="481">
        <v>15</v>
      </c>
    </row>
    <row r="122" spans="1:6" ht="24">
      <c r="A122" s="481">
        <v>50</v>
      </c>
      <c r="B122" s="3520" t="s">
        <v>2109</v>
      </c>
      <c r="C122" s="481" t="s">
        <v>2110</v>
      </c>
      <c r="D122" s="457" t="s">
        <v>2111</v>
      </c>
      <c r="E122" s="481">
        <v>0.1</v>
      </c>
      <c r="F122" s="481">
        <v>15</v>
      </c>
    </row>
    <row r="123" spans="1:6" ht="24">
      <c r="A123" s="481">
        <v>51</v>
      </c>
      <c r="B123" s="3520"/>
      <c r="C123" s="481" t="s">
        <v>2112</v>
      </c>
      <c r="D123" s="457" t="s">
        <v>2113</v>
      </c>
      <c r="E123" s="481">
        <v>0.1</v>
      </c>
      <c r="F123" s="481">
        <v>15</v>
      </c>
    </row>
    <row r="124" spans="1:6" ht="24">
      <c r="A124" s="481">
        <v>52</v>
      </c>
      <c r="B124" s="3520" t="s">
        <v>2114</v>
      </c>
      <c r="C124" s="481" t="s">
        <v>2115</v>
      </c>
      <c r="D124" s="457" t="s">
        <v>2116</v>
      </c>
      <c r="E124" s="481">
        <v>0.1</v>
      </c>
      <c r="F124" s="481">
        <v>15</v>
      </c>
    </row>
    <row r="125" spans="1:6" ht="24">
      <c r="A125" s="481">
        <v>53</v>
      </c>
      <c r="B125" s="3520"/>
      <c r="C125" s="481" t="s">
        <v>2117</v>
      </c>
      <c r="D125" s="457" t="s">
        <v>2118</v>
      </c>
      <c r="E125" s="481">
        <v>0.1</v>
      </c>
      <c r="F125" s="481">
        <v>15</v>
      </c>
    </row>
    <row r="126" spans="1:6" ht="24">
      <c r="A126" s="481">
        <v>54</v>
      </c>
      <c r="B126" s="481" t="s">
        <v>2119</v>
      </c>
      <c r="C126" s="481" t="s">
        <v>2120</v>
      </c>
      <c r="D126" s="457" t="s">
        <v>2121</v>
      </c>
      <c r="E126" s="481">
        <v>0.1</v>
      </c>
      <c r="F126" s="481">
        <v>15</v>
      </c>
    </row>
    <row r="127" spans="1:6" ht="24">
      <c r="A127" s="481">
        <v>55</v>
      </c>
      <c r="B127" s="3520" t="s">
        <v>2122</v>
      </c>
      <c r="C127" s="481" t="s">
        <v>2123</v>
      </c>
      <c r="D127" s="457" t="s">
        <v>2124</v>
      </c>
      <c r="E127" s="481">
        <v>0.1</v>
      </c>
      <c r="F127" s="481">
        <v>15</v>
      </c>
    </row>
    <row r="128" spans="1:6" ht="24">
      <c r="A128" s="481">
        <v>56</v>
      </c>
      <c r="B128" s="3520"/>
      <c r="C128" s="481" t="s">
        <v>2125</v>
      </c>
      <c r="D128" s="457" t="s">
        <v>2126</v>
      </c>
      <c r="E128" s="481">
        <v>0.1</v>
      </c>
      <c r="F128" s="481">
        <v>15</v>
      </c>
    </row>
    <row r="129" spans="1:6" ht="24">
      <c r="A129" s="481">
        <v>57</v>
      </c>
      <c r="B129" s="3520"/>
      <c r="C129" s="481" t="s">
        <v>2127</v>
      </c>
      <c r="D129" s="457" t="s">
        <v>2128</v>
      </c>
      <c r="E129" s="481">
        <v>0.1</v>
      </c>
      <c r="F129" s="481">
        <v>15</v>
      </c>
    </row>
    <row r="130" spans="1:6" ht="24">
      <c r="A130" s="481">
        <v>58</v>
      </c>
      <c r="B130" s="3520" t="s">
        <v>2129</v>
      </c>
      <c r="C130" s="481" t="s">
        <v>2130</v>
      </c>
      <c r="D130" s="457" t="s">
        <v>2131</v>
      </c>
      <c r="E130" s="481">
        <v>0.1</v>
      </c>
      <c r="F130" s="481">
        <v>15</v>
      </c>
    </row>
    <row r="131" spans="1:6" ht="24">
      <c r="A131" s="481">
        <v>59</v>
      </c>
      <c r="B131" s="3520"/>
      <c r="C131" s="481" t="s">
        <v>2132</v>
      </c>
      <c r="D131" s="457" t="s">
        <v>2133</v>
      </c>
      <c r="E131" s="481">
        <v>0.1</v>
      </c>
      <c r="F131" s="481">
        <v>15</v>
      </c>
    </row>
    <row r="132" spans="1:6" ht="24">
      <c r="A132" s="481">
        <v>60</v>
      </c>
      <c r="B132" s="3518" t="s">
        <v>2134</v>
      </c>
      <c r="C132" s="481" t="s">
        <v>2135</v>
      </c>
      <c r="D132" s="457" t="s">
        <v>2136</v>
      </c>
      <c r="E132" s="481">
        <v>0.1</v>
      </c>
      <c r="F132" s="481">
        <v>15</v>
      </c>
    </row>
    <row r="133" spans="1:6" ht="24">
      <c r="A133" s="481">
        <v>61</v>
      </c>
      <c r="B133" s="3519"/>
      <c r="C133" s="481" t="s">
        <v>2137</v>
      </c>
      <c r="D133" s="457" t="s">
        <v>2138</v>
      </c>
      <c r="E133" s="481">
        <v>0.1</v>
      </c>
      <c r="F133" s="481">
        <v>15</v>
      </c>
    </row>
    <row r="134" spans="1:6" ht="24">
      <c r="A134" s="481">
        <v>62</v>
      </c>
      <c r="B134" s="481" t="s">
        <v>2139</v>
      </c>
      <c r="C134" s="481" t="s">
        <v>2140</v>
      </c>
      <c r="D134" s="457" t="s">
        <v>2141</v>
      </c>
      <c r="E134" s="481">
        <v>0.1</v>
      </c>
      <c r="F134" s="481">
        <v>15</v>
      </c>
    </row>
    <row r="135" spans="1:6" ht="24">
      <c r="A135" s="481">
        <v>63</v>
      </c>
      <c r="B135" s="3520" t="s">
        <v>2142</v>
      </c>
      <c r="C135" s="481" t="s">
        <v>2143</v>
      </c>
      <c r="D135" s="457" t="s">
        <v>2144</v>
      </c>
      <c r="E135" s="481">
        <v>0.1</v>
      </c>
      <c r="F135" s="481">
        <v>15</v>
      </c>
    </row>
    <row r="136" spans="1:6" ht="24">
      <c r="A136" s="481">
        <v>64</v>
      </c>
      <c r="B136" s="3520"/>
      <c r="C136" s="481" t="s">
        <v>2145</v>
      </c>
      <c r="D136" s="457" t="s">
        <v>2146</v>
      </c>
      <c r="E136" s="481">
        <v>0.1</v>
      </c>
      <c r="F136" s="481">
        <v>15</v>
      </c>
    </row>
    <row r="137" spans="1:6" ht="24">
      <c r="A137" s="481">
        <v>65</v>
      </c>
      <c r="B137" s="481" t="s">
        <v>2147</v>
      </c>
      <c r="C137" s="481" t="s">
        <v>2148</v>
      </c>
      <c r="D137" s="457" t="s">
        <v>2149</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2150</v>
      </c>
      <c r="B1" s="424"/>
      <c r="C1" s="424"/>
      <c r="D1" s="424"/>
      <c r="E1" s="424"/>
      <c r="F1" s="424"/>
      <c r="G1" s="424"/>
      <c r="H1" s="424"/>
      <c r="I1" s="424"/>
      <c r="J1" s="424"/>
      <c r="K1" s="424"/>
      <c r="L1" s="424"/>
      <c r="M1" s="424"/>
      <c r="N1" s="431"/>
    </row>
    <row r="2" spans="1:20">
      <c r="A2" s="425" t="s">
        <v>2151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2152</v>
      </c>
      <c r="R2" s="435" t="s">
        <v>2153</v>
      </c>
      <c r="S2" s="435" t="s">
        <v>2154</v>
      </c>
      <c r="T2" s="435" t="s">
        <v>2155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2156</v>
      </c>
      <c r="B93" s="424"/>
      <c r="C93" s="424"/>
      <c r="D93" s="424"/>
      <c r="E93" s="424"/>
      <c r="F93" s="424"/>
      <c r="G93" s="424"/>
      <c r="H93" s="424"/>
      <c r="I93" s="424"/>
      <c r="J93" s="424"/>
      <c r="K93" s="424"/>
      <c r="L93" s="424"/>
      <c r="M93" s="424"/>
    </row>
    <row r="94" spans="1:20">
      <c r="A94" s="425" t="s">
        <v>2151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1.2302</v>
      </c>
      <c r="Q94" s="435" t="s">
        <v>2152</v>
      </c>
      <c r="R94" s="435" t="s">
        <v>2153</v>
      </c>
      <c r="S94" s="435" t="s">
        <v>2154</v>
      </c>
      <c r="T94" s="435" t="s">
        <v>2155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2157</v>
      </c>
      <c r="B185" s="424"/>
      <c r="C185" s="424"/>
      <c r="D185" s="424"/>
      <c r="E185" s="424"/>
      <c r="F185" s="424"/>
      <c r="G185" s="424"/>
      <c r="H185" s="424"/>
      <c r="I185" s="424"/>
      <c r="J185" s="424"/>
      <c r="K185" s="424"/>
      <c r="L185" s="424"/>
      <c r="M185" s="424"/>
    </row>
    <row r="186" spans="1:20">
      <c r="A186" s="425" t="s">
        <v>2151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2152</v>
      </c>
      <c r="R186" s="435" t="s">
        <v>2153</v>
      </c>
      <c r="S186" s="435" t="s">
        <v>2154</v>
      </c>
      <c r="T186" s="435" t="s">
        <v>2155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2158</v>
      </c>
      <c r="B277" s="424"/>
      <c r="C277" s="424"/>
      <c r="D277" s="424"/>
      <c r="E277" s="424"/>
      <c r="F277" s="424"/>
      <c r="G277" s="424"/>
      <c r="H277" s="424"/>
      <c r="I277" s="424"/>
      <c r="J277" s="424"/>
      <c r="K277" s="424"/>
      <c r="L277" s="424"/>
      <c r="M277" s="424"/>
    </row>
    <row r="278" spans="1:21">
      <c r="A278" s="425" t="s">
        <v>2151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2152</v>
      </c>
      <c r="R278" s="435" t="s">
        <v>2153</v>
      </c>
      <c r="S278" s="435" t="s">
        <v>2159</v>
      </c>
      <c r="T278" s="435" t="s">
        <v>2160</v>
      </c>
      <c r="U278" s="435" t="s">
        <v>2155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2161</v>
      </c>
      <c r="B369" s="439"/>
      <c r="C369" s="439"/>
      <c r="D369" s="439"/>
      <c r="E369" s="439"/>
      <c r="F369" s="439"/>
      <c r="G369" s="439"/>
      <c r="H369" s="439"/>
      <c r="I369" s="439"/>
      <c r="J369" s="439"/>
      <c r="K369" s="439"/>
      <c r="L369" s="439"/>
      <c r="M369" s="439"/>
    </row>
    <row r="370" spans="1:20">
      <c r="A370" s="425" t="s">
        <v>2151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1.1198999999999999</v>
      </c>
      <c r="Q370" s="435" t="s">
        <v>2152</v>
      </c>
      <c r="R370" s="435" t="s">
        <v>2153</v>
      </c>
      <c r="S370" s="435" t="s">
        <v>2154</v>
      </c>
      <c r="T370" s="435" t="s">
        <v>2155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2162</v>
      </c>
      <c r="B1" s="342"/>
      <c r="C1" s="343"/>
      <c r="D1" s="343"/>
      <c r="E1" s="343"/>
      <c r="F1" s="343"/>
      <c r="G1" s="344"/>
    </row>
    <row r="2" spans="1:7" s="333" customFormat="1" ht="18" customHeight="1">
      <c r="A2" s="345" t="s">
        <v>2163</v>
      </c>
      <c r="B2" s="346">
        <f ca="1">C52</f>
        <v>32849</v>
      </c>
      <c r="C2" s="347" t="s">
        <v>1446</v>
      </c>
      <c r="D2" s="344"/>
      <c r="E2" s="344"/>
      <c r="F2" s="344"/>
      <c r="G2" s="344"/>
    </row>
    <row r="3" spans="1:7" s="333" customFormat="1" ht="18" customHeight="1">
      <c r="A3" s="348" t="s">
        <v>2164</v>
      </c>
      <c r="B3" s="349">
        <f ca="1">ROUND(B2*10000/'数据-汇总表'!E3,0)</f>
        <v>11952</v>
      </c>
      <c r="C3" s="347" t="s">
        <v>1647</v>
      </c>
      <c r="D3" s="344"/>
      <c r="E3" s="344"/>
      <c r="F3" s="344"/>
      <c r="G3" s="344"/>
    </row>
    <row r="4" spans="1:7" s="334" customFormat="1" ht="16.2">
      <c r="A4" s="350" t="s">
        <v>2165</v>
      </c>
      <c r="B4" s="351"/>
      <c r="C4" s="351"/>
      <c r="D4" s="351"/>
      <c r="E4" s="351"/>
      <c r="F4" s="351"/>
      <c r="G4" s="352"/>
    </row>
    <row r="5" spans="1:7" s="335" customFormat="1" ht="13.5" customHeight="1">
      <c r="A5" s="353" t="s">
        <v>1002</v>
      </c>
      <c r="B5" s="354" t="s">
        <v>2166</v>
      </c>
      <c r="C5" s="355">
        <f>C6+C7+C8</f>
        <v>20610</v>
      </c>
      <c r="D5" s="355" t="s">
        <v>2167</v>
      </c>
      <c r="E5" s="356" t="s">
        <v>2168</v>
      </c>
      <c r="F5" s="356" t="s">
        <v>2169</v>
      </c>
      <c r="G5" s="357"/>
    </row>
    <row r="6" spans="1:7" s="335" customFormat="1" ht="13.5" customHeight="1">
      <c r="A6" s="358" t="s">
        <v>1006</v>
      </c>
      <c r="B6" s="359" t="s">
        <v>2170</v>
      </c>
      <c r="C6" s="360">
        <v>20000</v>
      </c>
      <c r="D6" s="361"/>
      <c r="E6" s="362"/>
      <c r="F6" s="362"/>
      <c r="G6" s="363"/>
    </row>
    <row r="7" spans="1:7" s="335" customFormat="1" ht="13.5" customHeight="1">
      <c r="A7" s="358" t="s">
        <v>1008</v>
      </c>
      <c r="B7" s="359" t="s">
        <v>2171</v>
      </c>
      <c r="C7" s="364">
        <f>ROUND(C6*F7,0)</f>
        <v>610</v>
      </c>
      <c r="D7" s="364"/>
      <c r="E7" s="362"/>
      <c r="F7" s="365">
        <f>'数据-取费表'!B48+'数据-取费表'!B49</f>
        <v>3.0499999999999999E-2</v>
      </c>
      <c r="G7" s="363"/>
    </row>
    <row r="8" spans="1:7" s="336" customFormat="1">
      <c r="A8" s="358" t="s">
        <v>1010</v>
      </c>
      <c r="B8" s="359" t="s">
        <v>2172</v>
      </c>
      <c r="C8" s="364" t="str">
        <f>IF(G8="已包含在土地购买价格中","0",'数据-取费表'!B29)</f>
        <v>0</v>
      </c>
      <c r="D8" s="366"/>
      <c r="E8" s="364"/>
      <c r="F8" s="365"/>
      <c r="G8" s="367" t="s">
        <v>2173</v>
      </c>
    </row>
    <row r="9" spans="1:7" s="335" customFormat="1" ht="13.5" customHeight="1">
      <c r="A9" s="368" t="s">
        <v>1012</v>
      </c>
      <c r="B9" s="369" t="s">
        <v>2174</v>
      </c>
      <c r="C9" s="370">
        <f>ROUND(D9*E9/10000,0)</f>
        <v>0</v>
      </c>
      <c r="D9" s="371">
        <f>'数据-汇总表'!E5</f>
        <v>0</v>
      </c>
      <c r="E9" s="370">
        <f>'数据-取费表'!B27</f>
        <v>0</v>
      </c>
      <c r="F9" s="365"/>
      <c r="G9" s="372"/>
    </row>
    <row r="10" spans="1:7" s="335" customFormat="1" ht="13.5" customHeight="1">
      <c r="A10" s="368" t="s">
        <v>1015</v>
      </c>
      <c r="B10" s="369" t="s">
        <v>2175</v>
      </c>
      <c r="C10" s="370">
        <f>ROUND(D10*E10/10000,0)</f>
        <v>220</v>
      </c>
      <c r="D10" s="371">
        <f>'数据-汇总表'!E6</f>
        <v>27483.820000000003</v>
      </c>
      <c r="E10" s="370">
        <f>'数据-取费表'!B28</f>
        <v>80</v>
      </c>
      <c r="F10" s="365"/>
      <c r="G10" s="372"/>
    </row>
    <row r="11" spans="1:7" s="335" customFormat="1" ht="13.5" hidden="1" customHeight="1">
      <c r="A11" s="373" t="s">
        <v>1017</v>
      </c>
      <c r="B11" s="359" t="s">
        <v>2176</v>
      </c>
      <c r="C11" s="355"/>
      <c r="D11" s="362"/>
      <c r="E11" s="362"/>
      <c r="F11" s="362"/>
      <c r="G11" s="363"/>
    </row>
    <row r="12" spans="1:7" s="335" customFormat="1" ht="13.5" hidden="1" customHeight="1">
      <c r="A12" s="373" t="s">
        <v>1019</v>
      </c>
      <c r="B12" s="359" t="s">
        <v>2177</v>
      </c>
      <c r="C12" s="355">
        <v>0</v>
      </c>
      <c r="D12" s="362"/>
      <c r="E12" s="374"/>
      <c r="F12" s="365">
        <v>3.0499999999999999E-2</v>
      </c>
      <c r="G12" s="363"/>
    </row>
    <row r="13" spans="1:7" s="335" customFormat="1" ht="13.5" hidden="1" customHeight="1">
      <c r="A13" s="373" t="s">
        <v>1020</v>
      </c>
      <c r="B13" s="359" t="s">
        <v>2178</v>
      </c>
      <c r="C13" s="355"/>
      <c r="D13" s="362"/>
      <c r="E13" s="362"/>
      <c r="F13" s="362"/>
      <c r="G13" s="363"/>
    </row>
    <row r="14" spans="1:7" s="335" customFormat="1" ht="13.5" hidden="1" customHeight="1">
      <c r="A14" s="373" t="s">
        <v>1022</v>
      </c>
      <c r="B14" s="359" t="s">
        <v>2172</v>
      </c>
      <c r="C14" s="355"/>
      <c r="D14" s="362"/>
      <c r="E14" s="362"/>
      <c r="F14" s="362"/>
      <c r="G14" s="363" t="s">
        <v>2179</v>
      </c>
    </row>
    <row r="15" spans="1:7" s="335" customFormat="1" ht="13.5" hidden="1" customHeight="1">
      <c r="A15" s="373" t="s">
        <v>1024</v>
      </c>
      <c r="B15" s="359" t="s">
        <v>2180</v>
      </c>
      <c r="C15" s="364"/>
      <c r="D15" s="362"/>
      <c r="E15" s="362"/>
      <c r="F15" s="362"/>
      <c r="G15" s="363" t="s">
        <v>2181</v>
      </c>
    </row>
    <row r="16" spans="1:7" s="335" customFormat="1" ht="13.5" hidden="1" customHeight="1">
      <c r="A16" s="373" t="s">
        <v>1027</v>
      </c>
      <c r="B16" s="359" t="s">
        <v>2172</v>
      </c>
      <c r="C16" s="364"/>
      <c r="D16" s="362"/>
      <c r="E16" s="362"/>
      <c r="F16" s="362"/>
      <c r="G16" s="363"/>
    </row>
    <row r="17" spans="1:7" s="335" customFormat="1" ht="13.5" hidden="1" customHeight="1">
      <c r="A17" s="373" t="s">
        <v>1028</v>
      </c>
      <c r="B17" s="359" t="s">
        <v>2182</v>
      </c>
      <c r="C17" s="375"/>
      <c r="D17" s="375"/>
      <c r="E17" s="375"/>
      <c r="F17" s="375"/>
      <c r="G17" s="363" t="s">
        <v>2181</v>
      </c>
    </row>
    <row r="18" spans="1:7" s="335" customFormat="1" ht="13.5" hidden="1" customHeight="1">
      <c r="A18" s="373" t="s">
        <v>1030</v>
      </c>
      <c r="B18" s="359" t="s">
        <v>2183</v>
      </c>
      <c r="C18" s="364">
        <v>0</v>
      </c>
      <c r="D18" s="362"/>
      <c r="E18" s="362"/>
      <c r="F18" s="365">
        <v>3.0499999999999999E-2</v>
      </c>
      <c r="G18" s="363" t="s">
        <v>2184</v>
      </c>
    </row>
    <row r="19" spans="1:7" s="336" customFormat="1" ht="13.5" customHeight="1">
      <c r="A19" s="376" t="s">
        <v>1741</v>
      </c>
      <c r="B19" s="354" t="s">
        <v>2185</v>
      </c>
      <c r="C19" s="355">
        <f>IF(G19="已包含在土地取得成本中","0",ROUND(D19*E19/10000,0))</f>
        <v>550</v>
      </c>
      <c r="D19" s="356">
        <f>'数据-汇总表'!E3</f>
        <v>27483.820000000003</v>
      </c>
      <c r="E19" s="355">
        <f>'数据-取费表'!B31</f>
        <v>200</v>
      </c>
      <c r="F19" s="377"/>
      <c r="G19" s="367" t="s">
        <v>2186</v>
      </c>
    </row>
    <row r="20" spans="1:7" s="335" customFormat="1" ht="13.5" customHeight="1">
      <c r="A20" s="376" t="s">
        <v>1777</v>
      </c>
      <c r="B20" s="354" t="s">
        <v>2187</v>
      </c>
      <c r="C20" s="378">
        <f>ROUND((C5+C19)*F20,0)</f>
        <v>423</v>
      </c>
      <c r="D20" s="378"/>
      <c r="E20" s="378"/>
      <c r="F20" s="379">
        <f>'数据-取费表'!B37</f>
        <v>0.02</v>
      </c>
      <c r="G20" s="380" t="s">
        <v>2188</v>
      </c>
    </row>
    <row r="21" spans="1:7" s="335" customFormat="1" ht="13.5" customHeight="1">
      <c r="A21" s="376" t="s">
        <v>1782</v>
      </c>
      <c r="B21" s="354" t="s">
        <v>2189</v>
      </c>
      <c r="C21" s="381">
        <f>F21</f>
        <v>0.02</v>
      </c>
      <c r="D21" s="382" t="s">
        <v>2190</v>
      </c>
      <c r="E21" s="378"/>
      <c r="F21" s="379">
        <f>'数据-取费表'!B38</f>
        <v>0.02</v>
      </c>
      <c r="G21" s="383" t="s">
        <v>2191</v>
      </c>
    </row>
    <row r="22" spans="1:7" s="335" customFormat="1" ht="13.5" customHeight="1">
      <c r="A22" s="376" t="s">
        <v>1791</v>
      </c>
      <c r="B22" s="354" t="s">
        <v>2192</v>
      </c>
      <c r="C22" s="384">
        <f ca="1">ROUND(SUM(C23:C25),0)</f>
        <v>641</v>
      </c>
      <c r="D22" s="381">
        <f ca="1">C26</f>
        <v>2.9999999999999997E-4</v>
      </c>
      <c r="E22" s="382" t="s">
        <v>2190</v>
      </c>
      <c r="F22" s="385">
        <f ca="1">'数据-取费表'!B40</f>
        <v>0.03</v>
      </c>
      <c r="G22" s="380" t="str">
        <f>IF('数据-取费表'!B22&lt;=1,"单利计息","复利计息")</f>
        <v>单利计息</v>
      </c>
    </row>
    <row r="23" spans="1:7" s="335" customFormat="1" ht="13.5" customHeight="1">
      <c r="A23" s="386" t="s">
        <v>1006</v>
      </c>
      <c r="B23" s="359" t="s">
        <v>2193</v>
      </c>
      <c r="C23" s="387">
        <f ca="1">ROUND(IF('数据-取费表'!B22&lt;=1,C5*F22*'数据-取费表'!B23,C5*(POWER((1+F22),'数据-取费表'!B23)-1)),0)</f>
        <v>618</v>
      </c>
      <c r="D23" s="388"/>
      <c r="E23" s="388"/>
      <c r="F23" s="389"/>
      <c r="G23" s="390" t="s">
        <v>2194</v>
      </c>
    </row>
    <row r="24" spans="1:7" s="335" customFormat="1" ht="13.5" customHeight="1">
      <c r="A24" s="386" t="s">
        <v>1008</v>
      </c>
      <c r="B24" s="359" t="s">
        <v>2195</v>
      </c>
      <c r="C24" s="387">
        <f ca="1">ROUND(IF('数据-取费表'!B22&lt;=1,C19*F22*('数据-取费表'!B19/2+'数据-取费表'!B21),C19*(POWER((1+F22),('数据-取费表'!B19/2+'数据-取费表'!B21))-1)),0)</f>
        <v>17</v>
      </c>
      <c r="D24" s="388"/>
      <c r="E24" s="388"/>
      <c r="F24" s="389"/>
      <c r="G24" s="390" t="s">
        <v>2196</v>
      </c>
    </row>
    <row r="25" spans="1:7" s="335" customFormat="1" ht="24">
      <c r="A25" s="386" t="s">
        <v>1010</v>
      </c>
      <c r="B25" s="359" t="s">
        <v>2197</v>
      </c>
      <c r="C25" s="387">
        <f ca="1">ROUND(IF('数据-取费表'!B22&lt;=1,C20*F22*'数据-取费表'!B23/2,C20*(POWER((1+F22),'数据-取费表'!B23/2)-1)),0)</f>
        <v>6</v>
      </c>
      <c r="D25" s="388"/>
      <c r="E25" s="391"/>
      <c r="F25" s="389"/>
      <c r="G25" s="392" t="s">
        <v>2198</v>
      </c>
    </row>
    <row r="26" spans="1:7" s="335" customFormat="1">
      <c r="A26" s="386" t="s">
        <v>1050</v>
      </c>
      <c r="B26" s="359" t="s">
        <v>2199</v>
      </c>
      <c r="C26" s="388">
        <f ca="1">ROUND(IF('数据-取费表'!B22&lt;=1,F21*F22*'数据-取费表'!B23/2,F21*(POWER((1+F22),'数据-取费表'!B23/2)-1)),4)</f>
        <v>2.9999999999999997E-4</v>
      </c>
      <c r="D26" s="388"/>
      <c r="E26" s="391"/>
      <c r="F26" s="389"/>
      <c r="G26" s="393"/>
    </row>
    <row r="27" spans="1:7" s="335" customFormat="1" ht="26.4">
      <c r="A27" s="376" t="s">
        <v>1800</v>
      </c>
      <c r="B27" s="394" t="s">
        <v>2200</v>
      </c>
      <c r="C27" s="395">
        <f>C28</f>
        <v>1079</v>
      </c>
      <c r="D27" s="381">
        <f>C29</f>
        <v>1E-3</v>
      </c>
      <c r="E27" s="382" t="s">
        <v>2190</v>
      </c>
      <c r="F27" s="396">
        <f>'数据-取费表'!Q16</f>
        <v>0.05</v>
      </c>
      <c r="G27" s="397" t="s">
        <v>2201</v>
      </c>
    </row>
    <row r="28" spans="1:7" s="335" customFormat="1" ht="13.5" customHeight="1">
      <c r="A28" s="386" t="s">
        <v>1006</v>
      </c>
      <c r="B28" s="398" t="s">
        <v>2202</v>
      </c>
      <c r="C28" s="399">
        <f>ROUND((C5+C19+C20)*F27*'数据-取费表'!B21/'数据-取费表'!B20,0)</f>
        <v>1079</v>
      </c>
      <c r="D28" s="381"/>
      <c r="E28" s="382"/>
      <c r="F28" s="396"/>
      <c r="G28" s="397"/>
    </row>
    <row r="29" spans="1:7" s="335" customFormat="1" ht="13.5" customHeight="1">
      <c r="A29" s="386" t="s">
        <v>1008</v>
      </c>
      <c r="B29" s="398" t="s">
        <v>2203</v>
      </c>
      <c r="C29" s="388">
        <f>ROUND(C21*F27*'数据-取费表'!B21/'数据-取费表'!B20,4)</f>
        <v>1E-3</v>
      </c>
      <c r="D29" s="381"/>
      <c r="E29" s="382"/>
      <c r="F29" s="396"/>
      <c r="G29" s="397"/>
    </row>
    <row r="30" spans="1:7" s="335" customFormat="1" ht="13.5" customHeight="1">
      <c r="A30" s="376" t="s">
        <v>2204</v>
      </c>
      <c r="B30" s="354" t="s">
        <v>2205</v>
      </c>
      <c r="C30" s="381">
        <f>F30</f>
        <v>5.5000000000000007E-2</v>
      </c>
      <c r="D30" s="382" t="s">
        <v>2206</v>
      </c>
      <c r="E30" s="391"/>
      <c r="F30" s="385">
        <f>'数据-取费表'!B41</f>
        <v>5.5000000000000007E-2</v>
      </c>
      <c r="G30" s="383" t="s">
        <v>2207</v>
      </c>
    </row>
    <row r="31" spans="1:7" ht="16.5" customHeight="1">
      <c r="A31" s="400">
        <v>1</v>
      </c>
      <c r="B31" s="354" t="s">
        <v>2208</v>
      </c>
      <c r="C31" s="355">
        <f ca="1">ROUND((C5+C19+C20+C22+C27)/(1-C21-D22-D27-C30/(1+'数据-取费表'!B42)),0)</f>
        <v>25157</v>
      </c>
      <c r="D31" s="401"/>
      <c r="E31" s="355"/>
      <c r="F31" s="402"/>
      <c r="G31" s="383" t="s">
        <v>2209</v>
      </c>
    </row>
    <row r="32" spans="1:7" s="334" customFormat="1" ht="16.2">
      <c r="A32" s="403" t="s">
        <v>2210</v>
      </c>
      <c r="B32" s="404"/>
      <c r="C32" s="404"/>
      <c r="D32" s="404"/>
      <c r="E32" s="404"/>
      <c r="F32" s="404"/>
      <c r="G32" s="405"/>
    </row>
    <row r="33" spans="1:7" s="335" customFormat="1" ht="13.5" customHeight="1">
      <c r="A33" s="353" t="s">
        <v>1002</v>
      </c>
      <c r="B33" s="354" t="s">
        <v>2211</v>
      </c>
      <c r="C33" s="406">
        <f>SUM(C34:C38)</f>
        <v>7902</v>
      </c>
      <c r="D33" s="378"/>
      <c r="E33" s="356"/>
      <c r="F33" s="391"/>
      <c r="G33" s="383"/>
    </row>
    <row r="34" spans="1:7" s="337" customFormat="1" ht="13.5" customHeight="1">
      <c r="A34" s="386" t="s">
        <v>1006</v>
      </c>
      <c r="B34" s="359" t="s">
        <v>2212</v>
      </c>
      <c r="C34" s="364">
        <f>IF(F34=100%,'数据-取费表'!M16-SUMIF('数据-取费表'!C:C,"公共配套",'数据-取费表'!M:M),'数据-取费表'!O16-SUMIF('数据-取费表'!C:C,"公共配套",'数据-取费表'!O:O))</f>
        <v>6871</v>
      </c>
      <c r="D34" s="361"/>
      <c r="E34" s="364"/>
      <c r="F34" s="407">
        <f>IF('数据-取费表'!B24=0,1,'数据-取费表'!N16)</f>
        <v>1</v>
      </c>
      <c r="G34" s="363" t="s">
        <v>2213</v>
      </c>
    </row>
    <row r="35" spans="1:7" ht="13.5" customHeight="1">
      <c r="A35" s="386" t="s">
        <v>1008</v>
      </c>
      <c r="B35" s="359" t="s">
        <v>2214</v>
      </c>
      <c r="C35" s="364">
        <f>ROUND(C34*F35,0)</f>
        <v>344</v>
      </c>
      <c r="D35" s="364"/>
      <c r="E35" s="364"/>
      <c r="F35" s="408">
        <f>'数据-取费表'!B33</f>
        <v>0.05</v>
      </c>
      <c r="G35" s="363" t="s">
        <v>2215</v>
      </c>
    </row>
    <row r="36" spans="1:7" ht="24">
      <c r="A36" s="386" t="s">
        <v>1010</v>
      </c>
      <c r="B36" s="359" t="s">
        <v>2216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2217</v>
      </c>
    </row>
    <row r="37" spans="1:7" s="337" customFormat="1" ht="13.5" customHeight="1">
      <c r="A37" s="386" t="s">
        <v>1050</v>
      </c>
      <c r="B37" s="359" t="s">
        <v>2218</v>
      </c>
      <c r="C37" s="399">
        <f>ROUND(E37*D37*F34/10000,0)</f>
        <v>550</v>
      </c>
      <c r="D37" s="361">
        <f>'数据-汇总表'!E3</f>
        <v>27483.820000000003</v>
      </c>
      <c r="E37" s="399">
        <f>'数据-取费表'!B35</f>
        <v>200</v>
      </c>
      <c r="F37" s="408"/>
      <c r="G37" s="410" t="s">
        <v>2219</v>
      </c>
    </row>
    <row r="38" spans="1:7" ht="13.5" customHeight="1">
      <c r="A38" s="386" t="s">
        <v>1072</v>
      </c>
      <c r="B38" s="359" t="s">
        <v>2177</v>
      </c>
      <c r="C38" s="364">
        <f>ROUND(C34*F38,0)</f>
        <v>137</v>
      </c>
      <c r="D38" s="364"/>
      <c r="E38" s="364"/>
      <c r="F38" s="408">
        <f>'数据-取费表'!B36</f>
        <v>0.02</v>
      </c>
      <c r="G38" s="363" t="s">
        <v>2215</v>
      </c>
    </row>
    <row r="39" spans="1:7" s="335" customFormat="1" ht="13.5" customHeight="1">
      <c r="A39" s="376" t="s">
        <v>1741</v>
      </c>
      <c r="B39" s="354" t="s">
        <v>2187</v>
      </c>
      <c r="C39" s="378">
        <f>ROUND(C33*F20,0)</f>
        <v>158</v>
      </c>
      <c r="D39" s="378"/>
      <c r="E39" s="378"/>
      <c r="F39" s="379"/>
      <c r="G39" s="380" t="s">
        <v>2220</v>
      </c>
    </row>
    <row r="40" spans="1:7" s="335" customFormat="1" ht="13.5" customHeight="1">
      <c r="A40" s="376" t="s">
        <v>1777</v>
      </c>
      <c r="B40" s="354" t="s">
        <v>2189</v>
      </c>
      <c r="C40" s="411">
        <f>F21</f>
        <v>0.02</v>
      </c>
      <c r="D40" s="382" t="s">
        <v>2221</v>
      </c>
      <c r="E40" s="378"/>
      <c r="F40" s="379"/>
      <c r="G40" s="383" t="s">
        <v>2222</v>
      </c>
    </row>
    <row r="41" spans="1:7" s="335" customFormat="1" ht="13.5" customHeight="1">
      <c r="A41" s="376" t="s">
        <v>1782</v>
      </c>
      <c r="B41" s="354" t="s">
        <v>2192</v>
      </c>
      <c r="C41" s="378">
        <f ca="1">ROUND(SUM(C42:C43),0)</f>
        <v>121</v>
      </c>
      <c r="D41" s="381">
        <f ca="1">C44</f>
        <v>2.9999999999999997E-4</v>
      </c>
      <c r="E41" s="382" t="s">
        <v>2221</v>
      </c>
      <c r="F41" s="385"/>
      <c r="G41" s="380" t="str">
        <f>IF('数据-取费表'!B22&lt;=1,"单利计息","复利计息")</f>
        <v>单利计息</v>
      </c>
    </row>
    <row r="42" spans="1:7" ht="13.5" customHeight="1">
      <c r="A42" s="386" t="s">
        <v>1006</v>
      </c>
      <c r="B42" s="359" t="s">
        <v>2193</v>
      </c>
      <c r="C42" s="388">
        <f ca="1">ROUND(IF('数据-取费表'!B22&lt;=1,C33*F22*'数据-取费表'!B21/2,C33*(POWER((1+F22),'数据-取费表'!B21/2)-1)),0)</f>
        <v>119</v>
      </c>
      <c r="D42" s="388"/>
      <c r="E42" s="388"/>
      <c r="F42" s="389"/>
      <c r="G42" s="3403" t="s">
        <v>2223</v>
      </c>
    </row>
    <row r="43" spans="1:7" ht="13.5" customHeight="1">
      <c r="A43" s="386" t="s">
        <v>1008</v>
      </c>
      <c r="B43" s="359" t="s">
        <v>2195</v>
      </c>
      <c r="C43" s="388">
        <f ca="1">ROUND(IF('数据-取费表'!B22&lt;=1,C39*F22*'数据-取费表'!B21/2,C39*(POWER((1+F22),'数据-取费表'!B21/2)-1)),0)</f>
        <v>2</v>
      </c>
      <c r="D43" s="388"/>
      <c r="E43" s="388"/>
      <c r="F43" s="389"/>
      <c r="G43" s="3404"/>
    </row>
    <row r="44" spans="1:7" ht="13.5" customHeight="1">
      <c r="A44" s="386" t="s">
        <v>1010</v>
      </c>
      <c r="B44" s="359" t="s">
        <v>2197</v>
      </c>
      <c r="C44" s="388">
        <f ca="1">ROUND(IF('数据-取费表'!B22&lt;=1,C40*F22*'数据-取费表'!B21/2,C40*(POWER((1+F22),'数据-取费表'!B21/2)-1)),4)</f>
        <v>2.9999999999999997E-4</v>
      </c>
      <c r="D44" s="388"/>
      <c r="E44" s="388"/>
      <c r="F44" s="389"/>
      <c r="G44" s="3405"/>
    </row>
    <row r="45" spans="1:7" s="335" customFormat="1" ht="13.5" customHeight="1">
      <c r="A45" s="376" t="s">
        <v>1791</v>
      </c>
      <c r="B45" s="394" t="s">
        <v>2200</v>
      </c>
      <c r="C45" s="395">
        <f>C46</f>
        <v>403</v>
      </c>
      <c r="D45" s="381">
        <f>C47</f>
        <v>1E-3</v>
      </c>
      <c r="E45" s="382" t="s">
        <v>2221</v>
      </c>
      <c r="F45" s="396"/>
      <c r="G45" s="397" t="s">
        <v>2224</v>
      </c>
    </row>
    <row r="46" spans="1:7" s="335" customFormat="1" ht="13.5" customHeight="1">
      <c r="A46" s="386" t="s">
        <v>1006</v>
      </c>
      <c r="B46" s="398" t="s">
        <v>2225</v>
      </c>
      <c r="C46" s="399">
        <f>ROUND((C33+C39)*F27,0)</f>
        <v>403</v>
      </c>
      <c r="D46" s="412"/>
      <c r="E46" s="382"/>
      <c r="F46" s="396"/>
      <c r="G46" s="397"/>
    </row>
    <row r="47" spans="1:7" s="335" customFormat="1" ht="13.5" customHeight="1">
      <c r="A47" s="386" t="s">
        <v>1008</v>
      </c>
      <c r="B47" s="398" t="s">
        <v>2226</v>
      </c>
      <c r="C47" s="388">
        <f>ROUND(C40*F27,4)</f>
        <v>1E-3</v>
      </c>
      <c r="D47" s="412"/>
      <c r="E47" s="382"/>
      <c r="F47" s="396"/>
      <c r="G47" s="397"/>
    </row>
    <row r="48" spans="1:7" s="335" customFormat="1" ht="13.5" customHeight="1">
      <c r="A48" s="376" t="s">
        <v>1800</v>
      </c>
      <c r="B48" s="354" t="s">
        <v>2205</v>
      </c>
      <c r="C48" s="411">
        <f>F30</f>
        <v>5.5000000000000007E-2</v>
      </c>
      <c r="D48" s="382" t="s">
        <v>2227</v>
      </c>
      <c r="E48" s="378"/>
      <c r="F48" s="385"/>
      <c r="G48" s="383" t="s">
        <v>2228</v>
      </c>
    </row>
    <row r="49" spans="1:7" ht="16.5" customHeight="1">
      <c r="A49" s="376" t="s">
        <v>2204</v>
      </c>
      <c r="B49" s="354" t="s">
        <v>2229</v>
      </c>
      <c r="C49" s="378">
        <f ca="1">ROUND((C33+C39+C41+C45)/(1-C40-D41-D45-C48/(1+'数据-取费表'!B42)),0)</f>
        <v>9267</v>
      </c>
      <c r="D49" s="378"/>
      <c r="E49" s="378"/>
      <c r="F49" s="413"/>
      <c r="G49" s="383" t="s">
        <v>2230</v>
      </c>
    </row>
    <row r="50" spans="1:7" s="337" customFormat="1" ht="24">
      <c r="A50" s="376" t="s">
        <v>2231</v>
      </c>
      <c r="B50" s="354" t="s">
        <v>2232</v>
      </c>
      <c r="C50" s="378"/>
      <c r="D50" s="378"/>
      <c r="E50" s="378"/>
      <c r="F50" s="413">
        <f>IF('数据-取费表'!B24=0,'数据-取费表'!N16,1)</f>
        <v>0.83</v>
      </c>
      <c r="G50" s="397" t="s">
        <v>2233</v>
      </c>
    </row>
    <row r="51" spans="1:7" ht="16.5" customHeight="1">
      <c r="A51" s="376" t="s">
        <v>2234</v>
      </c>
      <c r="B51" s="354" t="s">
        <v>2235</v>
      </c>
      <c r="C51" s="378">
        <f ca="1">ROUND(C49*F50,0)</f>
        <v>7692</v>
      </c>
      <c r="D51" s="378"/>
      <c r="E51" s="378"/>
      <c r="F51" s="413"/>
      <c r="G51" s="383" t="s">
        <v>2236</v>
      </c>
    </row>
    <row r="52" spans="1:7" s="334" customFormat="1" ht="16.2">
      <c r="A52" s="414" t="s">
        <v>2237</v>
      </c>
      <c r="B52" s="415"/>
      <c r="C52" s="416">
        <f ca="1">C31+C51</f>
        <v>32849</v>
      </c>
      <c r="D52" s="415"/>
      <c r="E52" s="415"/>
      <c r="F52" s="415"/>
      <c r="G52" s="417"/>
    </row>
    <row r="55" spans="1:7" ht="15">
      <c r="B55" s="418" t="s">
        <v>2238</v>
      </c>
      <c r="C55" s="419"/>
    </row>
    <row r="56" spans="1:7">
      <c r="B56" s="420" t="s">
        <v>2239</v>
      </c>
      <c r="C56" s="421">
        <f ca="1">ROUND(C51/C52,3)</f>
        <v>0.23400000000000001</v>
      </c>
    </row>
    <row r="57" spans="1:7">
      <c r="B57" s="420" t="s">
        <v>2240</v>
      </c>
      <c r="C57" s="422">
        <f ca="1">1-C56</f>
        <v>0.76600000000000001</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7.399999999999999">
      <c r="A3" s="3209" t="str">
        <f>IF(项目基本情况!B9="房地产市场价值","估价结果一览表（市场价值不需“结果表-1”）","估价结果一览表")</f>
        <v>估价结果一览表</v>
      </c>
      <c r="B3" s="3209"/>
      <c r="C3" s="3209"/>
      <c r="D3" s="3209"/>
      <c r="E3" s="3209"/>
    </row>
    <row r="4" spans="1:5" ht="17.399999999999999">
      <c r="A4" s="3128"/>
      <c r="B4" s="3210" t="s">
        <v>95</v>
      </c>
      <c r="C4" s="3210"/>
      <c r="D4" s="3210"/>
      <c r="E4" s="3128"/>
    </row>
    <row r="5" spans="1:5" ht="15.6">
      <c r="B5" s="3202" t="s">
        <v>96</v>
      </c>
      <c r="C5" s="3129" t="s">
        <v>97</v>
      </c>
      <c r="D5" s="3130">
        <f ca="1">结果表!H101</f>
        <v>15696</v>
      </c>
    </row>
    <row r="6" spans="1:5" ht="15.6">
      <c r="B6" s="3202"/>
      <c r="C6" s="3129" t="s">
        <v>98</v>
      </c>
      <c r="D6" s="3130" t="str">
        <f ca="1">NUMBERSTRING(INT(D5*10000),2)&amp;"元整"</f>
        <v>壹亿伍仟陆佰玖拾陆万元整</v>
      </c>
    </row>
    <row r="7" spans="1:5" ht="15.6">
      <c r="B7" s="3203"/>
      <c r="C7" s="3131" t="s">
        <v>99</v>
      </c>
      <c r="D7" s="3132">
        <f ca="1">结果表!H102</f>
        <v>5711</v>
      </c>
    </row>
    <row r="8" spans="1:5" ht="15.6">
      <c r="B8" s="3204" t="str">
        <f>结果表!E103</f>
        <v>2.估价师知悉的法定优先受偿款</v>
      </c>
      <c r="C8" s="3133" t="s">
        <v>100</v>
      </c>
      <c r="D8" s="3132">
        <f>结果表!H103</f>
        <v>0</v>
      </c>
    </row>
    <row r="9" spans="1:5" ht="15.6">
      <c r="B9" s="3206"/>
      <c r="C9" s="3129" t="s">
        <v>98</v>
      </c>
      <c r="D9" s="3130" t="str">
        <f>NUMBERSTRING(INT(D8*10000),2)&amp;"元整"</f>
        <v>零元整</v>
      </c>
    </row>
    <row r="10" spans="1:5" ht="15.6">
      <c r="B10" s="3134" t="s">
        <v>101</v>
      </c>
      <c r="C10" s="3135" t="s">
        <v>102</v>
      </c>
      <c r="D10" s="3136">
        <f>结果表!H104</f>
        <v>0</v>
      </c>
    </row>
    <row r="11" spans="1:5" ht="15.6">
      <c r="B11" s="3134" t="s">
        <v>103</v>
      </c>
      <c r="C11" s="3135" t="s">
        <v>102</v>
      </c>
      <c r="D11" s="3136">
        <f>结果表!H105</f>
        <v>0</v>
      </c>
    </row>
    <row r="12" spans="1:5" ht="15.6">
      <c r="B12" s="3134" t="s">
        <v>104</v>
      </c>
      <c r="C12" s="3135" t="s">
        <v>102</v>
      </c>
      <c r="D12" s="3136">
        <f>结果表!H106</f>
        <v>0</v>
      </c>
    </row>
    <row r="13" spans="1:5" ht="15.6">
      <c r="B13" s="3201" t="str">
        <f>结果表!E107</f>
        <v>3.房地产抵押价值</v>
      </c>
      <c r="C13" s="3137" t="s">
        <v>97</v>
      </c>
      <c r="D13" s="3138">
        <f ca="1">结果表!H107</f>
        <v>15696</v>
      </c>
    </row>
    <row r="14" spans="1:5" ht="15.6">
      <c r="B14" s="3202"/>
      <c r="C14" s="3129" t="s">
        <v>98</v>
      </c>
      <c r="D14" s="3130" t="str">
        <f ca="1">NUMBERSTRING(INT(D13*10000),2)&amp;"元整"</f>
        <v>壹亿伍仟陆佰玖拾陆万元整</v>
      </c>
    </row>
    <row r="15" spans="1:5" ht="15.6">
      <c r="B15" s="3203"/>
      <c r="C15" s="3131" t="s">
        <v>99</v>
      </c>
      <c r="D15" s="3139">
        <f ca="1">结果表!H108</f>
        <v>5711</v>
      </c>
    </row>
    <row r="16" spans="1:5" ht="15.6">
      <c r="B16" s="3204" t="str">
        <f>结果表!E109</f>
        <v>——</v>
      </c>
      <c r="C16" s="3137" t="s">
        <v>97</v>
      </c>
      <c r="D16" s="3140" t="str">
        <f>结果表!H109</f>
        <v>——</v>
      </c>
    </row>
    <row r="17" spans="1:5" ht="15.6">
      <c r="B17" s="3205"/>
      <c r="C17" s="3129" t="s">
        <v>98</v>
      </c>
      <c r="D17" s="3130" t="e">
        <f>NUMBERSTRING(INT(D16*10000),2)&amp;"元整"</f>
        <v>#VALUE!</v>
      </c>
    </row>
    <row r="18" spans="1:5" ht="15.6">
      <c r="B18" s="3206"/>
      <c r="C18" s="3131" t="s">
        <v>99</v>
      </c>
      <c r="D18" s="3139" t="str">
        <f>结果表!H110</f>
        <v>——</v>
      </c>
    </row>
    <row r="19" spans="1:5" ht="15.6">
      <c r="B19" s="3201" t="str">
        <f>结果表!E111</f>
        <v>——</v>
      </c>
      <c r="C19" s="3137" t="s">
        <v>97</v>
      </c>
      <c r="D19" s="3132" t="str">
        <f>结果表!H111</f>
        <v>——</v>
      </c>
    </row>
    <row r="20" spans="1:5" ht="15.6">
      <c r="B20" s="3202"/>
      <c r="C20" s="3129" t="s">
        <v>98</v>
      </c>
      <c r="D20" s="3130" t="e">
        <f>NUMBERSTRING(INT(D19*10000),2)&amp;"元整"</f>
        <v>#VALUE!</v>
      </c>
    </row>
    <row r="21" spans="1:5" ht="15.6">
      <c r="B21" s="3207"/>
      <c r="C21" s="3141" t="s">
        <v>99</v>
      </c>
      <c r="D21" s="3142" t="str">
        <f>结果表!H112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1" t="s">
        <v>2241</v>
      </c>
      <c r="B1" s="3521"/>
    </row>
    <row r="2" spans="1:7">
      <c r="A2" s="299"/>
      <c r="B2" s="299"/>
    </row>
    <row r="3" spans="1:7">
      <c r="A3" s="299"/>
      <c r="B3" s="299"/>
      <c r="C3" s="300" t="s">
        <v>1920</v>
      </c>
      <c r="D3" s="300" t="s">
        <v>562</v>
      </c>
      <c r="E3" s="300" t="s">
        <v>412</v>
      </c>
      <c r="F3" s="300" t="s">
        <v>408</v>
      </c>
      <c r="G3" s="300" t="s">
        <v>280</v>
      </c>
    </row>
    <row r="4" spans="1:7">
      <c r="A4" s="301" t="s">
        <v>2242</v>
      </c>
      <c r="B4" s="302" t="s">
        <v>2243</v>
      </c>
      <c r="C4" s="300"/>
      <c r="D4" s="300"/>
      <c r="E4" s="300"/>
      <c r="F4" s="300"/>
      <c r="G4" s="300"/>
    </row>
    <row r="5" spans="1:7">
      <c r="A5" s="303" t="s">
        <v>230</v>
      </c>
      <c r="B5" s="304" t="s">
        <v>2244</v>
      </c>
      <c r="C5" s="305">
        <v>9.8000000000000004E-2</v>
      </c>
      <c r="D5" s="305">
        <v>8.6999999999999994E-2</v>
      </c>
      <c r="E5" s="305">
        <v>8.6999999999999994E-2</v>
      </c>
      <c r="F5" s="305">
        <v>9.8000000000000004E-2</v>
      </c>
      <c r="G5" s="306">
        <v>9.5000000000000001E-2</v>
      </c>
    </row>
    <row r="6" spans="1:7">
      <c r="A6" s="307" t="s">
        <v>230</v>
      </c>
      <c r="B6" s="308" t="s">
        <v>2245</v>
      </c>
      <c r="C6" s="309">
        <v>9.8000000000000004E-2</v>
      </c>
      <c r="D6" s="309">
        <v>9.8000000000000004E-2</v>
      </c>
      <c r="E6" s="309">
        <v>9.8000000000000004E-2</v>
      </c>
      <c r="F6" s="309">
        <v>0.1</v>
      </c>
      <c r="G6" s="310">
        <v>9.9000000000000005E-2</v>
      </c>
    </row>
    <row r="7" spans="1:7">
      <c r="A7" s="307" t="s">
        <v>230</v>
      </c>
      <c r="B7" s="308" t="s">
        <v>2246</v>
      </c>
      <c r="C7" s="309">
        <v>9.7000000000000003E-2</v>
      </c>
      <c r="D7" s="309">
        <v>9.7000000000000003E-2</v>
      </c>
      <c r="E7" s="309">
        <v>9.6000000000000002E-2</v>
      </c>
      <c r="F7" s="309">
        <v>0.1</v>
      </c>
      <c r="G7" s="310">
        <v>9.8000000000000004E-2</v>
      </c>
    </row>
    <row r="8" spans="1:7">
      <c r="A8" s="307" t="s">
        <v>230</v>
      </c>
      <c r="B8" s="308" t="s">
        <v>2247</v>
      </c>
      <c r="C8" s="309">
        <v>8.1000000000000003E-2</v>
      </c>
      <c r="D8" s="309">
        <v>8.2000000000000003E-2</v>
      </c>
      <c r="E8" s="309">
        <v>7.0000000000000007E-2</v>
      </c>
      <c r="F8" s="309">
        <v>9.6000000000000002E-2</v>
      </c>
      <c r="G8" s="310">
        <v>8.8999999999999996E-2</v>
      </c>
    </row>
    <row r="9" spans="1:7">
      <c r="A9" s="311" t="s">
        <v>230</v>
      </c>
      <c r="B9" s="312" t="s">
        <v>2248</v>
      </c>
      <c r="C9" s="313">
        <v>0.1</v>
      </c>
      <c r="D9" s="313">
        <v>0.1</v>
      </c>
      <c r="E9" s="313">
        <v>0.1</v>
      </c>
      <c r="F9" s="314"/>
      <c r="G9" s="315">
        <v>0.1</v>
      </c>
    </row>
    <row r="10" spans="1:7">
      <c r="A10" s="303" t="s">
        <v>241</v>
      </c>
      <c r="B10" s="304" t="s">
        <v>2249</v>
      </c>
      <c r="C10" s="305">
        <v>6.7000000000000004E-2</v>
      </c>
      <c r="D10" s="305">
        <v>7.9000000000000001E-2</v>
      </c>
      <c r="E10" s="305">
        <v>7.9000000000000001E-2</v>
      </c>
      <c r="F10" s="305">
        <v>0.1</v>
      </c>
      <c r="G10" s="306">
        <v>9.0999999999999998E-2</v>
      </c>
    </row>
    <row r="11" spans="1:7">
      <c r="A11" s="307" t="s">
        <v>241</v>
      </c>
      <c r="B11" s="308" t="s">
        <v>2250</v>
      </c>
      <c r="C11" s="309">
        <v>0.05</v>
      </c>
      <c r="D11" s="309">
        <v>5.2999999999999999E-2</v>
      </c>
      <c r="E11" s="309">
        <v>6.3E-2</v>
      </c>
      <c r="F11" s="309">
        <v>0.1</v>
      </c>
      <c r="G11" s="310">
        <v>7.1999999999999995E-2</v>
      </c>
    </row>
    <row r="12" spans="1:7">
      <c r="A12" s="307" t="s">
        <v>241</v>
      </c>
      <c r="B12" s="308" t="s">
        <v>2251</v>
      </c>
      <c r="C12" s="309">
        <v>5.2999999999999999E-2</v>
      </c>
      <c r="D12" s="309">
        <v>0.09</v>
      </c>
      <c r="E12" s="309">
        <v>7.1999999999999995E-2</v>
      </c>
      <c r="F12" s="309">
        <v>0.1</v>
      </c>
      <c r="G12" s="310">
        <v>9.7000000000000003E-2</v>
      </c>
    </row>
    <row r="13" spans="1:7">
      <c r="A13" s="307" t="s">
        <v>241</v>
      </c>
      <c r="B13" s="308" t="s">
        <v>2252</v>
      </c>
      <c r="C13" s="309">
        <v>9.7000000000000003E-2</v>
      </c>
      <c r="D13" s="309">
        <v>9.1999999999999998E-2</v>
      </c>
      <c r="E13" s="309">
        <v>9.5000000000000001E-2</v>
      </c>
      <c r="F13" s="309">
        <v>0.1</v>
      </c>
      <c r="G13" s="310">
        <v>9.7000000000000003E-2</v>
      </c>
    </row>
    <row r="14" spans="1:7">
      <c r="A14" s="307" t="s">
        <v>241</v>
      </c>
      <c r="B14" s="308" t="s">
        <v>2253</v>
      </c>
      <c r="C14" s="309">
        <v>9.7000000000000003E-2</v>
      </c>
      <c r="D14" s="309">
        <v>9.7000000000000003E-2</v>
      </c>
      <c r="E14" s="309">
        <v>9.7000000000000003E-2</v>
      </c>
      <c r="F14" s="309">
        <v>0.1</v>
      </c>
      <c r="G14" s="310">
        <v>9.8000000000000004E-2</v>
      </c>
    </row>
    <row r="15" spans="1:7">
      <c r="A15" s="307" t="s">
        <v>241</v>
      </c>
      <c r="B15" s="308" t="s">
        <v>2254</v>
      </c>
      <c r="C15" s="309">
        <v>9.8000000000000004E-2</v>
      </c>
      <c r="D15" s="309">
        <v>9.0999999999999998E-2</v>
      </c>
      <c r="E15" s="309">
        <v>0.06</v>
      </c>
      <c r="F15" s="309">
        <v>0.1</v>
      </c>
      <c r="G15" s="310">
        <v>9.7000000000000003E-2</v>
      </c>
    </row>
    <row r="16" spans="1:7">
      <c r="A16" s="307" t="s">
        <v>241</v>
      </c>
      <c r="B16" s="308" t="s">
        <v>2255</v>
      </c>
      <c r="C16" s="309">
        <v>9.8000000000000004E-2</v>
      </c>
      <c r="D16" s="309">
        <v>9.7000000000000003E-2</v>
      </c>
      <c r="E16" s="309">
        <v>9.5000000000000001E-2</v>
      </c>
      <c r="F16" s="309">
        <v>0.1</v>
      </c>
      <c r="G16" s="310">
        <v>9.9000000000000005E-2</v>
      </c>
    </row>
    <row r="17" spans="1:7">
      <c r="A17" s="307" t="s">
        <v>241</v>
      </c>
      <c r="B17" s="308" t="s">
        <v>2256</v>
      </c>
      <c r="C17" s="309">
        <v>8.8999999999999996E-2</v>
      </c>
      <c r="D17" s="309">
        <v>9.1999999999999998E-2</v>
      </c>
      <c r="E17" s="309">
        <v>6.0999999999999999E-2</v>
      </c>
      <c r="F17" s="309">
        <v>0.1</v>
      </c>
      <c r="G17" s="310">
        <v>9.7000000000000003E-2</v>
      </c>
    </row>
    <row r="18" spans="1:7">
      <c r="A18" s="307" t="s">
        <v>241</v>
      </c>
      <c r="B18" s="308" t="s">
        <v>2257</v>
      </c>
      <c r="C18" s="309">
        <v>9.8000000000000004E-2</v>
      </c>
      <c r="D18" s="309">
        <v>9.8000000000000004E-2</v>
      </c>
      <c r="E18" s="309">
        <v>9.8000000000000004E-2</v>
      </c>
      <c r="F18" s="316"/>
      <c r="G18" s="310">
        <v>9.9000000000000005E-2</v>
      </c>
    </row>
    <row r="19" spans="1:7">
      <c r="A19" s="307" t="s">
        <v>241</v>
      </c>
      <c r="B19" s="308" t="s">
        <v>2258</v>
      </c>
      <c r="C19" s="309">
        <v>9.9000000000000005E-2</v>
      </c>
      <c r="D19" s="309">
        <v>7.3999999999999996E-2</v>
      </c>
      <c r="E19" s="309">
        <v>8.1000000000000003E-2</v>
      </c>
      <c r="F19" s="316"/>
      <c r="G19" s="310">
        <v>9.2999999999999999E-2</v>
      </c>
    </row>
    <row r="20" spans="1:7">
      <c r="A20" s="307" t="s">
        <v>241</v>
      </c>
      <c r="B20" s="308" t="s">
        <v>2259</v>
      </c>
      <c r="C20" s="309">
        <v>0.1</v>
      </c>
      <c r="D20" s="309">
        <v>8.8999999999999996E-2</v>
      </c>
      <c r="E20" s="309">
        <v>8.8999999999999996E-2</v>
      </c>
      <c r="F20" s="316"/>
      <c r="G20" s="310">
        <v>9.5000000000000001E-2</v>
      </c>
    </row>
    <row r="21" spans="1:7">
      <c r="A21" s="307" t="s">
        <v>241</v>
      </c>
      <c r="B21" s="308" t="s">
        <v>2260</v>
      </c>
      <c r="C21" s="309">
        <v>0.1</v>
      </c>
      <c r="D21" s="309">
        <v>9.0999999999999998E-2</v>
      </c>
      <c r="E21" s="309">
        <v>8.2000000000000003E-2</v>
      </c>
      <c r="F21" s="316"/>
      <c r="G21" s="310">
        <v>9.7000000000000003E-2</v>
      </c>
    </row>
    <row r="22" spans="1:7">
      <c r="A22" s="307" t="s">
        <v>241</v>
      </c>
      <c r="B22" s="308" t="s">
        <v>2261</v>
      </c>
      <c r="C22" s="309">
        <v>9.5000000000000001E-2</v>
      </c>
      <c r="D22" s="309">
        <v>9.9000000000000005E-2</v>
      </c>
      <c r="E22" s="309">
        <v>9.8000000000000004E-2</v>
      </c>
      <c r="F22" s="316"/>
      <c r="G22" s="310">
        <v>0.1</v>
      </c>
    </row>
    <row r="23" spans="1:7">
      <c r="A23" s="307" t="s">
        <v>241</v>
      </c>
      <c r="B23" s="308" t="s">
        <v>2262</v>
      </c>
      <c r="C23" s="309">
        <v>9.9000000000000005E-2</v>
      </c>
      <c r="D23" s="309">
        <v>0.1</v>
      </c>
      <c r="E23" s="309">
        <v>0.1</v>
      </c>
      <c r="F23" s="316"/>
      <c r="G23" s="310">
        <v>0.1</v>
      </c>
    </row>
    <row r="24" spans="1:7">
      <c r="A24" s="307" t="s">
        <v>241</v>
      </c>
      <c r="B24" s="308" t="s">
        <v>2263</v>
      </c>
      <c r="C24" s="309">
        <v>9.5000000000000001E-2</v>
      </c>
      <c r="D24" s="309">
        <v>0.1</v>
      </c>
      <c r="E24" s="309">
        <v>9.8000000000000004E-2</v>
      </c>
      <c r="F24" s="316"/>
      <c r="G24" s="310">
        <v>0.1</v>
      </c>
    </row>
    <row r="25" spans="1:7">
      <c r="A25" s="307" t="s">
        <v>241</v>
      </c>
      <c r="B25" s="308" t="s">
        <v>2264</v>
      </c>
      <c r="C25" s="309">
        <v>0.05</v>
      </c>
      <c r="D25" s="309">
        <v>9.6000000000000002E-2</v>
      </c>
      <c r="E25" s="309">
        <v>9.6000000000000002E-2</v>
      </c>
      <c r="F25" s="316"/>
      <c r="G25" s="310">
        <v>9.6000000000000002E-2</v>
      </c>
    </row>
    <row r="26" spans="1:7">
      <c r="A26" s="307" t="s">
        <v>241</v>
      </c>
      <c r="B26" s="308" t="s">
        <v>2265</v>
      </c>
      <c r="C26" s="309">
        <v>6.3E-2</v>
      </c>
      <c r="D26" s="309">
        <v>9.9000000000000005E-2</v>
      </c>
      <c r="E26" s="309">
        <v>9.8000000000000004E-2</v>
      </c>
      <c r="F26" s="316"/>
      <c r="G26" s="310">
        <v>0.1</v>
      </c>
    </row>
    <row r="27" spans="1:7">
      <c r="A27" s="307" t="s">
        <v>241</v>
      </c>
      <c r="B27" s="308" t="s">
        <v>2266</v>
      </c>
      <c r="C27" s="309">
        <v>5.1999999999999998E-2</v>
      </c>
      <c r="D27" s="309">
        <v>9.5000000000000001E-2</v>
      </c>
      <c r="E27" s="309">
        <v>6.4000000000000001E-2</v>
      </c>
      <c r="F27" s="316"/>
      <c r="G27" s="310">
        <v>9.7000000000000003E-2</v>
      </c>
    </row>
    <row r="28" spans="1:7">
      <c r="A28" s="307" t="s">
        <v>241</v>
      </c>
      <c r="B28" s="308" t="s">
        <v>2267</v>
      </c>
      <c r="C28" s="316"/>
      <c r="D28" s="309">
        <v>6.3E-2</v>
      </c>
      <c r="E28" s="309">
        <v>5.1999999999999998E-2</v>
      </c>
      <c r="F28" s="316"/>
      <c r="G28" s="310">
        <v>6.3E-2</v>
      </c>
    </row>
    <row r="29" spans="1:7">
      <c r="A29" s="311" t="s">
        <v>241</v>
      </c>
      <c r="B29" s="312" t="s">
        <v>2268</v>
      </c>
      <c r="C29" s="317"/>
      <c r="D29" s="313">
        <v>5.1999999999999998E-2</v>
      </c>
      <c r="E29" s="313">
        <v>7.0000000000000007E-2</v>
      </c>
      <c r="F29" s="317"/>
      <c r="G29" s="315">
        <v>7.0999999999999994E-2</v>
      </c>
    </row>
    <row r="30" spans="1:7">
      <c r="A30" s="318" t="s">
        <v>251</v>
      </c>
      <c r="B30" s="304" t="s">
        <v>2269</v>
      </c>
      <c r="C30" s="305">
        <v>6.6000000000000003E-2</v>
      </c>
      <c r="D30" s="305">
        <v>6.6000000000000003E-2</v>
      </c>
      <c r="E30" s="305">
        <v>5.7000000000000002E-2</v>
      </c>
      <c r="F30" s="305">
        <v>0.1</v>
      </c>
      <c r="G30" s="306">
        <v>6.8000000000000005E-2</v>
      </c>
    </row>
    <row r="31" spans="1:7">
      <c r="A31" s="319" t="s">
        <v>251</v>
      </c>
      <c r="B31" s="308" t="s">
        <v>2270</v>
      </c>
      <c r="C31" s="309">
        <v>5.5E-2</v>
      </c>
      <c r="D31" s="309">
        <v>8.2000000000000003E-2</v>
      </c>
      <c r="E31" s="309">
        <v>6.4000000000000001E-2</v>
      </c>
      <c r="F31" s="309">
        <v>0.1</v>
      </c>
      <c r="G31" s="310">
        <v>9.5000000000000001E-2</v>
      </c>
    </row>
    <row r="32" spans="1:7">
      <c r="A32" s="319" t="s">
        <v>251</v>
      </c>
      <c r="B32" s="308" t="s">
        <v>2271</v>
      </c>
      <c r="C32" s="309">
        <v>8.2000000000000003E-2</v>
      </c>
      <c r="D32" s="309">
        <v>8.6999999999999994E-2</v>
      </c>
      <c r="E32" s="309">
        <v>9.5000000000000001E-2</v>
      </c>
      <c r="F32" s="309">
        <v>0.1</v>
      </c>
      <c r="G32" s="310">
        <v>9.6000000000000002E-2</v>
      </c>
    </row>
    <row r="33" spans="1:7">
      <c r="A33" s="319" t="s">
        <v>251</v>
      </c>
      <c r="B33" s="308" t="s">
        <v>2272</v>
      </c>
      <c r="C33" s="309">
        <v>9.9000000000000005E-2</v>
      </c>
      <c r="D33" s="309">
        <v>9.1999999999999998E-2</v>
      </c>
      <c r="E33" s="309">
        <v>8.6999999999999994E-2</v>
      </c>
      <c r="F33" s="309">
        <v>0.1</v>
      </c>
      <c r="G33" s="310">
        <v>9.7000000000000003E-2</v>
      </c>
    </row>
    <row r="34" spans="1:7">
      <c r="A34" s="319" t="s">
        <v>251</v>
      </c>
      <c r="B34" s="308" t="s">
        <v>2273</v>
      </c>
      <c r="C34" s="309">
        <v>8.4000000000000005E-2</v>
      </c>
      <c r="D34" s="309">
        <v>9.7000000000000003E-2</v>
      </c>
      <c r="E34" s="309">
        <v>7.0999999999999994E-2</v>
      </c>
      <c r="F34" s="309">
        <v>0.1</v>
      </c>
      <c r="G34" s="310">
        <v>9.8000000000000004E-2</v>
      </c>
    </row>
    <row r="35" spans="1:7">
      <c r="A35" s="319" t="s">
        <v>251</v>
      </c>
      <c r="B35" s="308" t="s">
        <v>2274</v>
      </c>
      <c r="C35" s="309">
        <v>8.3000000000000004E-2</v>
      </c>
      <c r="D35" s="309">
        <v>9.7000000000000003E-2</v>
      </c>
      <c r="E35" s="309">
        <v>6.0999999999999999E-2</v>
      </c>
      <c r="F35" s="309">
        <v>0.1</v>
      </c>
      <c r="G35" s="310">
        <v>9.9000000000000005E-2</v>
      </c>
    </row>
    <row r="36" spans="1:7">
      <c r="A36" s="319" t="s">
        <v>251</v>
      </c>
      <c r="B36" s="308" t="s">
        <v>2275</v>
      </c>
      <c r="C36" s="309">
        <v>9.7000000000000003E-2</v>
      </c>
      <c r="D36" s="309">
        <v>9.7000000000000003E-2</v>
      </c>
      <c r="E36" s="309">
        <v>7.8E-2</v>
      </c>
      <c r="F36" s="309">
        <v>0.1</v>
      </c>
      <c r="G36" s="310">
        <v>9.9000000000000005E-2</v>
      </c>
    </row>
    <row r="37" spans="1:7">
      <c r="A37" s="319" t="s">
        <v>251</v>
      </c>
      <c r="B37" s="308" t="s">
        <v>2276</v>
      </c>
      <c r="C37" s="309">
        <v>9.7000000000000003E-2</v>
      </c>
      <c r="D37" s="309">
        <v>9.5000000000000001E-2</v>
      </c>
      <c r="E37" s="309">
        <v>7.8E-2</v>
      </c>
      <c r="F37" s="309">
        <v>0.1</v>
      </c>
      <c r="G37" s="310">
        <v>9.7000000000000003E-2</v>
      </c>
    </row>
    <row r="38" spans="1:7">
      <c r="A38" s="319" t="s">
        <v>251</v>
      </c>
      <c r="B38" s="308" t="s">
        <v>2277</v>
      </c>
      <c r="C38" s="309">
        <v>9.7000000000000003E-2</v>
      </c>
      <c r="D38" s="309">
        <v>7.6999999999999999E-2</v>
      </c>
      <c r="E38" s="309">
        <v>7.0000000000000007E-2</v>
      </c>
      <c r="F38" s="309">
        <v>0.1</v>
      </c>
      <c r="G38" s="310">
        <v>7.6999999999999999E-2</v>
      </c>
    </row>
    <row r="39" spans="1:7">
      <c r="A39" s="319" t="s">
        <v>251</v>
      </c>
      <c r="B39" s="308" t="s">
        <v>2278</v>
      </c>
      <c r="C39" s="309">
        <v>9.5000000000000001E-2</v>
      </c>
      <c r="D39" s="309">
        <v>7.6999999999999999E-2</v>
      </c>
      <c r="E39" s="309">
        <v>6.6000000000000003E-2</v>
      </c>
      <c r="F39" s="309">
        <v>0.1</v>
      </c>
      <c r="G39" s="310">
        <v>8.5999999999999993E-2</v>
      </c>
    </row>
    <row r="40" spans="1:7">
      <c r="A40" s="319" t="s">
        <v>251</v>
      </c>
      <c r="B40" s="308" t="s">
        <v>2279</v>
      </c>
      <c r="C40" s="309">
        <v>7.6999999999999999E-2</v>
      </c>
      <c r="D40" s="309">
        <v>7.8E-2</v>
      </c>
      <c r="E40" s="309">
        <v>8.2000000000000003E-2</v>
      </c>
      <c r="F40" s="320"/>
      <c r="G40" s="310">
        <v>7.8E-2</v>
      </c>
    </row>
    <row r="41" spans="1:7">
      <c r="A41" s="319" t="s">
        <v>251</v>
      </c>
      <c r="B41" s="308" t="s">
        <v>2280</v>
      </c>
      <c r="C41" s="309">
        <v>7.8E-2</v>
      </c>
      <c r="D41" s="309">
        <v>7.8E-2</v>
      </c>
      <c r="E41" s="309">
        <v>8.2000000000000003E-2</v>
      </c>
      <c r="F41" s="320"/>
      <c r="G41" s="310">
        <v>8.5999999999999993E-2</v>
      </c>
    </row>
    <row r="42" spans="1:7">
      <c r="A42" s="319" t="s">
        <v>251</v>
      </c>
      <c r="B42" s="308" t="s">
        <v>2281</v>
      </c>
      <c r="C42" s="309">
        <v>7.8E-2</v>
      </c>
      <c r="D42" s="309">
        <v>9.6000000000000002E-2</v>
      </c>
      <c r="E42" s="309">
        <v>7.1999999999999995E-2</v>
      </c>
      <c r="F42" s="320"/>
      <c r="G42" s="310">
        <v>9.8000000000000004E-2</v>
      </c>
    </row>
    <row r="43" spans="1:7">
      <c r="A43" s="319" t="s">
        <v>251</v>
      </c>
      <c r="B43" s="308" t="s">
        <v>2282</v>
      </c>
      <c r="C43" s="309">
        <v>7.8E-2</v>
      </c>
      <c r="D43" s="309">
        <v>9.9000000000000005E-2</v>
      </c>
      <c r="E43" s="309">
        <v>9.6000000000000002E-2</v>
      </c>
      <c r="F43" s="320"/>
      <c r="G43" s="310">
        <v>0.1</v>
      </c>
    </row>
    <row r="44" spans="1:7">
      <c r="A44" s="319" t="s">
        <v>251</v>
      </c>
      <c r="B44" s="308" t="s">
        <v>2283</v>
      </c>
      <c r="C44" s="309">
        <v>9.6000000000000002E-2</v>
      </c>
      <c r="D44" s="309">
        <v>0.1</v>
      </c>
      <c r="E44" s="309">
        <v>9.8000000000000004E-2</v>
      </c>
      <c r="F44" s="320"/>
      <c r="G44" s="310">
        <v>0.1</v>
      </c>
    </row>
    <row r="45" spans="1:7">
      <c r="A45" s="319" t="s">
        <v>251</v>
      </c>
      <c r="B45" s="308" t="s">
        <v>2284</v>
      </c>
      <c r="C45" s="309">
        <v>9.9000000000000005E-2</v>
      </c>
      <c r="D45" s="309">
        <v>9.8000000000000004E-2</v>
      </c>
      <c r="E45" s="309">
        <v>9.5000000000000001E-2</v>
      </c>
      <c r="F45" s="320"/>
      <c r="G45" s="310">
        <v>9.8000000000000004E-2</v>
      </c>
    </row>
    <row r="46" spans="1:7">
      <c r="A46" s="319" t="s">
        <v>251</v>
      </c>
      <c r="B46" s="308" t="s">
        <v>2285</v>
      </c>
      <c r="C46" s="309">
        <v>0.1</v>
      </c>
      <c r="D46" s="309">
        <v>9.9000000000000005E-2</v>
      </c>
      <c r="E46" s="309">
        <v>9.6000000000000002E-2</v>
      </c>
      <c r="F46" s="320"/>
      <c r="G46" s="310">
        <v>0.1</v>
      </c>
    </row>
    <row r="47" spans="1:7">
      <c r="A47" s="319" t="s">
        <v>251</v>
      </c>
      <c r="B47" s="308" t="s">
        <v>2286</v>
      </c>
      <c r="C47" s="309">
        <v>9.8000000000000004E-2</v>
      </c>
      <c r="D47" s="309">
        <v>8.6999999999999994E-2</v>
      </c>
      <c r="E47" s="309">
        <v>5.8999999999999997E-2</v>
      </c>
      <c r="F47" s="320"/>
      <c r="G47" s="310">
        <v>9.6000000000000002E-2</v>
      </c>
    </row>
    <row r="48" spans="1:7">
      <c r="A48" s="319" t="s">
        <v>251</v>
      </c>
      <c r="B48" s="308" t="s">
        <v>2287</v>
      </c>
      <c r="C48" s="309">
        <v>9.9000000000000005E-2</v>
      </c>
      <c r="D48" s="309">
        <v>9.8000000000000004E-2</v>
      </c>
      <c r="E48" s="309">
        <v>9.5000000000000001E-2</v>
      </c>
      <c r="F48" s="320"/>
      <c r="G48" s="310">
        <v>9.8000000000000004E-2</v>
      </c>
    </row>
    <row r="49" spans="1:7">
      <c r="A49" s="319" t="s">
        <v>251</v>
      </c>
      <c r="B49" s="308" t="s">
        <v>2288</v>
      </c>
      <c r="C49" s="309">
        <v>8.7999999999999995E-2</v>
      </c>
      <c r="D49" s="309">
        <v>9.9000000000000005E-2</v>
      </c>
      <c r="E49" s="309">
        <v>7.0000000000000007E-2</v>
      </c>
      <c r="F49" s="320"/>
      <c r="G49" s="310">
        <v>0.1</v>
      </c>
    </row>
    <row r="50" spans="1:7">
      <c r="A50" s="319" t="s">
        <v>251</v>
      </c>
      <c r="B50" s="308" t="s">
        <v>2289</v>
      </c>
      <c r="C50" s="309">
        <v>9.8000000000000004E-2</v>
      </c>
      <c r="D50" s="309">
        <v>7.2999999999999995E-2</v>
      </c>
      <c r="E50" s="309">
        <v>7.0999999999999994E-2</v>
      </c>
      <c r="F50" s="320"/>
      <c r="G50" s="310">
        <v>7.2999999999999995E-2</v>
      </c>
    </row>
    <row r="51" spans="1:7">
      <c r="A51" s="319" t="s">
        <v>251</v>
      </c>
      <c r="B51" s="308" t="s">
        <v>2290</v>
      </c>
      <c r="C51" s="309">
        <v>9.9000000000000005E-2</v>
      </c>
      <c r="D51" s="309">
        <v>8.5000000000000006E-2</v>
      </c>
      <c r="E51" s="309">
        <v>6.3E-2</v>
      </c>
      <c r="F51" s="320"/>
      <c r="G51" s="310">
        <v>9.6000000000000002E-2</v>
      </c>
    </row>
    <row r="52" spans="1:7">
      <c r="A52" s="319" t="s">
        <v>251</v>
      </c>
      <c r="B52" s="308" t="s">
        <v>2291</v>
      </c>
      <c r="C52" s="309">
        <v>7.3999999999999996E-2</v>
      </c>
      <c r="D52" s="309">
        <v>9.6000000000000002E-2</v>
      </c>
      <c r="E52" s="309">
        <v>0.05</v>
      </c>
      <c r="F52" s="320"/>
      <c r="G52" s="310">
        <v>9.8000000000000004E-2</v>
      </c>
    </row>
    <row r="53" spans="1:7">
      <c r="A53" s="319" t="s">
        <v>251</v>
      </c>
      <c r="B53" s="308" t="s">
        <v>2292</v>
      </c>
      <c r="C53" s="309">
        <v>8.5999999999999993E-2</v>
      </c>
      <c r="D53" s="320"/>
      <c r="E53" s="309">
        <v>9.1999999999999998E-2</v>
      </c>
      <c r="F53" s="320"/>
      <c r="G53" s="321"/>
    </row>
    <row r="54" spans="1:7">
      <c r="A54" s="322" t="s">
        <v>251</v>
      </c>
      <c r="B54" s="312" t="s">
        <v>2293</v>
      </c>
      <c r="C54" s="313">
        <v>9.6000000000000002E-2</v>
      </c>
      <c r="D54" s="314"/>
      <c r="E54" s="323"/>
      <c r="F54" s="314"/>
      <c r="G54" s="324"/>
    </row>
    <row r="55" spans="1:7">
      <c r="A55" s="318" t="s">
        <v>259</v>
      </c>
      <c r="B55" s="304" t="s">
        <v>2294</v>
      </c>
      <c r="C55" s="305">
        <v>9.6000000000000002E-2</v>
      </c>
      <c r="D55" s="305">
        <v>8.4000000000000005E-2</v>
      </c>
      <c r="E55" s="305">
        <v>9.1999999999999998E-2</v>
      </c>
      <c r="F55" s="305">
        <v>0.1</v>
      </c>
      <c r="G55" s="306">
        <v>9.5000000000000001E-2</v>
      </c>
    </row>
    <row r="56" spans="1:7">
      <c r="A56" s="319" t="s">
        <v>259</v>
      </c>
      <c r="B56" s="308" t="s">
        <v>2295</v>
      </c>
      <c r="C56" s="309">
        <v>8.4000000000000005E-2</v>
      </c>
      <c r="D56" s="309">
        <v>9.1999999999999998E-2</v>
      </c>
      <c r="E56" s="309">
        <v>9.5000000000000001E-2</v>
      </c>
      <c r="F56" s="309">
        <v>9.1999999999999998E-2</v>
      </c>
      <c r="G56" s="310">
        <v>9.6000000000000002E-2</v>
      </c>
    </row>
    <row r="57" spans="1:7">
      <c r="A57" s="319" t="s">
        <v>259</v>
      </c>
      <c r="B57" s="308" t="s">
        <v>2296</v>
      </c>
      <c r="C57" s="309">
        <v>9.9000000000000005E-2</v>
      </c>
      <c r="D57" s="309">
        <v>9.6000000000000002E-2</v>
      </c>
      <c r="E57" s="309">
        <v>9.1999999999999998E-2</v>
      </c>
      <c r="F57" s="309">
        <v>0.1</v>
      </c>
      <c r="G57" s="310">
        <v>9.8000000000000004E-2</v>
      </c>
    </row>
    <row r="58" spans="1:7">
      <c r="A58" s="319" t="s">
        <v>259</v>
      </c>
      <c r="B58" s="308" t="s">
        <v>2297</v>
      </c>
      <c r="C58" s="309">
        <v>9.8000000000000004E-2</v>
      </c>
      <c r="D58" s="309">
        <v>9.5000000000000001E-2</v>
      </c>
      <c r="E58" s="309">
        <v>5.7000000000000002E-2</v>
      </c>
      <c r="F58" s="309">
        <v>0.1</v>
      </c>
      <c r="G58" s="310">
        <v>9.6000000000000002E-2</v>
      </c>
    </row>
    <row r="59" spans="1:7">
      <c r="A59" s="319" t="s">
        <v>259</v>
      </c>
      <c r="B59" s="308" t="s">
        <v>2298</v>
      </c>
      <c r="C59" s="309">
        <v>9.5000000000000001E-2</v>
      </c>
      <c r="D59" s="309">
        <v>0.1</v>
      </c>
      <c r="E59" s="309">
        <v>7.4999999999999997E-2</v>
      </c>
      <c r="F59" s="309">
        <v>0.1</v>
      </c>
      <c r="G59" s="310">
        <v>0.1</v>
      </c>
    </row>
    <row r="60" spans="1:7">
      <c r="A60" s="319" t="s">
        <v>259</v>
      </c>
      <c r="B60" s="308" t="s">
        <v>2299</v>
      </c>
      <c r="C60" s="309">
        <v>0.1</v>
      </c>
      <c r="D60" s="309">
        <v>9.7000000000000003E-2</v>
      </c>
      <c r="E60" s="309">
        <v>0.1</v>
      </c>
      <c r="F60" s="309">
        <v>0.1</v>
      </c>
      <c r="G60" s="310">
        <v>9.7000000000000003E-2</v>
      </c>
    </row>
    <row r="61" spans="1:7">
      <c r="A61" s="319" t="s">
        <v>259</v>
      </c>
      <c r="B61" s="308" t="s">
        <v>2300</v>
      </c>
      <c r="C61" s="309">
        <v>9.7000000000000003E-2</v>
      </c>
      <c r="D61" s="309">
        <v>0.1</v>
      </c>
      <c r="E61" s="309">
        <v>9.2999999999999999E-2</v>
      </c>
      <c r="F61" s="309">
        <v>0.1</v>
      </c>
      <c r="G61" s="310">
        <v>0.1</v>
      </c>
    </row>
    <row r="62" spans="1:7">
      <c r="A62" s="319" t="s">
        <v>259</v>
      </c>
      <c r="B62" s="308" t="s">
        <v>2301</v>
      </c>
      <c r="C62" s="309">
        <v>0.1</v>
      </c>
      <c r="D62" s="309">
        <v>9.7000000000000003E-2</v>
      </c>
      <c r="E62" s="309">
        <v>8.8999999999999996E-2</v>
      </c>
      <c r="F62" s="309">
        <v>0.1</v>
      </c>
      <c r="G62" s="310">
        <v>9.8000000000000004E-2</v>
      </c>
    </row>
    <row r="63" spans="1:7">
      <c r="A63" s="319" t="s">
        <v>259</v>
      </c>
      <c r="B63" s="308" t="s">
        <v>2302</v>
      </c>
      <c r="C63" s="309">
        <v>9.7000000000000003E-2</v>
      </c>
      <c r="D63" s="309">
        <v>9.7000000000000003E-2</v>
      </c>
      <c r="E63" s="309">
        <v>9.9000000000000005E-2</v>
      </c>
      <c r="F63" s="309">
        <v>0.1</v>
      </c>
      <c r="G63" s="310">
        <v>9.7000000000000003E-2</v>
      </c>
    </row>
    <row r="64" spans="1:7">
      <c r="A64" s="319" t="s">
        <v>259</v>
      </c>
      <c r="B64" s="308" t="s">
        <v>2303</v>
      </c>
      <c r="C64" s="309">
        <v>9.7000000000000003E-2</v>
      </c>
      <c r="D64" s="309">
        <v>7.3999999999999996E-2</v>
      </c>
      <c r="E64" s="309">
        <v>7.8E-2</v>
      </c>
      <c r="F64" s="309">
        <v>0.1</v>
      </c>
      <c r="G64" s="310">
        <v>8.8999999999999996E-2</v>
      </c>
    </row>
    <row r="65" spans="1:7">
      <c r="A65" s="319" t="s">
        <v>259</v>
      </c>
      <c r="B65" s="308" t="s">
        <v>2304</v>
      </c>
      <c r="C65" s="309">
        <v>7.2999999999999995E-2</v>
      </c>
      <c r="D65" s="309">
        <v>9.8000000000000004E-2</v>
      </c>
      <c r="E65" s="309">
        <v>9.5000000000000001E-2</v>
      </c>
      <c r="F65" s="309">
        <v>0.1</v>
      </c>
      <c r="G65" s="310">
        <v>9.9000000000000005E-2</v>
      </c>
    </row>
    <row r="66" spans="1:7">
      <c r="A66" s="319" t="s">
        <v>259</v>
      </c>
      <c r="B66" s="308" t="s">
        <v>2305</v>
      </c>
      <c r="C66" s="309">
        <v>9.8000000000000004E-2</v>
      </c>
      <c r="D66" s="309">
        <v>9.5000000000000001E-2</v>
      </c>
      <c r="E66" s="309">
        <v>0.05</v>
      </c>
      <c r="F66" s="309">
        <v>0.1</v>
      </c>
      <c r="G66" s="310">
        <v>9.7000000000000003E-2</v>
      </c>
    </row>
    <row r="67" spans="1:7">
      <c r="A67" s="319" t="s">
        <v>259</v>
      </c>
      <c r="B67" s="308" t="s">
        <v>2306</v>
      </c>
      <c r="C67" s="309">
        <v>9.5000000000000001E-2</v>
      </c>
      <c r="D67" s="309">
        <v>9.7000000000000003E-2</v>
      </c>
      <c r="E67" s="309">
        <v>9.7000000000000003E-2</v>
      </c>
      <c r="F67" s="309">
        <v>0.1</v>
      </c>
      <c r="G67" s="310">
        <v>9.9000000000000005E-2</v>
      </c>
    </row>
    <row r="68" spans="1:7">
      <c r="A68" s="319" t="s">
        <v>259</v>
      </c>
      <c r="B68" s="308" t="s">
        <v>2307</v>
      </c>
      <c r="C68" s="309">
        <v>9.7000000000000003E-2</v>
      </c>
      <c r="D68" s="309">
        <v>6.8000000000000005E-2</v>
      </c>
      <c r="E68" s="309">
        <v>6.6000000000000003E-2</v>
      </c>
      <c r="F68" s="309">
        <v>0.1</v>
      </c>
      <c r="G68" s="310">
        <v>8.4000000000000005E-2</v>
      </c>
    </row>
    <row r="69" spans="1:7">
      <c r="A69" s="319" t="s">
        <v>259</v>
      </c>
      <c r="B69" s="308" t="s">
        <v>2308</v>
      </c>
      <c r="C69" s="309">
        <v>6.8000000000000005E-2</v>
      </c>
      <c r="D69" s="309">
        <v>9.8000000000000004E-2</v>
      </c>
      <c r="E69" s="309">
        <v>9.5000000000000001E-2</v>
      </c>
      <c r="F69" s="309">
        <v>0.1</v>
      </c>
      <c r="G69" s="310">
        <v>0.1</v>
      </c>
    </row>
    <row r="70" spans="1:7">
      <c r="A70" s="319" t="s">
        <v>259</v>
      </c>
      <c r="B70" s="308" t="s">
        <v>2309</v>
      </c>
      <c r="C70" s="309">
        <v>9.8000000000000004E-2</v>
      </c>
      <c r="D70" s="309">
        <v>8.8999999999999996E-2</v>
      </c>
      <c r="E70" s="309">
        <v>5.8999999999999997E-2</v>
      </c>
      <c r="F70" s="309">
        <v>0.1</v>
      </c>
      <c r="G70" s="310">
        <v>9.6000000000000002E-2</v>
      </c>
    </row>
    <row r="71" spans="1:7">
      <c r="A71" s="319" t="s">
        <v>259</v>
      </c>
      <c r="B71" s="308" t="s">
        <v>2310</v>
      </c>
      <c r="C71" s="309">
        <v>8.8999999999999996E-2</v>
      </c>
      <c r="D71" s="309">
        <v>9.9000000000000005E-2</v>
      </c>
      <c r="E71" s="309">
        <v>9.6000000000000002E-2</v>
      </c>
      <c r="F71" s="309">
        <v>0.1</v>
      </c>
      <c r="G71" s="310">
        <v>0.1</v>
      </c>
    </row>
    <row r="72" spans="1:7">
      <c r="A72" s="319" t="s">
        <v>259</v>
      </c>
      <c r="B72" s="308" t="s">
        <v>2311</v>
      </c>
      <c r="C72" s="309">
        <v>9.9000000000000005E-2</v>
      </c>
      <c r="D72" s="309">
        <v>0.1</v>
      </c>
      <c r="E72" s="309">
        <v>7.0000000000000007E-2</v>
      </c>
      <c r="F72" s="320"/>
      <c r="G72" s="310">
        <v>0.1</v>
      </c>
    </row>
    <row r="73" spans="1:7">
      <c r="A73" s="319" t="s">
        <v>259</v>
      </c>
      <c r="B73" s="308" t="s">
        <v>2312</v>
      </c>
      <c r="C73" s="309">
        <v>0.1</v>
      </c>
      <c r="D73" s="309">
        <v>0.1</v>
      </c>
      <c r="E73" s="309">
        <v>9.6000000000000002E-2</v>
      </c>
      <c r="F73" s="320"/>
      <c r="G73" s="310">
        <v>0.1</v>
      </c>
    </row>
    <row r="74" spans="1:7">
      <c r="A74" s="319" t="s">
        <v>259</v>
      </c>
      <c r="B74" s="308" t="s">
        <v>2313</v>
      </c>
      <c r="C74" s="309">
        <v>0.1</v>
      </c>
      <c r="D74" s="309">
        <v>0.1</v>
      </c>
      <c r="E74" s="309">
        <v>9.8000000000000004E-2</v>
      </c>
      <c r="F74" s="320"/>
      <c r="G74" s="310">
        <v>0.1</v>
      </c>
    </row>
    <row r="75" spans="1:7">
      <c r="A75" s="319" t="s">
        <v>259</v>
      </c>
      <c r="B75" s="308" t="s">
        <v>2314</v>
      </c>
      <c r="C75" s="309">
        <v>0.1</v>
      </c>
      <c r="D75" s="309">
        <v>9.9000000000000005E-2</v>
      </c>
      <c r="E75" s="309">
        <v>9.8000000000000004E-2</v>
      </c>
      <c r="F75" s="320"/>
      <c r="G75" s="310">
        <v>0.1</v>
      </c>
    </row>
    <row r="76" spans="1:7">
      <c r="A76" s="319" t="s">
        <v>259</v>
      </c>
      <c r="B76" s="308" t="s">
        <v>2315</v>
      </c>
      <c r="C76" s="309">
        <v>9.9000000000000005E-2</v>
      </c>
      <c r="D76" s="309">
        <v>0.1</v>
      </c>
      <c r="E76" s="309">
        <v>9.7000000000000003E-2</v>
      </c>
      <c r="F76" s="320"/>
      <c r="G76" s="310">
        <v>0.1</v>
      </c>
    </row>
    <row r="77" spans="1:7">
      <c r="A77" s="319" t="s">
        <v>259</v>
      </c>
      <c r="B77" s="308" t="s">
        <v>2316</v>
      </c>
      <c r="C77" s="309">
        <v>0.1</v>
      </c>
      <c r="D77" s="309">
        <v>0.1</v>
      </c>
      <c r="E77" s="309">
        <v>9.6000000000000002E-2</v>
      </c>
      <c r="F77" s="320"/>
      <c r="G77" s="310">
        <v>0.1</v>
      </c>
    </row>
    <row r="78" spans="1:7">
      <c r="A78" s="319" t="s">
        <v>259</v>
      </c>
      <c r="B78" s="308" t="s">
        <v>2317</v>
      </c>
      <c r="C78" s="309">
        <v>0.1</v>
      </c>
      <c r="D78" s="309">
        <v>8.5000000000000006E-2</v>
      </c>
      <c r="E78" s="309">
        <v>9.6000000000000002E-2</v>
      </c>
      <c r="F78" s="320"/>
      <c r="G78" s="310">
        <v>9.6000000000000002E-2</v>
      </c>
    </row>
    <row r="79" spans="1:7">
      <c r="A79" s="319" t="s">
        <v>259</v>
      </c>
      <c r="B79" s="308" t="s">
        <v>2318</v>
      </c>
      <c r="C79" s="309">
        <v>0.05</v>
      </c>
      <c r="D79" s="309">
        <v>9.6000000000000002E-2</v>
      </c>
      <c r="E79" s="309">
        <v>9.5000000000000001E-2</v>
      </c>
      <c r="F79" s="320"/>
      <c r="G79" s="310">
        <v>9.8000000000000004E-2</v>
      </c>
    </row>
    <row r="80" spans="1:7">
      <c r="A80" s="319" t="s">
        <v>259</v>
      </c>
      <c r="B80" s="308" t="s">
        <v>2319</v>
      </c>
      <c r="C80" s="309">
        <v>8.5999999999999993E-2</v>
      </c>
      <c r="D80" s="325"/>
      <c r="E80" s="309">
        <v>0.1</v>
      </c>
      <c r="F80" s="320"/>
      <c r="G80" s="321"/>
    </row>
    <row r="81" spans="1:7">
      <c r="A81" s="319" t="s">
        <v>259</v>
      </c>
      <c r="B81" s="308" t="s">
        <v>2320</v>
      </c>
      <c r="C81" s="309">
        <v>9.6000000000000002E-2</v>
      </c>
      <c r="D81" s="320"/>
      <c r="E81" s="309">
        <v>9.8000000000000004E-2</v>
      </c>
      <c r="F81" s="320"/>
      <c r="G81" s="321"/>
    </row>
    <row r="82" spans="1:7">
      <c r="A82" s="319" t="s">
        <v>259</v>
      </c>
      <c r="B82" s="308" t="s">
        <v>2321</v>
      </c>
      <c r="C82" s="325"/>
      <c r="D82" s="320"/>
      <c r="E82" s="309">
        <v>7.6999999999999999E-2</v>
      </c>
      <c r="F82" s="320"/>
      <c r="G82" s="321"/>
    </row>
    <row r="83" spans="1:7">
      <c r="A83" s="319" t="s">
        <v>259</v>
      </c>
      <c r="B83" s="308" t="s">
        <v>2322</v>
      </c>
      <c r="C83" s="320"/>
      <c r="D83" s="320"/>
      <c r="E83" s="320"/>
      <c r="F83" s="309">
        <v>0.1</v>
      </c>
      <c r="G83" s="326"/>
    </row>
    <row r="84" spans="1:7">
      <c r="A84" s="319" t="s">
        <v>259</v>
      </c>
      <c r="B84" s="308" t="s">
        <v>2323</v>
      </c>
      <c r="C84" s="320"/>
      <c r="D84" s="320"/>
      <c r="E84" s="320"/>
      <c r="F84" s="309">
        <v>0.1</v>
      </c>
      <c r="G84" s="326"/>
    </row>
    <row r="85" spans="1:7">
      <c r="A85" s="319" t="s">
        <v>259</v>
      </c>
      <c r="B85" s="308" t="s">
        <v>2324</v>
      </c>
      <c r="C85" s="320"/>
      <c r="D85" s="320"/>
      <c r="E85" s="320"/>
      <c r="F85" s="309">
        <v>0.1</v>
      </c>
      <c r="G85" s="326"/>
    </row>
    <row r="86" spans="1:7">
      <c r="A86" s="322" t="s">
        <v>259</v>
      </c>
      <c r="B86" s="312" t="s">
        <v>2325</v>
      </c>
      <c r="C86" s="313">
        <v>9.8000000000000004E-2</v>
      </c>
      <c r="D86" s="313">
        <v>9.8000000000000004E-2</v>
      </c>
      <c r="E86" s="313">
        <v>9.6000000000000002E-2</v>
      </c>
      <c r="F86" s="323"/>
      <c r="G86" s="315">
        <v>0.1</v>
      </c>
    </row>
    <row r="87" spans="1:7">
      <c r="A87" s="318" t="s">
        <v>267</v>
      </c>
      <c r="B87" s="304" t="s">
        <v>2326</v>
      </c>
      <c r="C87" s="305">
        <v>0.1</v>
      </c>
      <c r="D87" s="305">
        <v>0.1</v>
      </c>
      <c r="E87" s="305">
        <v>9.8000000000000004E-2</v>
      </c>
      <c r="F87" s="305">
        <v>0.1</v>
      </c>
      <c r="G87" s="306">
        <v>0.1</v>
      </c>
    </row>
    <row r="88" spans="1:7">
      <c r="A88" s="319" t="s">
        <v>267</v>
      </c>
      <c r="B88" s="308" t="s">
        <v>2327</v>
      </c>
      <c r="C88" s="309">
        <v>9.0999999999999998E-2</v>
      </c>
      <c r="D88" s="309">
        <v>9.1999999999999998E-2</v>
      </c>
      <c r="E88" s="309">
        <v>0.1</v>
      </c>
      <c r="F88" s="309">
        <v>0.1</v>
      </c>
      <c r="G88" s="310">
        <v>9.6000000000000002E-2</v>
      </c>
    </row>
    <row r="89" spans="1:7">
      <c r="A89" s="319" t="s">
        <v>267</v>
      </c>
      <c r="B89" s="308" t="s">
        <v>2328</v>
      </c>
      <c r="C89" s="309">
        <v>0.1</v>
      </c>
      <c r="D89" s="309">
        <v>0.1</v>
      </c>
      <c r="E89" s="309">
        <v>6.7000000000000004E-2</v>
      </c>
      <c r="F89" s="309">
        <v>9.2999999999999999E-2</v>
      </c>
      <c r="G89" s="310">
        <v>0.1</v>
      </c>
    </row>
    <row r="90" spans="1:7">
      <c r="A90" s="319" t="s">
        <v>267</v>
      </c>
      <c r="B90" s="308" t="s">
        <v>2329</v>
      </c>
      <c r="C90" s="309">
        <v>9.6000000000000002E-2</v>
      </c>
      <c r="D90" s="309">
        <v>9.6000000000000002E-2</v>
      </c>
      <c r="E90" s="309">
        <v>0.1</v>
      </c>
      <c r="F90" s="309">
        <v>0.1</v>
      </c>
      <c r="G90" s="310">
        <v>9.8000000000000004E-2</v>
      </c>
    </row>
    <row r="91" spans="1:7">
      <c r="A91" s="319" t="s">
        <v>267</v>
      </c>
      <c r="B91" s="308" t="s">
        <v>2330</v>
      </c>
      <c r="C91" s="309">
        <v>7.6999999999999999E-2</v>
      </c>
      <c r="D91" s="309">
        <v>7.6999999999999999E-2</v>
      </c>
      <c r="E91" s="309">
        <v>9.6000000000000002E-2</v>
      </c>
      <c r="F91" s="309">
        <v>0.1</v>
      </c>
      <c r="G91" s="310">
        <v>7.6999999999999999E-2</v>
      </c>
    </row>
    <row r="92" spans="1:7">
      <c r="A92" s="319" t="s">
        <v>267</v>
      </c>
      <c r="B92" s="308" t="s">
        <v>2331</v>
      </c>
      <c r="C92" s="309">
        <v>0.1</v>
      </c>
      <c r="D92" s="309">
        <v>0.1</v>
      </c>
      <c r="E92" s="309">
        <v>9.1999999999999998E-2</v>
      </c>
      <c r="F92" s="309">
        <v>0.1</v>
      </c>
      <c r="G92" s="310">
        <v>0.1</v>
      </c>
    </row>
    <row r="93" spans="1:7">
      <c r="A93" s="319" t="s">
        <v>267</v>
      </c>
      <c r="B93" s="308" t="s">
        <v>2332</v>
      </c>
      <c r="C93" s="309">
        <v>9.8000000000000004E-2</v>
      </c>
      <c r="D93" s="309">
        <v>9.8000000000000004E-2</v>
      </c>
      <c r="E93" s="309">
        <v>9.6000000000000002E-2</v>
      </c>
      <c r="F93" s="309">
        <v>0.1</v>
      </c>
      <c r="G93" s="310">
        <v>9.9000000000000005E-2</v>
      </c>
    </row>
    <row r="94" spans="1:7">
      <c r="A94" s="319" t="s">
        <v>267</v>
      </c>
      <c r="B94" s="308" t="s">
        <v>2333</v>
      </c>
      <c r="C94" s="309">
        <v>8.7999999999999995E-2</v>
      </c>
      <c r="D94" s="309">
        <v>8.7999999999999995E-2</v>
      </c>
      <c r="E94" s="309">
        <v>9.6000000000000002E-2</v>
      </c>
      <c r="F94" s="309">
        <v>0.1</v>
      </c>
      <c r="G94" s="310">
        <v>8.7999999999999995E-2</v>
      </c>
    </row>
    <row r="95" spans="1:7">
      <c r="A95" s="319" t="s">
        <v>267</v>
      </c>
      <c r="B95" s="308" t="s">
        <v>2334</v>
      </c>
      <c r="C95" s="309">
        <v>9.6000000000000002E-2</v>
      </c>
      <c r="D95" s="309">
        <v>9.6000000000000002E-2</v>
      </c>
      <c r="E95" s="309">
        <v>0.1</v>
      </c>
      <c r="F95" s="309">
        <v>0.1</v>
      </c>
      <c r="G95" s="310">
        <v>9.8000000000000004E-2</v>
      </c>
    </row>
    <row r="96" spans="1:7">
      <c r="A96" s="319" t="s">
        <v>267</v>
      </c>
      <c r="B96" s="308" t="s">
        <v>2335</v>
      </c>
      <c r="C96" s="309">
        <v>9.7000000000000003E-2</v>
      </c>
      <c r="D96" s="309">
        <v>9.7000000000000003E-2</v>
      </c>
      <c r="E96" s="309">
        <v>0.1</v>
      </c>
      <c r="F96" s="309">
        <v>0.1</v>
      </c>
      <c r="G96" s="310">
        <v>9.8000000000000004E-2</v>
      </c>
    </row>
    <row r="97" spans="1:7">
      <c r="A97" s="319" t="s">
        <v>267</v>
      </c>
      <c r="B97" s="308" t="s">
        <v>2336</v>
      </c>
      <c r="C97" s="309">
        <v>9.6000000000000002E-2</v>
      </c>
      <c r="D97" s="309">
        <v>9.6000000000000002E-2</v>
      </c>
      <c r="E97" s="309">
        <v>9.9000000000000005E-2</v>
      </c>
      <c r="F97" s="309">
        <v>0.1</v>
      </c>
      <c r="G97" s="310">
        <v>9.8000000000000004E-2</v>
      </c>
    </row>
    <row r="98" spans="1:7">
      <c r="A98" s="319" t="s">
        <v>267</v>
      </c>
      <c r="B98" s="308" t="s">
        <v>2337</v>
      </c>
      <c r="C98" s="309">
        <v>9.8000000000000004E-2</v>
      </c>
      <c r="D98" s="309">
        <v>9.8000000000000004E-2</v>
      </c>
      <c r="E98" s="309">
        <v>0.1</v>
      </c>
      <c r="F98" s="309">
        <v>0.1</v>
      </c>
      <c r="G98" s="310">
        <v>9.9000000000000005E-2</v>
      </c>
    </row>
    <row r="99" spans="1:7">
      <c r="A99" s="319" t="s">
        <v>267</v>
      </c>
      <c r="B99" s="308" t="s">
        <v>2338</v>
      </c>
      <c r="C99" s="309">
        <v>9.6000000000000002E-2</v>
      </c>
      <c r="D99" s="309">
        <v>9.6000000000000002E-2</v>
      </c>
      <c r="E99" s="309">
        <v>0.1</v>
      </c>
      <c r="F99" s="309">
        <v>0.1</v>
      </c>
      <c r="G99" s="310">
        <v>9.7000000000000003E-2</v>
      </c>
    </row>
    <row r="100" spans="1:7">
      <c r="A100" s="319" t="s">
        <v>267</v>
      </c>
      <c r="B100" s="308" t="s">
        <v>2339</v>
      </c>
      <c r="C100" s="309">
        <v>0.1</v>
      </c>
      <c r="D100" s="309">
        <v>0.1</v>
      </c>
      <c r="E100" s="309">
        <v>9.7000000000000003E-2</v>
      </c>
      <c r="F100" s="309">
        <v>9.8000000000000004E-2</v>
      </c>
      <c r="G100" s="310">
        <v>0.1</v>
      </c>
    </row>
    <row r="101" spans="1:7">
      <c r="A101" s="319" t="s">
        <v>267</v>
      </c>
      <c r="B101" s="308" t="s">
        <v>2340</v>
      </c>
      <c r="C101" s="309">
        <v>0.1</v>
      </c>
      <c r="D101" s="309">
        <v>0.1</v>
      </c>
      <c r="E101" s="309">
        <v>9.5000000000000001E-2</v>
      </c>
      <c r="F101" s="309">
        <v>0.1</v>
      </c>
      <c r="G101" s="310">
        <v>0.1</v>
      </c>
    </row>
    <row r="102" spans="1:7">
      <c r="A102" s="319" t="s">
        <v>267</v>
      </c>
      <c r="B102" s="308" t="s">
        <v>2341</v>
      </c>
      <c r="C102" s="309">
        <v>0.1</v>
      </c>
      <c r="D102" s="309">
        <v>0.1</v>
      </c>
      <c r="E102" s="309">
        <v>9.9000000000000005E-2</v>
      </c>
      <c r="F102" s="309">
        <v>9.7000000000000003E-2</v>
      </c>
      <c r="G102" s="310">
        <v>0.1</v>
      </c>
    </row>
    <row r="103" spans="1:7">
      <c r="A103" s="319" t="s">
        <v>267</v>
      </c>
      <c r="B103" s="308" t="s">
        <v>2342</v>
      </c>
      <c r="C103" s="309">
        <v>0.1</v>
      </c>
      <c r="D103" s="309">
        <v>0.1</v>
      </c>
      <c r="E103" s="309">
        <v>9.8000000000000004E-2</v>
      </c>
      <c r="F103" s="309">
        <v>0.1</v>
      </c>
      <c r="G103" s="310">
        <v>0.1</v>
      </c>
    </row>
    <row r="104" spans="1:7">
      <c r="A104" s="319" t="s">
        <v>267</v>
      </c>
      <c r="B104" s="308" t="s">
        <v>2343</v>
      </c>
      <c r="C104" s="309">
        <v>0.1</v>
      </c>
      <c r="D104" s="309">
        <v>0.1</v>
      </c>
      <c r="E104" s="309">
        <v>9.8000000000000004E-2</v>
      </c>
      <c r="F104" s="309">
        <v>0.1</v>
      </c>
      <c r="G104" s="310">
        <v>0.1</v>
      </c>
    </row>
    <row r="105" spans="1:7">
      <c r="A105" s="319" t="s">
        <v>267</v>
      </c>
      <c r="B105" s="308" t="s">
        <v>2344</v>
      </c>
      <c r="C105" s="309">
        <v>9.8000000000000004E-2</v>
      </c>
      <c r="D105" s="309">
        <v>9.8000000000000004E-2</v>
      </c>
      <c r="E105" s="309">
        <v>9.8000000000000004E-2</v>
      </c>
      <c r="F105" s="309">
        <v>0.1</v>
      </c>
      <c r="G105" s="310">
        <v>9.9000000000000005E-2</v>
      </c>
    </row>
    <row r="106" spans="1:7">
      <c r="A106" s="319" t="s">
        <v>267</v>
      </c>
      <c r="B106" s="308" t="s">
        <v>2345</v>
      </c>
      <c r="C106" s="309">
        <v>9.7000000000000003E-2</v>
      </c>
      <c r="D106" s="309">
        <v>9.7000000000000003E-2</v>
      </c>
      <c r="E106" s="309">
        <v>9.7000000000000003E-2</v>
      </c>
      <c r="F106" s="309">
        <v>0.1</v>
      </c>
      <c r="G106" s="310">
        <v>9.9000000000000005E-2</v>
      </c>
    </row>
    <row r="107" spans="1:7">
      <c r="A107" s="319" t="s">
        <v>267</v>
      </c>
      <c r="B107" s="308" t="s">
        <v>2346</v>
      </c>
      <c r="C107" s="309">
        <v>0.1</v>
      </c>
      <c r="D107" s="309">
        <v>0.1</v>
      </c>
      <c r="E107" s="309">
        <v>8.5999999999999993E-2</v>
      </c>
      <c r="F107" s="309">
        <v>0.09</v>
      </c>
      <c r="G107" s="310">
        <v>0.1</v>
      </c>
    </row>
    <row r="108" spans="1:7">
      <c r="A108" s="319" t="s">
        <v>267</v>
      </c>
      <c r="B108" s="308" t="s">
        <v>2347</v>
      </c>
      <c r="C108" s="309">
        <v>0.1</v>
      </c>
      <c r="D108" s="309">
        <v>0.1</v>
      </c>
      <c r="E108" s="309">
        <v>9.6000000000000002E-2</v>
      </c>
      <c r="F108" s="320"/>
      <c r="G108" s="310">
        <v>0.1</v>
      </c>
    </row>
    <row r="109" spans="1:7">
      <c r="A109" s="319" t="s">
        <v>267</v>
      </c>
      <c r="B109" s="308" t="s">
        <v>2348</v>
      </c>
      <c r="C109" s="309">
        <v>0.1</v>
      </c>
      <c r="D109" s="309">
        <v>0.1</v>
      </c>
      <c r="E109" s="309">
        <v>0.1</v>
      </c>
      <c r="F109" s="320"/>
      <c r="G109" s="310">
        <v>0.1</v>
      </c>
    </row>
    <row r="110" spans="1:7">
      <c r="A110" s="319" t="s">
        <v>267</v>
      </c>
      <c r="B110" s="308" t="s">
        <v>2349</v>
      </c>
      <c r="C110" s="309">
        <v>0.1</v>
      </c>
      <c r="D110" s="309">
        <v>0.1</v>
      </c>
      <c r="E110" s="309">
        <v>0.1</v>
      </c>
      <c r="F110" s="320"/>
      <c r="G110" s="310">
        <v>0.1</v>
      </c>
    </row>
    <row r="111" spans="1:7">
      <c r="A111" s="319" t="s">
        <v>267</v>
      </c>
      <c r="B111" s="308" t="s">
        <v>2350</v>
      </c>
      <c r="C111" s="309">
        <v>0.1</v>
      </c>
      <c r="D111" s="309">
        <v>0.1</v>
      </c>
      <c r="E111" s="309">
        <v>9.5000000000000001E-2</v>
      </c>
      <c r="F111" s="320"/>
      <c r="G111" s="310">
        <v>0.1</v>
      </c>
    </row>
    <row r="112" spans="1:7">
      <c r="A112" s="319" t="s">
        <v>267</v>
      </c>
      <c r="B112" s="308" t="s">
        <v>2351</v>
      </c>
      <c r="C112" s="309">
        <v>9.7000000000000003E-2</v>
      </c>
      <c r="D112" s="309">
        <v>9.7000000000000003E-2</v>
      </c>
      <c r="E112" s="309">
        <v>0.05</v>
      </c>
      <c r="F112" s="320"/>
      <c r="G112" s="310">
        <v>9.8000000000000004E-2</v>
      </c>
    </row>
    <row r="113" spans="1:7">
      <c r="A113" s="319" t="s">
        <v>267</v>
      </c>
      <c r="B113" s="308" t="s">
        <v>2352</v>
      </c>
      <c r="C113" s="309">
        <v>0.1</v>
      </c>
      <c r="D113" s="309">
        <v>0.1</v>
      </c>
      <c r="E113" s="320"/>
      <c r="F113" s="320"/>
      <c r="G113" s="310">
        <v>0.1</v>
      </c>
    </row>
    <row r="114" spans="1:7">
      <c r="A114" s="319" t="s">
        <v>267</v>
      </c>
      <c r="B114" s="308" t="s">
        <v>2353</v>
      </c>
      <c r="C114" s="309">
        <v>9.7000000000000003E-2</v>
      </c>
      <c r="D114" s="309">
        <v>9.7000000000000003E-2</v>
      </c>
      <c r="E114" s="320"/>
      <c r="F114" s="320"/>
      <c r="G114" s="310">
        <v>9.9000000000000005E-2</v>
      </c>
    </row>
    <row r="115" spans="1:7">
      <c r="A115" s="319" t="s">
        <v>267</v>
      </c>
      <c r="B115" s="308" t="s">
        <v>2354</v>
      </c>
      <c r="C115" s="309">
        <v>0.1</v>
      </c>
      <c r="D115" s="309">
        <v>0.1</v>
      </c>
      <c r="E115" s="320"/>
      <c r="F115" s="320"/>
      <c r="G115" s="310">
        <v>0.1</v>
      </c>
    </row>
    <row r="116" spans="1:7">
      <c r="A116" s="319" t="s">
        <v>267</v>
      </c>
      <c r="B116" s="308" t="s">
        <v>2355</v>
      </c>
      <c r="C116" s="309">
        <v>0.1</v>
      </c>
      <c r="D116" s="309">
        <v>0.1</v>
      </c>
      <c r="E116" s="320"/>
      <c r="F116" s="320"/>
      <c r="G116" s="310">
        <v>0.1</v>
      </c>
    </row>
    <row r="117" spans="1:7">
      <c r="A117" s="319" t="s">
        <v>267</v>
      </c>
      <c r="B117" s="308" t="s">
        <v>2356</v>
      </c>
      <c r="C117" s="309">
        <v>9.7000000000000003E-2</v>
      </c>
      <c r="D117" s="309">
        <v>9.7000000000000003E-2</v>
      </c>
      <c r="E117" s="320"/>
      <c r="F117" s="320"/>
      <c r="G117" s="310">
        <v>9.7000000000000003E-2</v>
      </c>
    </row>
    <row r="118" spans="1:7">
      <c r="A118" s="319" t="s">
        <v>267</v>
      </c>
      <c r="B118" s="308" t="s">
        <v>2357</v>
      </c>
      <c r="C118" s="309">
        <v>0.1</v>
      </c>
      <c r="D118" s="309">
        <v>0.1</v>
      </c>
      <c r="E118" s="320"/>
      <c r="F118" s="320"/>
      <c r="G118" s="310">
        <v>0.1</v>
      </c>
    </row>
    <row r="119" spans="1:7">
      <c r="A119" s="319" t="s">
        <v>267</v>
      </c>
      <c r="B119" s="308" t="s">
        <v>2358</v>
      </c>
      <c r="C119" s="309">
        <v>5.0999999999999997E-2</v>
      </c>
      <c r="D119" s="309">
        <v>5.1999999999999998E-2</v>
      </c>
      <c r="E119" s="320"/>
      <c r="F119" s="325"/>
      <c r="G119" s="310">
        <v>0.06</v>
      </c>
    </row>
    <row r="120" spans="1:7">
      <c r="A120" s="319" t="s">
        <v>267</v>
      </c>
      <c r="B120" s="308" t="s">
        <v>2359</v>
      </c>
      <c r="C120" s="320"/>
      <c r="D120" s="320"/>
      <c r="E120" s="320"/>
      <c r="F120" s="309">
        <v>0.1</v>
      </c>
      <c r="G120" s="326"/>
    </row>
    <row r="121" spans="1:7">
      <c r="A121" s="319" t="s">
        <v>267</v>
      </c>
      <c r="B121" s="308" t="s">
        <v>2360</v>
      </c>
      <c r="C121" s="320"/>
      <c r="D121" s="320"/>
      <c r="E121" s="320"/>
      <c r="F121" s="309">
        <v>0.1</v>
      </c>
      <c r="G121" s="326"/>
    </row>
    <row r="122" spans="1:7">
      <c r="A122" s="319" t="s">
        <v>267</v>
      </c>
      <c r="B122" s="308" t="s">
        <v>2361</v>
      </c>
      <c r="C122" s="309">
        <v>0.1</v>
      </c>
      <c r="D122" s="309">
        <v>0.1</v>
      </c>
      <c r="E122" s="309">
        <v>9.8000000000000004E-2</v>
      </c>
      <c r="F122" s="309">
        <v>0.1</v>
      </c>
      <c r="G122" s="310">
        <v>0.1</v>
      </c>
    </row>
    <row r="123" spans="1:7">
      <c r="A123" s="319" t="s">
        <v>267</v>
      </c>
      <c r="B123" s="308" t="s">
        <v>2362</v>
      </c>
      <c r="C123" s="309">
        <v>0.1</v>
      </c>
      <c r="D123" s="309">
        <v>0.1</v>
      </c>
      <c r="E123" s="309">
        <v>9.8000000000000004E-2</v>
      </c>
      <c r="F123" s="309">
        <v>0.1</v>
      </c>
      <c r="G123" s="310">
        <v>0.1</v>
      </c>
    </row>
    <row r="124" spans="1:7">
      <c r="A124" s="319" t="s">
        <v>267</v>
      </c>
      <c r="B124" s="308" t="s">
        <v>2363</v>
      </c>
      <c r="C124" s="309">
        <v>0.1</v>
      </c>
      <c r="D124" s="309">
        <v>0.1</v>
      </c>
      <c r="E124" s="309">
        <v>9.8000000000000004E-2</v>
      </c>
      <c r="F124" s="325"/>
      <c r="G124" s="310">
        <v>0.1</v>
      </c>
    </row>
    <row r="125" spans="1:7">
      <c r="A125" s="319" t="s">
        <v>267</v>
      </c>
      <c r="B125" s="308" t="s">
        <v>2364</v>
      </c>
      <c r="C125" s="309">
        <v>9.8000000000000004E-2</v>
      </c>
      <c r="D125" s="309">
        <v>9.8000000000000004E-2</v>
      </c>
      <c r="E125" s="309">
        <v>9.6000000000000002E-2</v>
      </c>
      <c r="F125" s="325"/>
      <c r="G125" s="310">
        <v>0.1</v>
      </c>
    </row>
    <row r="126" spans="1:7">
      <c r="A126" s="322" t="s">
        <v>267</v>
      </c>
      <c r="B126" s="312" t="s">
        <v>2365</v>
      </c>
      <c r="C126" s="313">
        <v>0.1</v>
      </c>
      <c r="D126" s="313">
        <v>0.1</v>
      </c>
      <c r="E126" s="313">
        <v>9.8000000000000004E-2</v>
      </c>
      <c r="F126" s="313">
        <v>0.1</v>
      </c>
      <c r="G126" s="315">
        <v>0.1</v>
      </c>
    </row>
    <row r="127" spans="1:7">
      <c r="A127" s="318" t="s">
        <v>273</v>
      </c>
      <c r="B127" s="304" t="s">
        <v>2366</v>
      </c>
      <c r="C127" s="305">
        <v>0.121</v>
      </c>
      <c r="D127" s="305">
        <v>0.121</v>
      </c>
      <c r="E127" s="305">
        <v>0.107</v>
      </c>
      <c r="F127" s="305">
        <v>0.13</v>
      </c>
      <c r="G127" s="306">
        <v>0.122</v>
      </c>
    </row>
    <row r="128" spans="1:7">
      <c r="A128" s="319" t="s">
        <v>273</v>
      </c>
      <c r="B128" s="308" t="s">
        <v>2367</v>
      </c>
      <c r="C128" s="309">
        <v>0.11600000000000001</v>
      </c>
      <c r="D128" s="309">
        <v>0.11700000000000001</v>
      </c>
      <c r="E128" s="309">
        <v>0.104</v>
      </c>
      <c r="F128" s="309">
        <v>0.13</v>
      </c>
      <c r="G128" s="310">
        <v>0.11700000000000001</v>
      </c>
    </row>
    <row r="129" spans="1:7">
      <c r="A129" s="319" t="s">
        <v>273</v>
      </c>
      <c r="B129" s="308" t="s">
        <v>2368</v>
      </c>
      <c r="C129" s="309">
        <v>0.107</v>
      </c>
      <c r="D129" s="309">
        <v>0.108</v>
      </c>
      <c r="E129" s="309">
        <v>0.1</v>
      </c>
      <c r="F129" s="309">
        <v>0.13</v>
      </c>
      <c r="G129" s="310">
        <v>0.11700000000000001</v>
      </c>
    </row>
    <row r="130" spans="1:7">
      <c r="A130" s="319" t="s">
        <v>273</v>
      </c>
      <c r="B130" s="308" t="s">
        <v>2369</v>
      </c>
      <c r="C130" s="309">
        <v>0.13</v>
      </c>
      <c r="D130" s="309">
        <v>0.13</v>
      </c>
      <c r="E130" s="309">
        <v>0.126</v>
      </c>
      <c r="F130" s="309">
        <v>0.13</v>
      </c>
      <c r="G130" s="310">
        <v>0.13</v>
      </c>
    </row>
    <row r="131" spans="1:7">
      <c r="A131" s="319" t="s">
        <v>273</v>
      </c>
      <c r="B131" s="308" t="s">
        <v>2370</v>
      </c>
      <c r="C131" s="309">
        <v>0.13</v>
      </c>
      <c r="D131" s="309">
        <v>0.13</v>
      </c>
      <c r="E131" s="309">
        <v>0.13</v>
      </c>
      <c r="F131" s="309">
        <v>0.13</v>
      </c>
      <c r="G131" s="310">
        <v>0.13</v>
      </c>
    </row>
    <row r="132" spans="1:7">
      <c r="A132" s="319" t="s">
        <v>273</v>
      </c>
      <c r="B132" s="308" t="s">
        <v>2371</v>
      </c>
      <c r="C132" s="309">
        <v>0.13</v>
      </c>
      <c r="D132" s="309">
        <v>0.13</v>
      </c>
      <c r="E132" s="309">
        <v>0.126</v>
      </c>
      <c r="F132" s="309">
        <v>0.13</v>
      </c>
      <c r="G132" s="310">
        <v>0.13</v>
      </c>
    </row>
    <row r="133" spans="1:7">
      <c r="A133" s="319" t="s">
        <v>273</v>
      </c>
      <c r="B133" s="308" t="s">
        <v>2372</v>
      </c>
      <c r="C133" s="309">
        <v>0.111</v>
      </c>
      <c r="D133" s="309">
        <v>0.111</v>
      </c>
      <c r="E133" s="309">
        <v>0.10199999999999999</v>
      </c>
      <c r="F133" s="309">
        <v>0.13</v>
      </c>
      <c r="G133" s="310">
        <v>0.121</v>
      </c>
    </row>
    <row r="134" spans="1:7">
      <c r="A134" s="319" t="s">
        <v>273</v>
      </c>
      <c r="B134" s="308" t="s">
        <v>2373</v>
      </c>
      <c r="C134" s="309">
        <v>0.121</v>
      </c>
      <c r="D134" s="309">
        <v>0.121</v>
      </c>
      <c r="E134" s="309">
        <v>0.1</v>
      </c>
      <c r="F134" s="309">
        <v>0.13</v>
      </c>
      <c r="G134" s="310">
        <v>0.123</v>
      </c>
    </row>
    <row r="135" spans="1:7">
      <c r="A135" s="319" t="s">
        <v>273</v>
      </c>
      <c r="B135" s="308" t="s">
        <v>2374</v>
      </c>
      <c r="C135" s="309">
        <v>0.105</v>
      </c>
      <c r="D135" s="309">
        <v>0.106</v>
      </c>
      <c r="E135" s="309">
        <v>0.1</v>
      </c>
      <c r="F135" s="309">
        <v>0.13</v>
      </c>
      <c r="G135" s="310">
        <v>0.115</v>
      </c>
    </row>
    <row r="136" spans="1:7">
      <c r="A136" s="319" t="s">
        <v>273</v>
      </c>
      <c r="B136" s="308" t="s">
        <v>2375</v>
      </c>
      <c r="C136" s="309">
        <v>0.127</v>
      </c>
      <c r="D136" s="309">
        <v>0.127</v>
      </c>
      <c r="E136" s="309">
        <v>0.121</v>
      </c>
      <c r="F136" s="309">
        <v>0.123</v>
      </c>
      <c r="G136" s="310">
        <v>0.129</v>
      </c>
    </row>
    <row r="137" spans="1:7">
      <c r="A137" s="319" t="s">
        <v>273</v>
      </c>
      <c r="B137" s="308" t="s">
        <v>2376</v>
      </c>
      <c r="C137" s="309">
        <v>0.13</v>
      </c>
      <c r="D137" s="309">
        <v>0.13</v>
      </c>
      <c r="E137" s="309">
        <v>0.129</v>
      </c>
      <c r="F137" s="309">
        <v>0.13</v>
      </c>
      <c r="G137" s="310">
        <v>0.13</v>
      </c>
    </row>
    <row r="138" spans="1:7">
      <c r="A138" s="319" t="s">
        <v>273</v>
      </c>
      <c r="B138" s="308" t="s">
        <v>2377</v>
      </c>
      <c r="C138" s="309">
        <v>0.13</v>
      </c>
      <c r="D138" s="309">
        <v>0.13</v>
      </c>
      <c r="E138" s="309">
        <v>0.125</v>
      </c>
      <c r="F138" s="309">
        <v>0.13</v>
      </c>
      <c r="G138" s="310">
        <v>0.13</v>
      </c>
    </row>
    <row r="139" spans="1:7">
      <c r="A139" s="319" t="s">
        <v>273</v>
      </c>
      <c r="B139" s="308" t="s">
        <v>2378</v>
      </c>
      <c r="C139" s="309">
        <v>0.13</v>
      </c>
      <c r="D139" s="309">
        <v>0.13</v>
      </c>
      <c r="E139" s="309">
        <v>0.126</v>
      </c>
      <c r="F139" s="309">
        <v>0.13</v>
      </c>
      <c r="G139" s="310">
        <v>0.13</v>
      </c>
    </row>
    <row r="140" spans="1:7">
      <c r="A140" s="319" t="s">
        <v>273</v>
      </c>
      <c r="B140" s="308" t="s">
        <v>2379</v>
      </c>
      <c r="C140" s="309">
        <v>0.1</v>
      </c>
      <c r="D140" s="309">
        <v>0.1</v>
      </c>
      <c r="E140" s="309">
        <v>0.1</v>
      </c>
      <c r="F140" s="309">
        <v>0.123</v>
      </c>
      <c r="G140" s="310">
        <v>0.107</v>
      </c>
    </row>
    <row r="141" spans="1:7">
      <c r="A141" s="319" t="s">
        <v>273</v>
      </c>
      <c r="B141" s="308" t="s">
        <v>2380</v>
      </c>
      <c r="C141" s="309">
        <v>0.127</v>
      </c>
      <c r="D141" s="309">
        <v>0.127</v>
      </c>
      <c r="E141" s="309">
        <v>0.122</v>
      </c>
      <c r="F141" s="309">
        <v>0.1</v>
      </c>
      <c r="G141" s="310">
        <v>0.129</v>
      </c>
    </row>
    <row r="142" spans="1:7">
      <c r="A142" s="319" t="s">
        <v>273</v>
      </c>
      <c r="B142" s="308" t="s">
        <v>2381</v>
      </c>
      <c r="C142" s="309">
        <v>0.121</v>
      </c>
      <c r="D142" s="309">
        <v>0.122</v>
      </c>
      <c r="E142" s="309">
        <v>0.1</v>
      </c>
      <c r="F142" s="309">
        <v>0.123</v>
      </c>
      <c r="G142" s="310">
        <v>0.123</v>
      </c>
    </row>
    <row r="143" spans="1:7">
      <c r="A143" s="319" t="s">
        <v>273</v>
      </c>
      <c r="B143" s="308" t="s">
        <v>2382</v>
      </c>
      <c r="C143" s="309">
        <v>0.1</v>
      </c>
      <c r="D143" s="309">
        <v>0.1</v>
      </c>
      <c r="E143" s="309">
        <v>0.1</v>
      </c>
      <c r="F143" s="309">
        <v>0.13</v>
      </c>
      <c r="G143" s="310">
        <v>0.1</v>
      </c>
    </row>
    <row r="144" spans="1:7">
      <c r="A144" s="319" t="s">
        <v>273</v>
      </c>
      <c r="B144" s="308" t="s">
        <v>2383</v>
      </c>
      <c r="C144" s="309">
        <v>0.106</v>
      </c>
      <c r="D144" s="309">
        <v>0.105</v>
      </c>
      <c r="E144" s="309">
        <v>0.1</v>
      </c>
      <c r="F144" s="309">
        <v>0.13</v>
      </c>
      <c r="G144" s="310">
        <v>0.11799999999999999</v>
      </c>
    </row>
    <row r="145" spans="1:7">
      <c r="A145" s="319" t="s">
        <v>273</v>
      </c>
      <c r="B145" s="308" t="s">
        <v>2384</v>
      </c>
      <c r="C145" s="309">
        <v>0.123</v>
      </c>
      <c r="D145" s="309">
        <v>0.123</v>
      </c>
      <c r="E145" s="309">
        <v>0.11700000000000001</v>
      </c>
      <c r="F145" s="309">
        <v>0.13</v>
      </c>
      <c r="G145" s="310">
        <v>0.126</v>
      </c>
    </row>
    <row r="146" spans="1:7">
      <c r="A146" s="319" t="s">
        <v>273</v>
      </c>
      <c r="B146" s="308" t="s">
        <v>2385</v>
      </c>
      <c r="C146" s="309">
        <v>0.127</v>
      </c>
      <c r="D146" s="309">
        <v>0.127</v>
      </c>
      <c r="E146" s="309">
        <v>0.12</v>
      </c>
      <c r="F146" s="320"/>
      <c r="G146" s="310">
        <v>0.129</v>
      </c>
    </row>
    <row r="147" spans="1:7">
      <c r="A147" s="319" t="s">
        <v>273</v>
      </c>
      <c r="B147" s="308" t="s">
        <v>2386</v>
      </c>
      <c r="C147" s="309">
        <v>0.13</v>
      </c>
      <c r="D147" s="309">
        <v>0.13</v>
      </c>
      <c r="E147" s="309">
        <v>0.126</v>
      </c>
      <c r="F147" s="320"/>
      <c r="G147" s="310">
        <v>0.13</v>
      </c>
    </row>
    <row r="148" spans="1:7">
      <c r="A148" s="319" t="s">
        <v>273</v>
      </c>
      <c r="B148" s="308" t="s">
        <v>2387</v>
      </c>
      <c r="C148" s="309">
        <v>0.13</v>
      </c>
      <c r="D148" s="309">
        <v>0.13</v>
      </c>
      <c r="E148" s="309">
        <v>0.13</v>
      </c>
      <c r="F148" s="320"/>
      <c r="G148" s="310">
        <v>0.13</v>
      </c>
    </row>
    <row r="149" spans="1:7">
      <c r="A149" s="319" t="s">
        <v>273</v>
      </c>
      <c r="B149" s="308" t="s">
        <v>2388</v>
      </c>
      <c r="C149" s="309">
        <v>0.13</v>
      </c>
      <c r="D149" s="309">
        <v>0.13</v>
      </c>
      <c r="E149" s="309">
        <v>0.13</v>
      </c>
      <c r="F149" s="309">
        <v>0.13</v>
      </c>
      <c r="G149" s="310">
        <v>0.13</v>
      </c>
    </row>
    <row r="150" spans="1:7">
      <c r="A150" s="319" t="s">
        <v>273</v>
      </c>
      <c r="B150" s="308" t="s">
        <v>2389</v>
      </c>
      <c r="C150" s="309">
        <v>0.13</v>
      </c>
      <c r="D150" s="309">
        <v>0.13</v>
      </c>
      <c r="E150" s="309">
        <v>0.127</v>
      </c>
      <c r="F150" s="309">
        <v>0.13</v>
      </c>
      <c r="G150" s="310">
        <v>0.13</v>
      </c>
    </row>
    <row r="151" spans="1:7">
      <c r="A151" s="319" t="s">
        <v>273</v>
      </c>
      <c r="B151" s="308" t="s">
        <v>2390</v>
      </c>
      <c r="C151" s="309">
        <v>0.13</v>
      </c>
      <c r="D151" s="309">
        <v>0.13</v>
      </c>
      <c r="E151" s="309">
        <v>0.13</v>
      </c>
      <c r="F151" s="309">
        <v>0.13</v>
      </c>
      <c r="G151" s="310">
        <v>0.13</v>
      </c>
    </row>
    <row r="152" spans="1:7">
      <c r="A152" s="319" t="s">
        <v>273</v>
      </c>
      <c r="B152" s="308" t="s">
        <v>2391</v>
      </c>
      <c r="C152" s="309">
        <v>0.13</v>
      </c>
      <c r="D152" s="309">
        <v>0.13</v>
      </c>
      <c r="E152" s="309">
        <v>0.13</v>
      </c>
      <c r="F152" s="309">
        <v>0.13</v>
      </c>
      <c r="G152" s="310">
        <v>0.13</v>
      </c>
    </row>
    <row r="153" spans="1:7">
      <c r="A153" s="319" t="s">
        <v>273</v>
      </c>
      <c r="B153" s="308" t="s">
        <v>2392</v>
      </c>
      <c r="C153" s="309">
        <v>0.13</v>
      </c>
      <c r="D153" s="309">
        <v>0.13</v>
      </c>
      <c r="E153" s="309">
        <v>0.13</v>
      </c>
      <c r="F153" s="309">
        <v>0.13</v>
      </c>
      <c r="G153" s="310">
        <v>0.13</v>
      </c>
    </row>
    <row r="154" spans="1:7">
      <c r="A154" s="319" t="s">
        <v>273</v>
      </c>
      <c r="B154" s="308" t="s">
        <v>2393</v>
      </c>
      <c r="C154" s="309">
        <v>0.121</v>
      </c>
      <c r="D154" s="309">
        <v>0.121</v>
      </c>
      <c r="E154" s="309">
        <v>0.105</v>
      </c>
      <c r="F154" s="309">
        <v>0.121</v>
      </c>
      <c r="G154" s="310">
        <v>0.123</v>
      </c>
    </row>
    <row r="155" spans="1:7">
      <c r="A155" s="319" t="s">
        <v>273</v>
      </c>
      <c r="B155" s="308" t="s">
        <v>2394</v>
      </c>
      <c r="C155" s="309">
        <v>0.1</v>
      </c>
      <c r="D155" s="309">
        <v>0.1</v>
      </c>
      <c r="E155" s="309">
        <v>0.1</v>
      </c>
      <c r="F155" s="309">
        <v>0.1</v>
      </c>
      <c r="G155" s="310">
        <v>0.1</v>
      </c>
    </row>
    <row r="156" spans="1:7">
      <c r="A156" s="319" t="s">
        <v>273</v>
      </c>
      <c r="B156" s="308" t="s">
        <v>2395</v>
      </c>
      <c r="C156" s="309">
        <v>0.13</v>
      </c>
      <c r="D156" s="309">
        <v>0.13</v>
      </c>
      <c r="E156" s="309">
        <v>0.13</v>
      </c>
      <c r="F156" s="309">
        <v>0.13</v>
      </c>
      <c r="G156" s="310">
        <v>0.13</v>
      </c>
    </row>
    <row r="157" spans="1:7">
      <c r="A157" s="319" t="s">
        <v>273</v>
      </c>
      <c r="B157" s="308" t="s">
        <v>2396</v>
      </c>
      <c r="C157" s="309">
        <v>0.13</v>
      </c>
      <c r="D157" s="309">
        <v>0.13</v>
      </c>
      <c r="E157" s="309">
        <v>0.125</v>
      </c>
      <c r="F157" s="309">
        <v>0.13</v>
      </c>
      <c r="G157" s="310">
        <v>0.13</v>
      </c>
    </row>
    <row r="158" spans="1:7">
      <c r="A158" s="319" t="s">
        <v>273</v>
      </c>
      <c r="B158" s="308" t="s">
        <v>2397</v>
      </c>
      <c r="C158" s="309">
        <v>0.124</v>
      </c>
      <c r="D158" s="309">
        <v>0.124</v>
      </c>
      <c r="E158" s="309">
        <v>0.11700000000000001</v>
      </c>
      <c r="F158" s="309">
        <v>0.121</v>
      </c>
      <c r="G158" s="310">
        <v>0.124</v>
      </c>
    </row>
    <row r="159" spans="1:7">
      <c r="A159" s="319" t="s">
        <v>273</v>
      </c>
      <c r="B159" s="308" t="s">
        <v>2398</v>
      </c>
      <c r="C159" s="309">
        <v>0.127</v>
      </c>
      <c r="D159" s="309">
        <v>0.127</v>
      </c>
      <c r="E159" s="309">
        <v>0.122</v>
      </c>
      <c r="F159" s="309">
        <v>0.13</v>
      </c>
      <c r="G159" s="310">
        <v>0.129</v>
      </c>
    </row>
    <row r="160" spans="1:7">
      <c r="A160" s="319" t="s">
        <v>273</v>
      </c>
      <c r="B160" s="308" t="s">
        <v>2399</v>
      </c>
      <c r="C160" s="309">
        <v>0.13</v>
      </c>
      <c r="D160" s="309">
        <v>0.13</v>
      </c>
      <c r="E160" s="309">
        <v>0.124</v>
      </c>
      <c r="F160" s="309">
        <v>0.126</v>
      </c>
      <c r="G160" s="310">
        <v>0.13</v>
      </c>
    </row>
    <row r="161" spans="1:7">
      <c r="A161" s="319" t="s">
        <v>273</v>
      </c>
      <c r="B161" s="308" t="s">
        <v>2400</v>
      </c>
      <c r="C161" s="309">
        <v>0.13</v>
      </c>
      <c r="D161" s="309">
        <v>0.13</v>
      </c>
      <c r="E161" s="309">
        <v>0.124</v>
      </c>
      <c r="F161" s="309">
        <v>0.127</v>
      </c>
      <c r="G161" s="310">
        <v>0.13</v>
      </c>
    </row>
    <row r="162" spans="1:7">
      <c r="A162" s="319" t="s">
        <v>273</v>
      </c>
      <c r="B162" s="308" t="s">
        <v>2401</v>
      </c>
      <c r="C162" s="309">
        <v>0.1</v>
      </c>
      <c r="D162" s="309">
        <v>0.1</v>
      </c>
      <c r="E162" s="309">
        <v>0.1</v>
      </c>
      <c r="F162" s="309">
        <v>0.121</v>
      </c>
      <c r="G162" s="310">
        <v>0.105</v>
      </c>
    </row>
    <row r="163" spans="1:7">
      <c r="A163" s="319" t="s">
        <v>273</v>
      </c>
      <c r="B163" s="308" t="s">
        <v>2402</v>
      </c>
      <c r="C163" s="309">
        <v>0.1</v>
      </c>
      <c r="D163" s="309">
        <v>0.1</v>
      </c>
      <c r="E163" s="309">
        <v>0.1</v>
      </c>
      <c r="F163" s="309">
        <v>0.1</v>
      </c>
      <c r="G163" s="310">
        <v>0.1</v>
      </c>
    </row>
    <row r="164" spans="1:7">
      <c r="A164" s="319" t="s">
        <v>273</v>
      </c>
      <c r="B164" s="308" t="s">
        <v>2403</v>
      </c>
      <c r="C164" s="325"/>
      <c r="D164" s="325"/>
      <c r="E164" s="325"/>
      <c r="F164" s="309">
        <v>0.1</v>
      </c>
      <c r="G164" s="321"/>
    </row>
    <row r="165" spans="1:7">
      <c r="A165" s="319" t="s">
        <v>273</v>
      </c>
      <c r="B165" s="308" t="s">
        <v>2404</v>
      </c>
      <c r="C165" s="309">
        <v>0.126</v>
      </c>
      <c r="D165" s="309">
        <v>0.126</v>
      </c>
      <c r="E165" s="309">
        <v>0.11899999999999999</v>
      </c>
      <c r="F165" s="309">
        <v>0.13</v>
      </c>
      <c r="G165" s="310">
        <v>0.128</v>
      </c>
    </row>
    <row r="166" spans="1:7">
      <c r="A166" s="319" t="s">
        <v>273</v>
      </c>
      <c r="B166" s="308" t="s">
        <v>2405</v>
      </c>
      <c r="C166" s="309">
        <v>0.129</v>
      </c>
      <c r="D166" s="309">
        <v>0.129</v>
      </c>
      <c r="E166" s="309">
        <v>0.123</v>
      </c>
      <c r="F166" s="309">
        <v>0.128</v>
      </c>
      <c r="G166" s="310">
        <v>0.13</v>
      </c>
    </row>
    <row r="167" spans="1:7">
      <c r="A167" s="319" t="s">
        <v>273</v>
      </c>
      <c r="B167" s="308" t="s">
        <v>2406</v>
      </c>
      <c r="C167" s="309">
        <v>0.125</v>
      </c>
      <c r="D167" s="309">
        <v>0.125</v>
      </c>
      <c r="E167" s="309">
        <v>0.11700000000000001</v>
      </c>
      <c r="F167" s="309">
        <v>0.13</v>
      </c>
      <c r="G167" s="310">
        <v>0.126</v>
      </c>
    </row>
    <row r="168" spans="1:7">
      <c r="A168" s="319" t="s">
        <v>273</v>
      </c>
      <c r="B168" s="308" t="s">
        <v>2407</v>
      </c>
      <c r="C168" s="309">
        <v>0.128</v>
      </c>
      <c r="D168" s="309">
        <v>0.128</v>
      </c>
      <c r="E168" s="309">
        <v>0.123</v>
      </c>
      <c r="F168" s="320"/>
      <c r="G168" s="310">
        <v>0.13</v>
      </c>
    </row>
    <row r="169" spans="1:7">
      <c r="A169" s="319" t="s">
        <v>273</v>
      </c>
      <c r="B169" s="308" t="s">
        <v>2408</v>
      </c>
      <c r="C169" s="325"/>
      <c r="D169" s="325"/>
      <c r="E169" s="325"/>
      <c r="F169" s="309">
        <v>0.05</v>
      </c>
      <c r="G169" s="321"/>
    </row>
    <row r="170" spans="1:7">
      <c r="A170" s="319" t="s">
        <v>273</v>
      </c>
      <c r="B170" s="308" t="s">
        <v>2409</v>
      </c>
      <c r="C170" s="325"/>
      <c r="D170" s="325"/>
      <c r="E170" s="325"/>
      <c r="F170" s="309">
        <v>0.05</v>
      </c>
      <c r="G170" s="321"/>
    </row>
    <row r="171" spans="1:7">
      <c r="A171" s="319" t="s">
        <v>273</v>
      </c>
      <c r="B171" s="308" t="s">
        <v>2410</v>
      </c>
      <c r="C171" s="325"/>
      <c r="D171" s="325"/>
      <c r="E171" s="325"/>
      <c r="F171" s="309">
        <v>0.05</v>
      </c>
      <c r="G171" s="326"/>
    </row>
    <row r="172" spans="1:7">
      <c r="A172" s="319" t="s">
        <v>273</v>
      </c>
      <c r="B172" s="308" t="s">
        <v>2411</v>
      </c>
      <c r="C172" s="325"/>
      <c r="D172" s="325"/>
      <c r="E172" s="325"/>
      <c r="F172" s="309">
        <v>0.05</v>
      </c>
      <c r="G172" s="326"/>
    </row>
    <row r="173" spans="1:7">
      <c r="A173" s="319" t="s">
        <v>273</v>
      </c>
      <c r="B173" s="308" t="s">
        <v>2412</v>
      </c>
      <c r="C173" s="325"/>
      <c r="D173" s="325"/>
      <c r="E173" s="325"/>
      <c r="F173" s="309">
        <v>0.05</v>
      </c>
      <c r="G173" s="321"/>
    </row>
    <row r="174" spans="1:7">
      <c r="A174" s="319" t="s">
        <v>273</v>
      </c>
      <c r="B174" s="308" t="s">
        <v>2413</v>
      </c>
      <c r="C174" s="325"/>
      <c r="D174" s="325"/>
      <c r="E174" s="325"/>
      <c r="F174" s="309">
        <v>0.05</v>
      </c>
      <c r="G174" s="321"/>
    </row>
    <row r="175" spans="1:7">
      <c r="A175" s="319" t="s">
        <v>273</v>
      </c>
      <c r="B175" s="308" t="s">
        <v>2414</v>
      </c>
      <c r="C175" s="325"/>
      <c r="D175" s="325"/>
      <c r="E175" s="325"/>
      <c r="F175" s="309">
        <v>0.05</v>
      </c>
      <c r="G175" s="321"/>
    </row>
    <row r="176" spans="1:7">
      <c r="A176" s="319" t="s">
        <v>273</v>
      </c>
      <c r="B176" s="308" t="s">
        <v>2415</v>
      </c>
      <c r="C176" s="325"/>
      <c r="D176" s="325"/>
      <c r="E176" s="325"/>
      <c r="F176" s="309">
        <v>0.05</v>
      </c>
      <c r="G176" s="321"/>
    </row>
    <row r="177" spans="1:7">
      <c r="A177" s="319" t="s">
        <v>273</v>
      </c>
      <c r="B177" s="308" t="s">
        <v>2416</v>
      </c>
      <c r="C177" s="320"/>
      <c r="D177" s="320"/>
      <c r="E177" s="320"/>
      <c r="F177" s="309">
        <v>0.05</v>
      </c>
      <c r="G177" s="326"/>
    </row>
    <row r="178" spans="1:7">
      <c r="A178" s="319" t="s">
        <v>273</v>
      </c>
      <c r="B178" s="308" t="s">
        <v>2417</v>
      </c>
      <c r="C178" s="320"/>
      <c r="D178" s="320"/>
      <c r="E178" s="320"/>
      <c r="F178" s="309">
        <v>0.05</v>
      </c>
      <c r="G178" s="326"/>
    </row>
    <row r="179" spans="1:7">
      <c r="A179" s="319" t="s">
        <v>273</v>
      </c>
      <c r="B179" s="308" t="s">
        <v>2418</v>
      </c>
      <c r="C179" s="320"/>
      <c r="D179" s="320"/>
      <c r="E179" s="320"/>
      <c r="F179" s="309">
        <v>0.05</v>
      </c>
      <c r="G179" s="326"/>
    </row>
    <row r="180" spans="1:7">
      <c r="A180" s="319" t="s">
        <v>273</v>
      </c>
      <c r="B180" s="308" t="s">
        <v>2419</v>
      </c>
      <c r="C180" s="320"/>
      <c r="D180" s="320"/>
      <c r="E180" s="320"/>
      <c r="F180" s="309">
        <v>0.05</v>
      </c>
      <c r="G180" s="326"/>
    </row>
    <row r="181" spans="1:7">
      <c r="A181" s="319" t="s">
        <v>273</v>
      </c>
      <c r="B181" s="308" t="s">
        <v>2420</v>
      </c>
      <c r="C181" s="320"/>
      <c r="D181" s="320"/>
      <c r="E181" s="320"/>
      <c r="F181" s="309">
        <v>0.05</v>
      </c>
      <c r="G181" s="326"/>
    </row>
    <row r="182" spans="1:7">
      <c r="A182" s="319" t="s">
        <v>273</v>
      </c>
      <c r="B182" s="308" t="s">
        <v>2421</v>
      </c>
      <c r="C182" s="320"/>
      <c r="D182" s="320"/>
      <c r="E182" s="320"/>
      <c r="F182" s="309">
        <v>0.05</v>
      </c>
      <c r="G182" s="326"/>
    </row>
    <row r="183" spans="1:7">
      <c r="A183" s="319" t="s">
        <v>273</v>
      </c>
      <c r="B183" s="308" t="s">
        <v>2422</v>
      </c>
      <c r="C183" s="320"/>
      <c r="D183" s="320"/>
      <c r="E183" s="320"/>
      <c r="F183" s="309">
        <v>0.05</v>
      </c>
      <c r="G183" s="326"/>
    </row>
    <row r="184" spans="1:7">
      <c r="A184" s="319" t="s">
        <v>273</v>
      </c>
      <c r="B184" s="308" t="s">
        <v>2423</v>
      </c>
      <c r="C184" s="320"/>
      <c r="D184" s="320"/>
      <c r="E184" s="320"/>
      <c r="F184" s="309">
        <v>0.05</v>
      </c>
      <c r="G184" s="326"/>
    </row>
    <row r="185" spans="1:7">
      <c r="A185" s="319" t="s">
        <v>273</v>
      </c>
      <c r="B185" s="308" t="s">
        <v>2424</v>
      </c>
      <c r="C185" s="320"/>
      <c r="D185" s="320"/>
      <c r="E185" s="320"/>
      <c r="F185" s="309">
        <v>0.05</v>
      </c>
      <c r="G185" s="326"/>
    </row>
    <row r="186" spans="1:7">
      <c r="A186" s="319" t="s">
        <v>273</v>
      </c>
      <c r="B186" s="308" t="s">
        <v>2425</v>
      </c>
      <c r="C186" s="320"/>
      <c r="D186" s="320"/>
      <c r="E186" s="320"/>
      <c r="F186" s="309">
        <v>0.05</v>
      </c>
      <c r="G186" s="326"/>
    </row>
    <row r="187" spans="1:7">
      <c r="A187" s="319" t="s">
        <v>273</v>
      </c>
      <c r="B187" s="308" t="s">
        <v>2426</v>
      </c>
      <c r="C187" s="320"/>
      <c r="D187" s="320"/>
      <c r="E187" s="320"/>
      <c r="F187" s="309">
        <v>0.05</v>
      </c>
      <c r="G187" s="326"/>
    </row>
    <row r="188" spans="1:7">
      <c r="A188" s="319" t="s">
        <v>273</v>
      </c>
      <c r="B188" s="308" t="s">
        <v>2427</v>
      </c>
      <c r="C188" s="320"/>
      <c r="D188" s="320"/>
      <c r="E188" s="320"/>
      <c r="F188" s="309">
        <v>0.05</v>
      </c>
      <c r="G188" s="326"/>
    </row>
    <row r="189" spans="1:7">
      <c r="A189" s="322" t="s">
        <v>273</v>
      </c>
      <c r="B189" s="312" t="s">
        <v>2428</v>
      </c>
      <c r="C189" s="314"/>
      <c r="D189" s="314"/>
      <c r="E189" s="314"/>
      <c r="F189" s="313">
        <v>0.05</v>
      </c>
      <c r="G189" s="327"/>
    </row>
    <row r="190" spans="1:7">
      <c r="A190" s="318" t="s">
        <v>278</v>
      </c>
      <c r="B190" s="304" t="s">
        <v>2429</v>
      </c>
      <c r="C190" s="305">
        <v>0.124</v>
      </c>
      <c r="D190" s="305">
        <v>0.124</v>
      </c>
      <c r="E190" s="305">
        <v>0.129</v>
      </c>
      <c r="F190" s="305">
        <v>0.13</v>
      </c>
      <c r="G190" s="306">
        <v>0.127</v>
      </c>
    </row>
    <row r="191" spans="1:7">
      <c r="A191" s="319" t="s">
        <v>278</v>
      </c>
      <c r="B191" s="308" t="s">
        <v>2430</v>
      </c>
      <c r="C191" s="309">
        <v>0.13</v>
      </c>
      <c r="D191" s="309">
        <v>0.13</v>
      </c>
      <c r="E191" s="309">
        <v>0.13</v>
      </c>
      <c r="F191" s="309">
        <v>0.13</v>
      </c>
      <c r="G191" s="310">
        <v>0.13</v>
      </c>
    </row>
    <row r="192" spans="1:7">
      <c r="A192" s="319" t="s">
        <v>278</v>
      </c>
      <c r="B192" s="308" t="s">
        <v>2431</v>
      </c>
      <c r="C192" s="309">
        <v>0.13</v>
      </c>
      <c r="D192" s="309">
        <v>0.13</v>
      </c>
      <c r="E192" s="309">
        <v>0.13</v>
      </c>
      <c r="F192" s="309">
        <v>0.13</v>
      </c>
      <c r="G192" s="310">
        <v>0.13</v>
      </c>
    </row>
    <row r="193" spans="1:7">
      <c r="A193" s="319" t="s">
        <v>278</v>
      </c>
      <c r="B193" s="308" t="s">
        <v>2432</v>
      </c>
      <c r="C193" s="309">
        <v>0.13</v>
      </c>
      <c r="D193" s="309">
        <v>0.13</v>
      </c>
      <c r="E193" s="309">
        <v>0.13</v>
      </c>
      <c r="F193" s="309">
        <v>0.13</v>
      </c>
      <c r="G193" s="310">
        <v>0.13</v>
      </c>
    </row>
    <row r="194" spans="1:7">
      <c r="A194" s="319" t="s">
        <v>278</v>
      </c>
      <c r="B194" s="308" t="s">
        <v>2433</v>
      </c>
      <c r="C194" s="309">
        <v>0.123</v>
      </c>
      <c r="D194" s="309">
        <v>0.123</v>
      </c>
      <c r="E194" s="309">
        <v>0.128</v>
      </c>
      <c r="F194" s="309">
        <v>0.13</v>
      </c>
      <c r="G194" s="310">
        <v>0.126</v>
      </c>
    </row>
    <row r="195" spans="1:7">
      <c r="A195" s="319" t="s">
        <v>278</v>
      </c>
      <c r="B195" s="308" t="s">
        <v>2434</v>
      </c>
      <c r="C195" s="309">
        <v>0.127</v>
      </c>
      <c r="D195" s="309">
        <v>0.127</v>
      </c>
      <c r="E195" s="309">
        <v>0.121</v>
      </c>
      <c r="F195" s="309">
        <v>0.129</v>
      </c>
      <c r="G195" s="310">
        <v>0.129</v>
      </c>
    </row>
    <row r="196" spans="1:7">
      <c r="A196" s="319" t="s">
        <v>278</v>
      </c>
      <c r="B196" s="308" t="s">
        <v>2435</v>
      </c>
      <c r="C196" s="309">
        <v>0.127</v>
      </c>
      <c r="D196" s="309">
        <v>0.128</v>
      </c>
      <c r="E196" s="309">
        <v>0.122</v>
      </c>
      <c r="F196" s="309">
        <v>0.13</v>
      </c>
      <c r="G196" s="310">
        <v>0.129</v>
      </c>
    </row>
    <row r="197" spans="1:7">
      <c r="A197" s="319" t="s">
        <v>278</v>
      </c>
      <c r="B197" s="308" t="s">
        <v>2436</v>
      </c>
      <c r="C197" s="309">
        <v>0.126</v>
      </c>
      <c r="D197" s="309">
        <v>0.126</v>
      </c>
      <c r="E197" s="309">
        <v>0.11899999999999999</v>
      </c>
      <c r="F197" s="309">
        <v>0.13</v>
      </c>
      <c r="G197" s="310">
        <v>0.128</v>
      </c>
    </row>
    <row r="198" spans="1:7">
      <c r="A198" s="319" t="s">
        <v>278</v>
      </c>
      <c r="B198" s="308" t="s">
        <v>2437</v>
      </c>
      <c r="C198" s="309">
        <v>0.13</v>
      </c>
      <c r="D198" s="309">
        <v>0.13</v>
      </c>
      <c r="E198" s="309">
        <v>0.126</v>
      </c>
      <c r="F198" s="325"/>
      <c r="G198" s="310">
        <v>0.13</v>
      </c>
    </row>
    <row r="199" spans="1:7">
      <c r="A199" s="319" t="s">
        <v>278</v>
      </c>
      <c r="B199" s="308" t="s">
        <v>2438</v>
      </c>
      <c r="C199" s="309">
        <v>0.13</v>
      </c>
      <c r="D199" s="309">
        <v>0.13</v>
      </c>
      <c r="E199" s="309">
        <v>0.13</v>
      </c>
      <c r="F199" s="309">
        <v>0.13</v>
      </c>
      <c r="G199" s="310">
        <v>0.13</v>
      </c>
    </row>
    <row r="200" spans="1:7">
      <c r="A200" s="319" t="s">
        <v>278</v>
      </c>
      <c r="B200" s="308" t="s">
        <v>2439</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2440</v>
      </c>
      <c r="C202" s="309">
        <v>0.13</v>
      </c>
      <c r="D202" s="309">
        <v>0.13</v>
      </c>
      <c r="E202" s="309">
        <v>0.13</v>
      </c>
      <c r="F202" s="309">
        <v>0.13</v>
      </c>
      <c r="G202" s="310">
        <v>0.13</v>
      </c>
    </row>
    <row r="203" spans="1:7">
      <c r="A203" s="319" t="s">
        <v>278</v>
      </c>
      <c r="B203" s="308" t="s">
        <v>2441</v>
      </c>
      <c r="C203" s="309">
        <v>0.129</v>
      </c>
      <c r="D203" s="309">
        <v>0.129</v>
      </c>
      <c r="E203" s="309">
        <v>0.13</v>
      </c>
      <c r="F203" s="309">
        <v>0.13</v>
      </c>
      <c r="G203" s="310">
        <v>0.13</v>
      </c>
    </row>
    <row r="204" spans="1:7">
      <c r="A204" s="319" t="s">
        <v>278</v>
      </c>
      <c r="B204" s="308" t="s">
        <v>2442</v>
      </c>
      <c r="C204" s="309">
        <v>0.129</v>
      </c>
      <c r="D204" s="309">
        <v>0.129</v>
      </c>
      <c r="E204" s="309">
        <v>0.123</v>
      </c>
      <c r="F204" s="309">
        <v>0.13</v>
      </c>
      <c r="G204" s="310">
        <v>0.13</v>
      </c>
    </row>
    <row r="205" spans="1:7">
      <c r="A205" s="319" t="s">
        <v>278</v>
      </c>
      <c r="B205" s="308" t="s">
        <v>2443</v>
      </c>
      <c r="C205" s="309">
        <v>0.13</v>
      </c>
      <c r="D205" s="309">
        <v>0.13</v>
      </c>
      <c r="E205" s="309">
        <v>0.13</v>
      </c>
      <c r="F205" s="309">
        <v>0.13</v>
      </c>
      <c r="G205" s="310">
        <v>0.13</v>
      </c>
    </row>
    <row r="206" spans="1:7">
      <c r="A206" s="319" t="s">
        <v>278</v>
      </c>
      <c r="B206" s="308" t="s">
        <v>2444</v>
      </c>
      <c r="C206" s="309">
        <v>0.13</v>
      </c>
      <c r="D206" s="309">
        <v>0.13</v>
      </c>
      <c r="E206" s="309">
        <v>0.13</v>
      </c>
      <c r="F206" s="309">
        <v>0.128</v>
      </c>
      <c r="G206" s="310">
        <v>0.13</v>
      </c>
    </row>
    <row r="207" spans="1:7">
      <c r="A207" s="319" t="s">
        <v>278</v>
      </c>
      <c r="B207" s="308" t="s">
        <v>2445</v>
      </c>
      <c r="C207" s="309">
        <v>0.13</v>
      </c>
      <c r="D207" s="309">
        <v>0.13</v>
      </c>
      <c r="E207" s="309">
        <v>0.13</v>
      </c>
      <c r="F207" s="309">
        <v>0.13</v>
      </c>
      <c r="G207" s="310">
        <v>0.13</v>
      </c>
    </row>
    <row r="208" spans="1:7">
      <c r="A208" s="319" t="s">
        <v>278</v>
      </c>
      <c r="B208" s="308" t="s">
        <v>2446</v>
      </c>
      <c r="C208" s="309">
        <v>0.13</v>
      </c>
      <c r="D208" s="309">
        <v>0.13</v>
      </c>
      <c r="E208" s="309">
        <v>0.13</v>
      </c>
      <c r="F208" s="309">
        <v>0.13</v>
      </c>
      <c r="G208" s="310">
        <v>0.13</v>
      </c>
    </row>
    <row r="209" spans="1:7">
      <c r="A209" s="319" t="s">
        <v>278</v>
      </c>
      <c r="B209" s="308" t="s">
        <v>2447</v>
      </c>
      <c r="C209" s="309">
        <v>0.13</v>
      </c>
      <c r="D209" s="309">
        <v>0.13</v>
      </c>
      <c r="E209" s="309">
        <v>0.13</v>
      </c>
      <c r="F209" s="309">
        <v>0.13</v>
      </c>
      <c r="G209" s="310">
        <v>0.13</v>
      </c>
    </row>
    <row r="210" spans="1:7">
      <c r="A210" s="319" t="s">
        <v>278</v>
      </c>
      <c r="B210" s="308" t="s">
        <v>2448</v>
      </c>
      <c r="C210" s="309">
        <v>0.121</v>
      </c>
      <c r="D210" s="309">
        <v>0.121</v>
      </c>
      <c r="E210" s="309">
        <v>0.125</v>
      </c>
      <c r="F210" s="309">
        <v>0.13</v>
      </c>
      <c r="G210" s="310">
        <v>0.123</v>
      </c>
    </row>
    <row r="211" spans="1:7">
      <c r="A211" s="319" t="s">
        <v>278</v>
      </c>
      <c r="B211" s="308" t="s">
        <v>2449</v>
      </c>
      <c r="C211" s="309">
        <v>0.123</v>
      </c>
      <c r="D211" s="309">
        <v>0.123</v>
      </c>
      <c r="E211" s="309">
        <v>0.127</v>
      </c>
      <c r="F211" s="309">
        <v>0.115</v>
      </c>
      <c r="G211" s="310">
        <v>0.126</v>
      </c>
    </row>
    <row r="212" spans="1:7">
      <c r="A212" s="319" t="s">
        <v>278</v>
      </c>
      <c r="B212" s="308" t="s">
        <v>2450</v>
      </c>
      <c r="C212" s="309">
        <v>0.126</v>
      </c>
      <c r="D212" s="309">
        <v>0.126</v>
      </c>
      <c r="E212" s="309">
        <v>0.13</v>
      </c>
      <c r="F212" s="309">
        <v>0.13</v>
      </c>
      <c r="G212" s="310">
        <v>0.129</v>
      </c>
    </row>
    <row r="213" spans="1:7">
      <c r="A213" s="319" t="s">
        <v>278</v>
      </c>
      <c r="B213" s="308" t="s">
        <v>2451</v>
      </c>
      <c r="C213" s="309">
        <v>0.129</v>
      </c>
      <c r="D213" s="309">
        <v>0.13</v>
      </c>
      <c r="E213" s="309">
        <v>0.127</v>
      </c>
      <c r="F213" s="309">
        <v>0.13</v>
      </c>
      <c r="G213" s="310">
        <v>0.13</v>
      </c>
    </row>
    <row r="214" spans="1:7">
      <c r="A214" s="319" t="s">
        <v>278</v>
      </c>
      <c r="B214" s="308" t="s">
        <v>2452</v>
      </c>
      <c r="C214" s="309">
        <v>0.128</v>
      </c>
      <c r="D214" s="309">
        <v>0.128</v>
      </c>
      <c r="E214" s="309">
        <v>0.13</v>
      </c>
      <c r="F214" s="309">
        <v>0.13</v>
      </c>
      <c r="G214" s="310">
        <v>0.13</v>
      </c>
    </row>
    <row r="215" spans="1:7">
      <c r="A215" s="319" t="s">
        <v>278</v>
      </c>
      <c r="B215" s="308" t="s">
        <v>2453</v>
      </c>
      <c r="C215" s="309">
        <v>0.13</v>
      </c>
      <c r="D215" s="309">
        <v>0.13</v>
      </c>
      <c r="E215" s="309">
        <v>0.13</v>
      </c>
      <c r="F215" s="309">
        <v>0.129</v>
      </c>
      <c r="G215" s="310">
        <v>0.13</v>
      </c>
    </row>
    <row r="216" spans="1:7">
      <c r="A216" s="319" t="s">
        <v>278</v>
      </c>
      <c r="B216" s="308" t="s">
        <v>2454</v>
      </c>
      <c r="C216" s="309">
        <v>0.13</v>
      </c>
      <c r="D216" s="309">
        <v>0.13</v>
      </c>
      <c r="E216" s="309">
        <v>0.13</v>
      </c>
      <c r="F216" s="309">
        <v>0.13</v>
      </c>
      <c r="G216" s="310">
        <v>0.13</v>
      </c>
    </row>
    <row r="217" spans="1:7">
      <c r="A217" s="319" t="s">
        <v>278</v>
      </c>
      <c r="B217" s="308" t="s">
        <v>2455</v>
      </c>
      <c r="C217" s="309">
        <v>0.129</v>
      </c>
      <c r="D217" s="309">
        <v>0.129</v>
      </c>
      <c r="E217" s="309">
        <v>0.13</v>
      </c>
      <c r="F217" s="309">
        <v>0.13</v>
      </c>
      <c r="G217" s="310">
        <v>0.13</v>
      </c>
    </row>
    <row r="218" spans="1:7">
      <c r="A218" s="319" t="s">
        <v>278</v>
      </c>
      <c r="B218" s="308" t="s">
        <v>2456</v>
      </c>
      <c r="C218" s="320"/>
      <c r="D218" s="320"/>
      <c r="E218" s="320"/>
      <c r="F218" s="309">
        <v>0.05</v>
      </c>
      <c r="G218" s="326"/>
    </row>
    <row r="219" spans="1:7">
      <c r="A219" s="319" t="s">
        <v>278</v>
      </c>
      <c r="B219" s="308" t="s">
        <v>2457</v>
      </c>
      <c r="C219" s="320"/>
      <c r="D219" s="320"/>
      <c r="E219" s="320"/>
      <c r="F219" s="309">
        <v>0.05</v>
      </c>
      <c r="G219" s="326"/>
    </row>
    <row r="220" spans="1:7">
      <c r="A220" s="319" t="s">
        <v>278</v>
      </c>
      <c r="B220" s="308" t="s">
        <v>2458</v>
      </c>
      <c r="C220" s="320"/>
      <c r="D220" s="320"/>
      <c r="E220" s="320"/>
      <c r="F220" s="309">
        <v>0.05</v>
      </c>
      <c r="G220" s="326"/>
    </row>
    <row r="221" spans="1:7">
      <c r="A221" s="319" t="s">
        <v>278</v>
      </c>
      <c r="B221" s="308" t="s">
        <v>2459</v>
      </c>
      <c r="C221" s="320"/>
      <c r="D221" s="320"/>
      <c r="E221" s="320"/>
      <c r="F221" s="309">
        <v>0.05</v>
      </c>
      <c r="G221" s="326"/>
    </row>
    <row r="222" spans="1:7">
      <c r="A222" s="319" t="s">
        <v>278</v>
      </c>
      <c r="B222" s="308" t="s">
        <v>2460</v>
      </c>
      <c r="C222" s="320"/>
      <c r="D222" s="320"/>
      <c r="E222" s="320"/>
      <c r="F222" s="309">
        <v>0.05</v>
      </c>
      <c r="G222" s="326"/>
    </row>
    <row r="223" spans="1:7">
      <c r="A223" s="319" t="s">
        <v>278</v>
      </c>
      <c r="B223" s="308" t="s">
        <v>2461</v>
      </c>
      <c r="C223" s="320"/>
      <c r="D223" s="320"/>
      <c r="E223" s="320"/>
      <c r="F223" s="309">
        <v>0.05</v>
      </c>
      <c r="G223" s="326"/>
    </row>
    <row r="224" spans="1:7">
      <c r="A224" s="319" t="s">
        <v>278</v>
      </c>
      <c r="B224" s="308" t="s">
        <v>2462</v>
      </c>
      <c r="C224" s="320"/>
      <c r="D224" s="320"/>
      <c r="E224" s="320"/>
      <c r="F224" s="309">
        <v>0.05</v>
      </c>
      <c r="G224" s="326"/>
    </row>
    <row r="225" spans="1:7">
      <c r="A225" s="319" t="s">
        <v>278</v>
      </c>
      <c r="B225" s="308" t="s">
        <v>2463</v>
      </c>
      <c r="C225" s="320"/>
      <c r="D225" s="320"/>
      <c r="E225" s="320"/>
      <c r="F225" s="309">
        <v>0.05</v>
      </c>
      <c r="G225" s="326"/>
    </row>
    <row r="226" spans="1:7">
      <c r="A226" s="319" t="s">
        <v>278</v>
      </c>
      <c r="B226" s="308" t="s">
        <v>2464</v>
      </c>
      <c r="C226" s="320"/>
      <c r="D226" s="320"/>
      <c r="E226" s="320"/>
      <c r="F226" s="309">
        <v>0.05</v>
      </c>
      <c r="G226" s="326"/>
    </row>
    <row r="227" spans="1:7">
      <c r="A227" s="319" t="s">
        <v>278</v>
      </c>
      <c r="B227" s="308" t="s">
        <v>2465</v>
      </c>
      <c r="C227" s="320"/>
      <c r="D227" s="320"/>
      <c r="E227" s="320"/>
      <c r="F227" s="309">
        <v>0.05</v>
      </c>
      <c r="G227" s="326"/>
    </row>
    <row r="228" spans="1:7">
      <c r="A228" s="319" t="s">
        <v>278</v>
      </c>
      <c r="B228" s="308" t="s">
        <v>2466</v>
      </c>
      <c r="C228" s="320"/>
      <c r="D228" s="320"/>
      <c r="E228" s="320"/>
      <c r="F228" s="309">
        <v>0.05</v>
      </c>
      <c r="G228" s="326"/>
    </row>
    <row r="229" spans="1:7">
      <c r="A229" s="319" t="s">
        <v>278</v>
      </c>
      <c r="B229" s="308" t="s">
        <v>2467</v>
      </c>
      <c r="C229" s="320"/>
      <c r="D229" s="320"/>
      <c r="E229" s="320"/>
      <c r="F229" s="309">
        <v>0.05</v>
      </c>
      <c r="G229" s="326"/>
    </row>
    <row r="230" spans="1:7">
      <c r="A230" s="319" t="s">
        <v>278</v>
      </c>
      <c r="B230" s="308" t="s">
        <v>2468</v>
      </c>
      <c r="C230" s="320"/>
      <c r="D230" s="320"/>
      <c r="E230" s="320"/>
      <c r="F230" s="309">
        <v>0.05</v>
      </c>
      <c r="G230" s="326"/>
    </row>
    <row r="231" spans="1:7">
      <c r="A231" s="319" t="s">
        <v>278</v>
      </c>
      <c r="B231" s="308" t="s">
        <v>2469</v>
      </c>
      <c r="C231" s="320"/>
      <c r="D231" s="320"/>
      <c r="E231" s="320"/>
      <c r="F231" s="309">
        <v>0.05</v>
      </c>
      <c r="G231" s="326"/>
    </row>
    <row r="232" spans="1:7">
      <c r="A232" s="319" t="s">
        <v>278</v>
      </c>
      <c r="B232" s="308" t="s">
        <v>2470</v>
      </c>
      <c r="C232" s="320"/>
      <c r="D232" s="320"/>
      <c r="E232" s="320"/>
      <c r="F232" s="309">
        <v>0.05</v>
      </c>
      <c r="G232" s="326"/>
    </row>
    <row r="233" spans="1:7">
      <c r="A233" s="322" t="s">
        <v>278</v>
      </c>
      <c r="B233" s="312" t="s">
        <v>2471</v>
      </c>
      <c r="C233" s="314"/>
      <c r="D233" s="314"/>
      <c r="E233" s="314"/>
      <c r="F233" s="313">
        <v>0.05</v>
      </c>
      <c r="G233" s="327"/>
    </row>
    <row r="234" spans="1:7">
      <c r="A234" s="318" t="s">
        <v>284</v>
      </c>
      <c r="B234" s="304" t="s">
        <v>2472</v>
      </c>
      <c r="C234" s="305">
        <v>0.13</v>
      </c>
      <c r="D234" s="305">
        <v>0.128</v>
      </c>
      <c r="E234" s="305">
        <v>0.14199999999999999</v>
      </c>
      <c r="F234" s="305">
        <v>0.14699999999999999</v>
      </c>
      <c r="G234" s="306">
        <v>0.14000000000000001</v>
      </c>
    </row>
    <row r="235" spans="1:7">
      <c r="A235" s="319" t="s">
        <v>284</v>
      </c>
      <c r="B235" s="308" t="s">
        <v>2473</v>
      </c>
      <c r="C235" s="309">
        <v>0.13600000000000001</v>
      </c>
      <c r="D235" s="309">
        <v>0.13800000000000001</v>
      </c>
      <c r="E235" s="309">
        <v>0.14499999999999999</v>
      </c>
      <c r="F235" s="309">
        <v>0.14299999999999999</v>
      </c>
      <c r="G235" s="310">
        <v>0.14099999999999999</v>
      </c>
    </row>
    <row r="236" spans="1:7">
      <c r="A236" s="319" t="s">
        <v>284</v>
      </c>
      <c r="B236" s="308" t="s">
        <v>2474</v>
      </c>
      <c r="C236" s="309">
        <v>0.15</v>
      </c>
      <c r="D236" s="309">
        <v>0.15</v>
      </c>
      <c r="E236" s="309">
        <v>0.15</v>
      </c>
      <c r="F236" s="309">
        <v>0.15</v>
      </c>
      <c r="G236" s="310">
        <v>0.15</v>
      </c>
    </row>
    <row r="237" spans="1:7">
      <c r="A237" s="319" t="s">
        <v>284</v>
      </c>
      <c r="B237" s="308" t="s">
        <v>2475</v>
      </c>
      <c r="C237" s="309">
        <v>0.15</v>
      </c>
      <c r="D237" s="309">
        <v>0.15</v>
      </c>
      <c r="E237" s="309">
        <v>0.15</v>
      </c>
      <c r="F237" s="309">
        <v>0.15</v>
      </c>
      <c r="G237" s="310">
        <v>0.15</v>
      </c>
    </row>
    <row r="238" spans="1:7">
      <c r="A238" s="319" t="s">
        <v>284</v>
      </c>
      <c r="B238" s="308" t="s">
        <v>2476</v>
      </c>
      <c r="C238" s="309">
        <v>0.14899999999999999</v>
      </c>
      <c r="D238" s="309">
        <v>0.14899999999999999</v>
      </c>
      <c r="E238" s="309">
        <v>0.15</v>
      </c>
      <c r="F238" s="309">
        <v>0.15</v>
      </c>
      <c r="G238" s="310">
        <v>0.15</v>
      </c>
    </row>
    <row r="239" spans="1:7">
      <c r="A239" s="319" t="s">
        <v>284</v>
      </c>
      <c r="B239" s="308" t="s">
        <v>2477</v>
      </c>
      <c r="C239" s="309">
        <v>0.15</v>
      </c>
      <c r="D239" s="309">
        <v>0.15</v>
      </c>
      <c r="E239" s="309">
        <v>0.15</v>
      </c>
      <c r="F239" s="309">
        <v>0.15</v>
      </c>
      <c r="G239" s="310">
        <v>0.15</v>
      </c>
    </row>
    <row r="240" spans="1:7">
      <c r="A240" s="319" t="s">
        <v>284</v>
      </c>
      <c r="B240" s="308" t="s">
        <v>2478</v>
      </c>
      <c r="C240" s="309">
        <v>0.15</v>
      </c>
      <c r="D240" s="309">
        <v>0.15</v>
      </c>
      <c r="E240" s="309">
        <v>0.15</v>
      </c>
      <c r="F240" s="309">
        <v>0.15</v>
      </c>
      <c r="G240" s="310">
        <v>0.15</v>
      </c>
    </row>
    <row r="241" spans="1:7">
      <c r="A241" s="319" t="s">
        <v>284</v>
      </c>
      <c r="B241" s="308" t="s">
        <v>2479</v>
      </c>
      <c r="C241" s="309">
        <v>0.14099999999999999</v>
      </c>
      <c r="D241" s="309">
        <v>0.14199999999999999</v>
      </c>
      <c r="E241" s="309">
        <v>0.14899999999999999</v>
      </c>
      <c r="F241" s="309">
        <v>0.15</v>
      </c>
      <c r="G241" s="310">
        <v>0.14399999999999999</v>
      </c>
    </row>
    <row r="242" spans="1:7">
      <c r="A242" s="319" t="s">
        <v>284</v>
      </c>
      <c r="B242" s="308" t="s">
        <v>2480</v>
      </c>
      <c r="C242" s="309">
        <v>0.14099999999999999</v>
      </c>
      <c r="D242" s="309">
        <v>0.14199999999999999</v>
      </c>
      <c r="E242" s="309">
        <v>0.14799999999999999</v>
      </c>
      <c r="F242" s="309">
        <v>0.127</v>
      </c>
      <c r="G242" s="310">
        <v>0.14399999999999999</v>
      </c>
    </row>
    <row r="243" spans="1:7">
      <c r="A243" s="319" t="s">
        <v>284</v>
      </c>
      <c r="B243" s="308" t="s">
        <v>2481</v>
      </c>
      <c r="C243" s="309">
        <v>0.14699999999999999</v>
      </c>
      <c r="D243" s="309">
        <v>0.14699999999999999</v>
      </c>
      <c r="E243" s="309">
        <v>0.15</v>
      </c>
      <c r="F243" s="309">
        <v>0.15</v>
      </c>
      <c r="G243" s="310">
        <v>0.14899999999999999</v>
      </c>
    </row>
    <row r="244" spans="1:7">
      <c r="A244" s="319" t="s">
        <v>284</v>
      </c>
      <c r="B244" s="308" t="s">
        <v>2482</v>
      </c>
      <c r="C244" s="309">
        <v>0.15</v>
      </c>
      <c r="D244" s="309">
        <v>0.15</v>
      </c>
      <c r="E244" s="309">
        <v>0.15</v>
      </c>
      <c r="F244" s="309">
        <v>0.15</v>
      </c>
      <c r="G244" s="310">
        <v>0.15</v>
      </c>
    </row>
    <row r="245" spans="1:7">
      <c r="A245" s="319" t="s">
        <v>284</v>
      </c>
      <c r="B245" s="308" t="s">
        <v>2483</v>
      </c>
      <c r="C245" s="309">
        <v>0.14199999999999999</v>
      </c>
      <c r="D245" s="309">
        <v>0.14199999999999999</v>
      </c>
      <c r="E245" s="309">
        <v>0.15</v>
      </c>
      <c r="F245" s="309">
        <v>0.15</v>
      </c>
      <c r="G245" s="310">
        <v>0.14499999999999999</v>
      </c>
    </row>
    <row r="246" spans="1:7">
      <c r="A246" s="319" t="s">
        <v>284</v>
      </c>
      <c r="B246" s="308" t="s">
        <v>2484</v>
      </c>
      <c r="C246" s="309">
        <v>0.14199999999999999</v>
      </c>
      <c r="D246" s="309">
        <v>0.14299999999999999</v>
      </c>
      <c r="E246" s="309">
        <v>0.15</v>
      </c>
      <c r="F246" s="309">
        <v>0.14199999999999999</v>
      </c>
      <c r="G246" s="310">
        <v>0.14399999999999999</v>
      </c>
    </row>
    <row r="247" spans="1:7">
      <c r="A247" s="319" t="s">
        <v>284</v>
      </c>
      <c r="B247" s="308" t="s">
        <v>2485</v>
      </c>
      <c r="C247" s="309">
        <v>0.14899999999999999</v>
      </c>
      <c r="D247" s="309">
        <v>0.14899999999999999</v>
      </c>
      <c r="E247" s="309">
        <v>0.15</v>
      </c>
      <c r="F247" s="309">
        <v>0.15</v>
      </c>
      <c r="G247" s="310">
        <v>0.15</v>
      </c>
    </row>
    <row r="248" spans="1:7">
      <c r="A248" s="319" t="s">
        <v>284</v>
      </c>
      <c r="B248" s="308" t="s">
        <v>2486</v>
      </c>
      <c r="C248" s="309">
        <v>0.14399999999999999</v>
      </c>
      <c r="D248" s="309">
        <v>0.14399999999999999</v>
      </c>
      <c r="E248" s="309">
        <v>0.14899999999999999</v>
      </c>
      <c r="F248" s="309">
        <v>0.14799999999999999</v>
      </c>
      <c r="G248" s="310">
        <v>0.14599999999999999</v>
      </c>
    </row>
    <row r="249" spans="1:7">
      <c r="A249" s="319" t="s">
        <v>284</v>
      </c>
      <c r="B249" s="308" t="s">
        <v>2487</v>
      </c>
      <c r="C249" s="309">
        <v>0.14000000000000001</v>
      </c>
      <c r="D249" s="309">
        <v>0.14000000000000001</v>
      </c>
      <c r="E249" s="309">
        <v>0.14699999999999999</v>
      </c>
      <c r="F249" s="309">
        <v>0.14899999999999999</v>
      </c>
      <c r="G249" s="310">
        <v>0.14199999999999999</v>
      </c>
    </row>
    <row r="250" spans="1:7">
      <c r="A250" s="319" t="s">
        <v>284</v>
      </c>
      <c r="B250" s="308" t="s">
        <v>2488</v>
      </c>
      <c r="C250" s="309">
        <v>0.14399999999999999</v>
      </c>
      <c r="D250" s="309">
        <v>0.14299999999999999</v>
      </c>
      <c r="E250" s="309">
        <v>0.14899999999999999</v>
      </c>
      <c r="F250" s="309">
        <v>0.15</v>
      </c>
      <c r="G250" s="310">
        <v>0.14599999999999999</v>
      </c>
    </row>
    <row r="251" spans="1:7">
      <c r="A251" s="319" t="s">
        <v>284</v>
      </c>
      <c r="B251" s="308" t="s">
        <v>2489</v>
      </c>
      <c r="C251" s="325"/>
      <c r="D251" s="320"/>
      <c r="E251" s="320"/>
      <c r="F251" s="309">
        <v>0.1</v>
      </c>
      <c r="G251" s="326"/>
    </row>
    <row r="252" spans="1:7">
      <c r="A252" s="319" t="s">
        <v>284</v>
      </c>
      <c r="B252" s="308" t="s">
        <v>2490</v>
      </c>
      <c r="C252" s="309">
        <v>0.14399999999999999</v>
      </c>
      <c r="D252" s="309">
        <v>0.14399999999999999</v>
      </c>
      <c r="E252" s="309">
        <v>0.15</v>
      </c>
      <c r="F252" s="309">
        <v>0.14899999999999999</v>
      </c>
      <c r="G252" s="310">
        <v>0.14599999999999999</v>
      </c>
    </row>
    <row r="253" spans="1:7">
      <c r="A253" s="319" t="s">
        <v>284</v>
      </c>
      <c r="B253" s="308" t="s">
        <v>2491</v>
      </c>
      <c r="C253" s="309">
        <v>0.14199999999999999</v>
      </c>
      <c r="D253" s="309">
        <v>0.14199999999999999</v>
      </c>
      <c r="E253" s="309">
        <v>0.14599999999999999</v>
      </c>
      <c r="F253" s="309">
        <v>0.14799999999999999</v>
      </c>
      <c r="G253" s="310">
        <v>0.14499999999999999</v>
      </c>
    </row>
    <row r="254" spans="1:7">
      <c r="A254" s="319" t="s">
        <v>284</v>
      </c>
      <c r="B254" s="308" t="s">
        <v>2492</v>
      </c>
      <c r="C254" s="309">
        <v>0.15</v>
      </c>
      <c r="D254" s="309">
        <v>0.15</v>
      </c>
      <c r="E254" s="309">
        <v>0.15</v>
      </c>
      <c r="F254" s="309">
        <v>0.15</v>
      </c>
      <c r="G254" s="310">
        <v>0.15</v>
      </c>
    </row>
    <row r="255" spans="1:7">
      <c r="A255" s="319" t="s">
        <v>284</v>
      </c>
      <c r="B255" s="308" t="s">
        <v>2493</v>
      </c>
      <c r="C255" s="309">
        <v>0.14299999999999999</v>
      </c>
      <c r="D255" s="309">
        <v>0.14299999999999999</v>
      </c>
      <c r="E255" s="309">
        <v>0.15</v>
      </c>
      <c r="F255" s="309">
        <v>0.15</v>
      </c>
      <c r="G255" s="310">
        <v>0.14499999999999999</v>
      </c>
    </row>
    <row r="256" spans="1:7">
      <c r="A256" s="319" t="s">
        <v>284</v>
      </c>
      <c r="B256" s="308" t="s">
        <v>2494</v>
      </c>
      <c r="C256" s="309">
        <v>0.15</v>
      </c>
      <c r="D256" s="309">
        <v>0.15</v>
      </c>
      <c r="E256" s="309">
        <v>0.15</v>
      </c>
      <c r="F256" s="309">
        <v>0.14599999999999999</v>
      </c>
      <c r="G256" s="310">
        <v>0.15</v>
      </c>
    </row>
    <row r="257" spans="1:7">
      <c r="A257" s="319" t="s">
        <v>284</v>
      </c>
      <c r="B257" s="308" t="s">
        <v>2495</v>
      </c>
      <c r="C257" s="309">
        <v>0.14199999999999999</v>
      </c>
      <c r="D257" s="309">
        <v>0.14299999999999999</v>
      </c>
      <c r="E257" s="309">
        <v>0.14799999999999999</v>
      </c>
      <c r="F257" s="309">
        <v>0.15</v>
      </c>
      <c r="G257" s="310">
        <v>0.14499999999999999</v>
      </c>
    </row>
    <row r="258" spans="1:7">
      <c r="A258" s="319" t="s">
        <v>284</v>
      </c>
      <c r="B258" s="308" t="s">
        <v>2496</v>
      </c>
      <c r="C258" s="309">
        <v>0.14299999999999999</v>
      </c>
      <c r="D258" s="309">
        <v>0.14299999999999999</v>
      </c>
      <c r="E258" s="309">
        <v>0.15</v>
      </c>
      <c r="F258" s="309">
        <v>0.14799999999999999</v>
      </c>
      <c r="G258" s="310">
        <v>0.14599999999999999</v>
      </c>
    </row>
    <row r="259" spans="1:7">
      <c r="A259" s="319" t="s">
        <v>284</v>
      </c>
      <c r="B259" s="308" t="s">
        <v>2497</v>
      </c>
      <c r="C259" s="309">
        <v>0.14399999999999999</v>
      </c>
      <c r="D259" s="309">
        <v>0.14399999999999999</v>
      </c>
      <c r="E259" s="309">
        <v>0.14899999999999999</v>
      </c>
      <c r="F259" s="309">
        <v>0.14699999999999999</v>
      </c>
      <c r="G259" s="310">
        <v>0.14599999999999999</v>
      </c>
    </row>
    <row r="260" spans="1:7">
      <c r="A260" s="319" t="s">
        <v>284</v>
      </c>
      <c r="B260" s="308" t="s">
        <v>2498</v>
      </c>
      <c r="C260" s="309">
        <v>0.109</v>
      </c>
      <c r="D260" s="309">
        <v>0.111</v>
      </c>
      <c r="E260" s="309">
        <v>0.13100000000000001</v>
      </c>
      <c r="F260" s="309">
        <v>0.126</v>
      </c>
      <c r="G260" s="310">
        <v>0.11899999999999999</v>
      </c>
    </row>
    <row r="261" spans="1:7">
      <c r="A261" s="319" t="s">
        <v>284</v>
      </c>
      <c r="B261" s="308" t="s">
        <v>2499</v>
      </c>
      <c r="C261" s="309">
        <v>0.1</v>
      </c>
      <c r="D261" s="309">
        <v>0.1</v>
      </c>
      <c r="E261" s="309">
        <v>0.11799999999999999</v>
      </c>
      <c r="F261" s="309">
        <v>0.108</v>
      </c>
      <c r="G261" s="310">
        <v>0.107</v>
      </c>
    </row>
    <row r="262" spans="1:7">
      <c r="A262" s="319" t="s">
        <v>284</v>
      </c>
      <c r="B262" s="308" t="s">
        <v>2500</v>
      </c>
      <c r="C262" s="309">
        <v>0.1</v>
      </c>
      <c r="D262" s="309">
        <v>0.1</v>
      </c>
      <c r="E262" s="309">
        <v>0.1</v>
      </c>
      <c r="F262" s="309">
        <v>0.14099999999999999</v>
      </c>
      <c r="G262" s="310">
        <v>0.1</v>
      </c>
    </row>
    <row r="263" spans="1:7">
      <c r="A263" s="319" t="s">
        <v>284</v>
      </c>
      <c r="B263" s="308" t="s">
        <v>2501</v>
      </c>
      <c r="C263" s="309">
        <v>0.14799999999999999</v>
      </c>
      <c r="D263" s="309">
        <v>0.14799999999999999</v>
      </c>
      <c r="E263" s="309">
        <v>0.15</v>
      </c>
      <c r="F263" s="309">
        <v>0.14699999999999999</v>
      </c>
      <c r="G263" s="310">
        <v>0.15</v>
      </c>
    </row>
    <row r="264" spans="1:7">
      <c r="A264" s="319" t="s">
        <v>284</v>
      </c>
      <c r="B264" s="308" t="s">
        <v>2502</v>
      </c>
      <c r="C264" s="309">
        <v>0.14299999999999999</v>
      </c>
      <c r="D264" s="309">
        <v>0.14299999999999999</v>
      </c>
      <c r="E264" s="309">
        <v>0.15</v>
      </c>
      <c r="F264" s="309">
        <v>0.14899999999999999</v>
      </c>
      <c r="G264" s="310">
        <v>0.14599999999999999</v>
      </c>
    </row>
    <row r="265" spans="1:7">
      <c r="A265" s="319" t="s">
        <v>284</v>
      </c>
      <c r="B265" s="308" t="s">
        <v>2503</v>
      </c>
      <c r="C265" s="320"/>
      <c r="D265" s="320"/>
      <c r="E265" s="320"/>
      <c r="F265" s="309">
        <v>0.05</v>
      </c>
      <c r="G265" s="326"/>
    </row>
    <row r="266" spans="1:7">
      <c r="A266" s="319" t="s">
        <v>284</v>
      </c>
      <c r="B266" s="308" t="s">
        <v>2504</v>
      </c>
      <c r="C266" s="320"/>
      <c r="D266" s="320"/>
      <c r="E266" s="320"/>
      <c r="F266" s="309">
        <v>0.05</v>
      </c>
      <c r="G266" s="326"/>
    </row>
    <row r="267" spans="1:7">
      <c r="A267" s="319" t="s">
        <v>284</v>
      </c>
      <c r="B267" s="308" t="s">
        <v>2505</v>
      </c>
      <c r="C267" s="320"/>
      <c r="D267" s="320"/>
      <c r="E267" s="320"/>
      <c r="F267" s="309">
        <v>0.05</v>
      </c>
      <c r="G267" s="326"/>
    </row>
    <row r="268" spans="1:7">
      <c r="A268" s="319" t="s">
        <v>284</v>
      </c>
      <c r="B268" s="308" t="s">
        <v>2506</v>
      </c>
      <c r="C268" s="320"/>
      <c r="D268" s="320"/>
      <c r="E268" s="320"/>
      <c r="F268" s="309">
        <v>0.05</v>
      </c>
      <c r="G268" s="326"/>
    </row>
    <row r="269" spans="1:7">
      <c r="A269" s="319" t="s">
        <v>284</v>
      </c>
      <c r="B269" s="308" t="s">
        <v>2507</v>
      </c>
      <c r="C269" s="320"/>
      <c r="D269" s="320"/>
      <c r="E269" s="320"/>
      <c r="F269" s="309">
        <v>0.05</v>
      </c>
      <c r="G269" s="326"/>
    </row>
    <row r="270" spans="1:7">
      <c r="A270" s="319" t="s">
        <v>284</v>
      </c>
      <c r="B270" s="308" t="s">
        <v>2508</v>
      </c>
      <c r="C270" s="320"/>
      <c r="D270" s="320"/>
      <c r="E270" s="320"/>
      <c r="F270" s="309">
        <v>0.05</v>
      </c>
      <c r="G270" s="326"/>
    </row>
    <row r="271" spans="1:7">
      <c r="A271" s="319" t="s">
        <v>284</v>
      </c>
      <c r="B271" s="308" t="s">
        <v>2509</v>
      </c>
      <c r="C271" s="320"/>
      <c r="D271" s="320"/>
      <c r="E271" s="320"/>
      <c r="F271" s="309">
        <v>0.05</v>
      </c>
      <c r="G271" s="326"/>
    </row>
    <row r="272" spans="1:7">
      <c r="A272" s="319" t="s">
        <v>284</v>
      </c>
      <c r="B272" s="308" t="s">
        <v>2510</v>
      </c>
      <c r="C272" s="320"/>
      <c r="D272" s="320"/>
      <c r="E272" s="320"/>
      <c r="F272" s="309">
        <v>0.05</v>
      </c>
      <c r="G272" s="326"/>
    </row>
    <row r="273" spans="1:7">
      <c r="A273" s="319" t="s">
        <v>284</v>
      </c>
      <c r="B273" s="308" t="s">
        <v>2511</v>
      </c>
      <c r="C273" s="320"/>
      <c r="D273" s="320"/>
      <c r="E273" s="320"/>
      <c r="F273" s="309">
        <v>0.05</v>
      </c>
      <c r="G273" s="326"/>
    </row>
    <row r="274" spans="1:7">
      <c r="A274" s="319" t="s">
        <v>284</v>
      </c>
      <c r="B274" s="308" t="s">
        <v>2512</v>
      </c>
      <c r="C274" s="320"/>
      <c r="D274" s="320"/>
      <c r="E274" s="320"/>
      <c r="F274" s="309">
        <v>0.05</v>
      </c>
      <c r="G274" s="326"/>
    </row>
    <row r="275" spans="1:7">
      <c r="A275" s="319" t="s">
        <v>284</v>
      </c>
      <c r="B275" s="308" t="s">
        <v>2513</v>
      </c>
      <c r="C275" s="320"/>
      <c r="D275" s="320"/>
      <c r="E275" s="320"/>
      <c r="F275" s="309">
        <v>0.05</v>
      </c>
      <c r="G275" s="326"/>
    </row>
    <row r="276" spans="1:7">
      <c r="A276" s="322" t="s">
        <v>284</v>
      </c>
      <c r="B276" s="312" t="s">
        <v>2514</v>
      </c>
      <c r="C276" s="314"/>
      <c r="D276" s="314"/>
      <c r="E276" s="314"/>
      <c r="F276" s="313">
        <v>0.05</v>
      </c>
      <c r="G276" s="327"/>
    </row>
    <row r="277" spans="1:7">
      <c r="A277" s="318" t="s">
        <v>288</v>
      </c>
      <c r="B277" s="304" t="s">
        <v>2515</v>
      </c>
      <c r="C277" s="305">
        <v>0.15</v>
      </c>
      <c r="D277" s="305">
        <v>0.15</v>
      </c>
      <c r="E277" s="305">
        <v>0.15</v>
      </c>
      <c r="F277" s="305">
        <v>0.15</v>
      </c>
      <c r="G277" s="306">
        <v>0.15</v>
      </c>
    </row>
    <row r="278" spans="1:7">
      <c r="A278" s="319" t="s">
        <v>288</v>
      </c>
      <c r="B278" s="308" t="s">
        <v>2516</v>
      </c>
      <c r="C278" s="309">
        <v>0.15</v>
      </c>
      <c r="D278" s="309">
        <v>0.15</v>
      </c>
      <c r="E278" s="309">
        <v>0.15</v>
      </c>
      <c r="F278" s="309">
        <v>0.15</v>
      </c>
      <c r="G278" s="310">
        <v>0.15</v>
      </c>
    </row>
    <row r="279" spans="1:7">
      <c r="A279" s="319" t="s">
        <v>288</v>
      </c>
      <c r="B279" s="308" t="s">
        <v>2517</v>
      </c>
      <c r="C279" s="309">
        <v>0.15</v>
      </c>
      <c r="D279" s="309">
        <v>0.15</v>
      </c>
      <c r="E279" s="309">
        <v>0.15</v>
      </c>
      <c r="F279" s="309">
        <v>0.15</v>
      </c>
      <c r="G279" s="310">
        <v>0.15</v>
      </c>
    </row>
    <row r="280" spans="1:7">
      <c r="A280" s="319" t="s">
        <v>288</v>
      </c>
      <c r="B280" s="308" t="s">
        <v>2518</v>
      </c>
      <c r="C280" s="309">
        <v>0.15</v>
      </c>
      <c r="D280" s="309">
        <v>0.15</v>
      </c>
      <c r="E280" s="309">
        <v>0.15</v>
      </c>
      <c r="F280" s="309">
        <v>0.15</v>
      </c>
      <c r="G280" s="310">
        <v>0.15</v>
      </c>
    </row>
    <row r="281" spans="1:7">
      <c r="A281" s="319" t="s">
        <v>288</v>
      </c>
      <c r="B281" s="308" t="s">
        <v>2519</v>
      </c>
      <c r="C281" s="309">
        <v>0.15</v>
      </c>
      <c r="D281" s="309">
        <v>0.15</v>
      </c>
      <c r="E281" s="309">
        <v>0.15</v>
      </c>
      <c r="F281" s="309">
        <v>0.15</v>
      </c>
      <c r="G281" s="310">
        <v>0.15</v>
      </c>
    </row>
    <row r="282" spans="1:7">
      <c r="A282" s="319" t="s">
        <v>288</v>
      </c>
      <c r="B282" s="308" t="s">
        <v>2520</v>
      </c>
      <c r="C282" s="309">
        <v>0.15</v>
      </c>
      <c r="D282" s="309">
        <v>0.15</v>
      </c>
      <c r="E282" s="309">
        <v>0.15</v>
      </c>
      <c r="F282" s="309">
        <v>0.14499999999999999</v>
      </c>
      <c r="G282" s="310">
        <v>0.15</v>
      </c>
    </row>
    <row r="283" spans="1:7">
      <c r="A283" s="319" t="s">
        <v>288</v>
      </c>
      <c r="B283" s="308" t="s">
        <v>2521</v>
      </c>
      <c r="C283" s="309">
        <v>0.15</v>
      </c>
      <c r="D283" s="309">
        <v>0.15</v>
      </c>
      <c r="E283" s="309">
        <v>0.15</v>
      </c>
      <c r="F283" s="309">
        <v>0.14199999999999999</v>
      </c>
      <c r="G283" s="310">
        <v>0.15</v>
      </c>
    </row>
    <row r="284" spans="1:7">
      <c r="A284" s="319" t="s">
        <v>288</v>
      </c>
      <c r="B284" s="308" t="s">
        <v>2522</v>
      </c>
      <c r="C284" s="309">
        <v>0.15</v>
      </c>
      <c r="D284" s="309">
        <v>0.15</v>
      </c>
      <c r="E284" s="309">
        <v>0.15</v>
      </c>
      <c r="F284" s="309">
        <v>0.15</v>
      </c>
      <c r="G284" s="310">
        <v>0.15</v>
      </c>
    </row>
    <row r="285" spans="1:7">
      <c r="A285" s="319" t="s">
        <v>288</v>
      </c>
      <c r="B285" s="308" t="s">
        <v>2523</v>
      </c>
      <c r="C285" s="309">
        <v>0.15</v>
      </c>
      <c r="D285" s="309">
        <v>0.15</v>
      </c>
      <c r="E285" s="309">
        <v>0.15</v>
      </c>
      <c r="F285" s="309">
        <v>0.15</v>
      </c>
      <c r="G285" s="310">
        <v>0.15</v>
      </c>
    </row>
    <row r="286" spans="1:7">
      <c r="A286" s="319" t="s">
        <v>288</v>
      </c>
      <c r="B286" s="308" t="s">
        <v>2524</v>
      </c>
      <c r="C286" s="309">
        <v>0.14499999999999999</v>
      </c>
      <c r="D286" s="309">
        <v>0.14499999999999999</v>
      </c>
      <c r="E286" s="309">
        <v>0.15</v>
      </c>
      <c r="F286" s="309">
        <v>0.14099999999999999</v>
      </c>
      <c r="G286" s="310">
        <v>0.14499999999999999</v>
      </c>
    </row>
    <row r="287" spans="1:7">
      <c r="A287" s="319" t="s">
        <v>288</v>
      </c>
      <c r="B287" s="308" t="s">
        <v>2525</v>
      </c>
      <c r="C287" s="309">
        <v>0.11</v>
      </c>
      <c r="D287" s="309">
        <v>0.111</v>
      </c>
      <c r="E287" s="309">
        <v>0.14099999999999999</v>
      </c>
      <c r="F287" s="309">
        <v>0.11</v>
      </c>
      <c r="G287" s="310">
        <v>0.12</v>
      </c>
    </row>
    <row r="288" spans="1:7">
      <c r="A288" s="319" t="s">
        <v>288</v>
      </c>
      <c r="B288" s="308" t="s">
        <v>2526</v>
      </c>
      <c r="C288" s="309">
        <v>0.14199999999999999</v>
      </c>
      <c r="D288" s="309">
        <v>0.14299999999999999</v>
      </c>
      <c r="E288" s="309">
        <v>0.15</v>
      </c>
      <c r="F288" s="309">
        <v>0.14199999999999999</v>
      </c>
      <c r="G288" s="310">
        <v>0.14399999999999999</v>
      </c>
    </row>
    <row r="289" spans="1:7">
      <c r="A289" s="319" t="s">
        <v>288</v>
      </c>
      <c r="B289" s="308" t="s">
        <v>2527</v>
      </c>
      <c r="C289" s="309">
        <v>0.14299999999999999</v>
      </c>
      <c r="D289" s="309">
        <v>0.14299999999999999</v>
      </c>
      <c r="E289" s="309">
        <v>0.14799999999999999</v>
      </c>
      <c r="F289" s="309">
        <v>0.14399999999999999</v>
      </c>
      <c r="G289" s="310">
        <v>0.14399999999999999</v>
      </c>
    </row>
    <row r="290" spans="1:7">
      <c r="A290" s="319" t="s">
        <v>288</v>
      </c>
      <c r="B290" s="308" t="s">
        <v>2528</v>
      </c>
      <c r="C290" s="309">
        <v>0.14799999999999999</v>
      </c>
      <c r="D290" s="309">
        <v>0.14899999999999999</v>
      </c>
      <c r="E290" s="309">
        <v>0.15</v>
      </c>
      <c r="F290" s="309">
        <v>0.127</v>
      </c>
      <c r="G290" s="310">
        <v>0.15</v>
      </c>
    </row>
    <row r="291" spans="1:7">
      <c r="A291" s="319" t="s">
        <v>288</v>
      </c>
      <c r="B291" s="308" t="s">
        <v>2529</v>
      </c>
      <c r="C291" s="309">
        <v>0.15</v>
      </c>
      <c r="D291" s="309">
        <v>0.15</v>
      </c>
      <c r="E291" s="309">
        <v>0.15</v>
      </c>
      <c r="F291" s="309">
        <v>0.14899999999999999</v>
      </c>
      <c r="G291" s="310">
        <v>0.15</v>
      </c>
    </row>
    <row r="292" spans="1:7">
      <c r="A292" s="319" t="s">
        <v>288</v>
      </c>
      <c r="B292" s="308" t="s">
        <v>2530</v>
      </c>
      <c r="C292" s="309">
        <v>0.15</v>
      </c>
      <c r="D292" s="309">
        <v>0.15</v>
      </c>
      <c r="E292" s="309">
        <v>0.15</v>
      </c>
      <c r="F292" s="309">
        <v>0.14399999999999999</v>
      </c>
      <c r="G292" s="310">
        <v>0.15</v>
      </c>
    </row>
    <row r="293" spans="1:7">
      <c r="A293" s="319" t="s">
        <v>288</v>
      </c>
      <c r="B293" s="308" t="s">
        <v>2531</v>
      </c>
      <c r="C293" s="309">
        <v>0.15</v>
      </c>
      <c r="D293" s="309">
        <v>0.15</v>
      </c>
      <c r="E293" s="309">
        <v>0.15</v>
      </c>
      <c r="F293" s="309">
        <v>0.14499999999999999</v>
      </c>
      <c r="G293" s="310">
        <v>0.15</v>
      </c>
    </row>
    <row r="294" spans="1:7">
      <c r="A294" s="319" t="s">
        <v>288</v>
      </c>
      <c r="B294" s="308" t="s">
        <v>2532</v>
      </c>
      <c r="C294" s="309">
        <v>0.15</v>
      </c>
      <c r="D294" s="309">
        <v>0.15</v>
      </c>
      <c r="E294" s="309">
        <v>0.15</v>
      </c>
      <c r="F294" s="309">
        <v>0.14899999999999999</v>
      </c>
      <c r="G294" s="310">
        <v>0.15</v>
      </c>
    </row>
    <row r="295" spans="1:7">
      <c r="A295" s="319" t="s">
        <v>288</v>
      </c>
      <c r="B295" s="308" t="s">
        <v>2533</v>
      </c>
      <c r="C295" s="309">
        <v>0.15</v>
      </c>
      <c r="D295" s="309">
        <v>0.15</v>
      </c>
      <c r="E295" s="309">
        <v>0.15</v>
      </c>
      <c r="F295" s="309">
        <v>0.14799999999999999</v>
      </c>
      <c r="G295" s="310">
        <v>0.15</v>
      </c>
    </row>
    <row r="296" spans="1:7">
      <c r="A296" s="319" t="s">
        <v>288</v>
      </c>
      <c r="B296" s="308" t="s">
        <v>2534</v>
      </c>
      <c r="C296" s="309">
        <v>0.15</v>
      </c>
      <c r="D296" s="309">
        <v>0.15</v>
      </c>
      <c r="E296" s="309">
        <v>0.15</v>
      </c>
      <c r="F296" s="309">
        <v>0.14399999999999999</v>
      </c>
      <c r="G296" s="310">
        <v>0.15</v>
      </c>
    </row>
    <row r="297" spans="1:7">
      <c r="A297" s="319" t="s">
        <v>288</v>
      </c>
      <c r="B297" s="308" t="s">
        <v>2535</v>
      </c>
      <c r="C297" s="309">
        <v>0.15</v>
      </c>
      <c r="D297" s="309">
        <v>0.15</v>
      </c>
      <c r="E297" s="309">
        <v>0.15</v>
      </c>
      <c r="F297" s="309">
        <v>0.14499999999999999</v>
      </c>
      <c r="G297" s="310">
        <v>0.15</v>
      </c>
    </row>
    <row r="298" spans="1:7">
      <c r="A298" s="319" t="s">
        <v>288</v>
      </c>
      <c r="B298" s="308" t="s">
        <v>2536</v>
      </c>
      <c r="C298" s="309">
        <v>0.15</v>
      </c>
      <c r="D298" s="309">
        <v>0.15</v>
      </c>
      <c r="E298" s="309">
        <v>0.15</v>
      </c>
      <c r="F298" s="309">
        <v>0.15</v>
      </c>
      <c r="G298" s="310">
        <v>0.15</v>
      </c>
    </row>
    <row r="299" spans="1:7">
      <c r="A299" s="319" t="s">
        <v>288</v>
      </c>
      <c r="B299" s="328" t="s">
        <v>2537</v>
      </c>
      <c r="C299" s="309">
        <v>0.15</v>
      </c>
      <c r="D299" s="309">
        <v>0.15</v>
      </c>
      <c r="E299" s="309">
        <v>0.15</v>
      </c>
      <c r="F299" s="309">
        <v>0.14499999999999999</v>
      </c>
      <c r="G299" s="310">
        <v>0.15</v>
      </c>
    </row>
    <row r="300" spans="1:7">
      <c r="A300" s="319" t="s">
        <v>288</v>
      </c>
      <c r="B300" s="328" t="s">
        <v>2538</v>
      </c>
      <c r="C300" s="309">
        <v>0.15</v>
      </c>
      <c r="D300" s="309">
        <v>0.15</v>
      </c>
      <c r="E300" s="309">
        <v>0.15</v>
      </c>
      <c r="F300" s="309">
        <v>0.14599999999999999</v>
      </c>
      <c r="G300" s="310">
        <v>0.15</v>
      </c>
    </row>
    <row r="301" spans="1:7">
      <c r="A301" s="319" t="s">
        <v>288</v>
      </c>
      <c r="B301" s="328" t="s">
        <v>2539</v>
      </c>
      <c r="C301" s="309">
        <v>0.126</v>
      </c>
      <c r="D301" s="309">
        <v>0.124</v>
      </c>
      <c r="E301" s="309">
        <v>0.14099999999999999</v>
      </c>
      <c r="F301" s="309">
        <v>0.14399999999999999</v>
      </c>
      <c r="G301" s="310">
        <v>0.13</v>
      </c>
    </row>
    <row r="302" spans="1:7">
      <c r="A302" s="319" t="s">
        <v>288</v>
      </c>
      <c r="B302" s="308" t="s">
        <v>2540</v>
      </c>
      <c r="C302" s="309">
        <v>0.15</v>
      </c>
      <c r="D302" s="309">
        <v>0.15</v>
      </c>
      <c r="E302" s="309">
        <v>0.15</v>
      </c>
      <c r="F302" s="309">
        <v>0.14699999999999999</v>
      </c>
      <c r="G302" s="310">
        <v>0.15</v>
      </c>
    </row>
    <row r="303" spans="1:7">
      <c r="A303" s="319" t="s">
        <v>288</v>
      </c>
      <c r="B303" s="308" t="s">
        <v>2541</v>
      </c>
      <c r="C303" s="309">
        <v>0.15</v>
      </c>
      <c r="D303" s="309">
        <v>0.15</v>
      </c>
      <c r="E303" s="309">
        <v>0.15</v>
      </c>
      <c r="F303" s="309">
        <v>0.14199999999999999</v>
      </c>
      <c r="G303" s="310">
        <v>0.15</v>
      </c>
    </row>
    <row r="304" spans="1:7">
      <c r="A304" s="319" t="s">
        <v>288</v>
      </c>
      <c r="B304" s="308" t="s">
        <v>2542</v>
      </c>
      <c r="C304" s="309">
        <v>0.15</v>
      </c>
      <c r="D304" s="309">
        <v>0.15</v>
      </c>
      <c r="E304" s="309">
        <v>0.15</v>
      </c>
      <c r="F304" s="309">
        <v>0.14499999999999999</v>
      </c>
      <c r="G304" s="310">
        <v>0.15</v>
      </c>
    </row>
    <row r="305" spans="1:7">
      <c r="A305" s="319" t="s">
        <v>288</v>
      </c>
      <c r="B305" s="308" t="s">
        <v>2543</v>
      </c>
      <c r="C305" s="309">
        <v>0.15</v>
      </c>
      <c r="D305" s="309">
        <v>0.15</v>
      </c>
      <c r="E305" s="309">
        <v>0.15</v>
      </c>
      <c r="F305" s="309">
        <v>0.111</v>
      </c>
      <c r="G305" s="310">
        <v>0.15</v>
      </c>
    </row>
    <row r="306" spans="1:7">
      <c r="A306" s="319" t="s">
        <v>288</v>
      </c>
      <c r="B306" s="308" t="s">
        <v>2544</v>
      </c>
      <c r="C306" s="309">
        <v>0.15</v>
      </c>
      <c r="D306" s="309">
        <v>0.15</v>
      </c>
      <c r="E306" s="309">
        <v>0.15</v>
      </c>
      <c r="F306" s="309">
        <v>0.126</v>
      </c>
      <c r="G306" s="310">
        <v>0.15</v>
      </c>
    </row>
    <row r="307" spans="1:7">
      <c r="A307" s="319" t="s">
        <v>288</v>
      </c>
      <c r="B307" s="308" t="s">
        <v>2545</v>
      </c>
      <c r="C307" s="309">
        <v>0.15</v>
      </c>
      <c r="D307" s="309">
        <v>0.15</v>
      </c>
      <c r="E307" s="309">
        <v>0.15</v>
      </c>
      <c r="F307" s="309">
        <v>0.12</v>
      </c>
      <c r="G307" s="310">
        <v>0.15</v>
      </c>
    </row>
    <row r="308" spans="1:7">
      <c r="A308" s="319" t="s">
        <v>288</v>
      </c>
      <c r="B308" s="308" t="s">
        <v>2546</v>
      </c>
      <c r="C308" s="309">
        <v>0.15</v>
      </c>
      <c r="D308" s="309">
        <v>0.15</v>
      </c>
      <c r="E308" s="309">
        <v>0.15</v>
      </c>
      <c r="F308" s="309">
        <v>0.13</v>
      </c>
      <c r="G308" s="310">
        <v>0.15</v>
      </c>
    </row>
    <row r="309" spans="1:7">
      <c r="A309" s="319" t="s">
        <v>288</v>
      </c>
      <c r="B309" s="308" t="s">
        <v>2547</v>
      </c>
      <c r="C309" s="309">
        <v>0.15</v>
      </c>
      <c r="D309" s="309">
        <v>0.15</v>
      </c>
      <c r="E309" s="309">
        <v>0.15</v>
      </c>
      <c r="F309" s="309">
        <v>0.14099999999999999</v>
      </c>
      <c r="G309" s="310">
        <v>0.15</v>
      </c>
    </row>
    <row r="310" spans="1:7">
      <c r="A310" s="319" t="s">
        <v>288</v>
      </c>
      <c r="B310" s="308" t="s">
        <v>2548</v>
      </c>
      <c r="C310" s="309">
        <v>0.15</v>
      </c>
      <c r="D310" s="309">
        <v>0.15</v>
      </c>
      <c r="E310" s="309">
        <v>0.15</v>
      </c>
      <c r="F310" s="309">
        <v>0.15</v>
      </c>
      <c r="G310" s="310">
        <v>0.15</v>
      </c>
    </row>
    <row r="311" spans="1:7">
      <c r="A311" s="319" t="s">
        <v>288</v>
      </c>
      <c r="B311" s="308" t="s">
        <v>2549</v>
      </c>
      <c r="C311" s="309">
        <v>0.13200000000000001</v>
      </c>
      <c r="D311" s="309">
        <v>0.13300000000000001</v>
      </c>
      <c r="E311" s="309">
        <v>0.14499999999999999</v>
      </c>
      <c r="F311" s="309">
        <v>0.14199999999999999</v>
      </c>
      <c r="G311" s="310">
        <v>0.14000000000000001</v>
      </c>
    </row>
    <row r="312" spans="1:7">
      <c r="A312" s="319" t="s">
        <v>288</v>
      </c>
      <c r="B312" s="308" t="s">
        <v>2550</v>
      </c>
      <c r="C312" s="309">
        <v>0.13800000000000001</v>
      </c>
      <c r="D312" s="309">
        <v>0.14000000000000001</v>
      </c>
      <c r="E312" s="309">
        <v>0.14599999999999999</v>
      </c>
      <c r="F312" s="309">
        <v>0.14899999999999999</v>
      </c>
      <c r="G312" s="310">
        <v>0.14199999999999999</v>
      </c>
    </row>
    <row r="313" spans="1:7">
      <c r="A313" s="319" t="s">
        <v>288</v>
      </c>
      <c r="B313" s="308" t="s">
        <v>2551</v>
      </c>
      <c r="C313" s="309">
        <v>0.125</v>
      </c>
      <c r="D313" s="309">
        <v>0.127</v>
      </c>
      <c r="E313" s="309">
        <v>0.14399999999999999</v>
      </c>
      <c r="F313" s="309">
        <v>0.115</v>
      </c>
      <c r="G313" s="310">
        <v>0.13600000000000001</v>
      </c>
    </row>
    <row r="314" spans="1:7">
      <c r="A314" s="319" t="s">
        <v>288</v>
      </c>
      <c r="B314" s="308" t="s">
        <v>2552</v>
      </c>
      <c r="C314" s="325"/>
      <c r="D314" s="325"/>
      <c r="E314" s="325"/>
      <c r="F314" s="309">
        <v>0.05</v>
      </c>
      <c r="G314" s="326"/>
    </row>
    <row r="315" spans="1:7">
      <c r="A315" s="319" t="s">
        <v>288</v>
      </c>
      <c r="B315" s="308" t="s">
        <v>2553</v>
      </c>
      <c r="C315" s="325"/>
      <c r="D315" s="325"/>
      <c r="E315" s="325"/>
      <c r="F315" s="309">
        <v>0.05</v>
      </c>
      <c r="G315" s="326"/>
    </row>
    <row r="316" spans="1:7">
      <c r="A316" s="319" t="s">
        <v>288</v>
      </c>
      <c r="B316" s="308" t="s">
        <v>2554</v>
      </c>
      <c r="C316" s="320"/>
      <c r="D316" s="320"/>
      <c r="E316" s="320"/>
      <c r="F316" s="309">
        <v>0.05</v>
      </c>
      <c r="G316" s="326"/>
    </row>
    <row r="317" spans="1:7">
      <c r="A317" s="319" t="s">
        <v>288</v>
      </c>
      <c r="B317" s="308" t="s">
        <v>2555</v>
      </c>
      <c r="C317" s="320"/>
      <c r="D317" s="320"/>
      <c r="E317" s="320"/>
      <c r="F317" s="309">
        <v>0.05</v>
      </c>
      <c r="G317" s="326"/>
    </row>
    <row r="318" spans="1:7">
      <c r="A318" s="319" t="s">
        <v>288</v>
      </c>
      <c r="B318" s="308" t="s">
        <v>2556</v>
      </c>
      <c r="C318" s="320"/>
      <c r="D318" s="320"/>
      <c r="E318" s="320"/>
      <c r="F318" s="309">
        <v>0.05</v>
      </c>
      <c r="G318" s="326"/>
    </row>
    <row r="319" spans="1:7">
      <c r="A319" s="319" t="s">
        <v>288</v>
      </c>
      <c r="B319" s="308" t="s">
        <v>2557</v>
      </c>
      <c r="C319" s="320"/>
      <c r="D319" s="320"/>
      <c r="E319" s="320"/>
      <c r="F319" s="309">
        <v>0.05</v>
      </c>
      <c r="G319" s="326"/>
    </row>
    <row r="320" spans="1:7">
      <c r="A320" s="319" t="s">
        <v>288</v>
      </c>
      <c r="B320" s="308" t="s">
        <v>2558</v>
      </c>
      <c r="C320" s="320"/>
      <c r="D320" s="320"/>
      <c r="E320" s="320"/>
      <c r="F320" s="309">
        <v>0.05</v>
      </c>
      <c r="G320" s="326"/>
    </row>
    <row r="321" spans="1:7">
      <c r="A321" s="319" t="s">
        <v>288</v>
      </c>
      <c r="B321" s="308" t="s">
        <v>2559</v>
      </c>
      <c r="C321" s="320"/>
      <c r="D321" s="320"/>
      <c r="E321" s="320"/>
      <c r="F321" s="309">
        <v>0.05</v>
      </c>
      <c r="G321" s="326"/>
    </row>
    <row r="322" spans="1:7">
      <c r="A322" s="319" t="s">
        <v>288</v>
      </c>
      <c r="B322" s="308" t="s">
        <v>2560</v>
      </c>
      <c r="C322" s="320"/>
      <c r="D322" s="320"/>
      <c r="E322" s="320"/>
      <c r="F322" s="309">
        <v>0.05</v>
      </c>
      <c r="G322" s="326"/>
    </row>
    <row r="323" spans="1:7">
      <c r="A323" s="319" t="s">
        <v>288</v>
      </c>
      <c r="B323" s="308" t="s">
        <v>2561</v>
      </c>
      <c r="C323" s="320"/>
      <c r="D323" s="320"/>
      <c r="E323" s="320"/>
      <c r="F323" s="309">
        <v>0.05</v>
      </c>
      <c r="G323" s="326"/>
    </row>
    <row r="324" spans="1:7">
      <c r="A324" s="319" t="s">
        <v>288</v>
      </c>
      <c r="B324" s="308" t="s">
        <v>2562</v>
      </c>
      <c r="C324" s="320"/>
      <c r="D324" s="320"/>
      <c r="E324" s="320"/>
      <c r="F324" s="309">
        <v>0.05</v>
      </c>
      <c r="G324" s="326"/>
    </row>
    <row r="325" spans="1:7">
      <c r="A325" s="319" t="s">
        <v>288</v>
      </c>
      <c r="B325" s="308" t="s">
        <v>2563</v>
      </c>
      <c r="C325" s="320"/>
      <c r="D325" s="320"/>
      <c r="E325" s="320"/>
      <c r="F325" s="309">
        <v>0.05</v>
      </c>
      <c r="G325" s="326"/>
    </row>
    <row r="326" spans="1:7">
      <c r="A326" s="322" t="s">
        <v>288</v>
      </c>
      <c r="B326" s="312" t="s">
        <v>2564</v>
      </c>
      <c r="C326" s="314"/>
      <c r="D326" s="314"/>
      <c r="E326" s="314"/>
      <c r="F326" s="313">
        <v>0.05</v>
      </c>
      <c r="G326" s="327"/>
    </row>
    <row r="327" spans="1:7">
      <c r="A327" s="318" t="s">
        <v>292</v>
      </c>
      <c r="B327" s="304" t="s">
        <v>2565</v>
      </c>
      <c r="C327" s="305">
        <v>0.15</v>
      </c>
      <c r="D327" s="305">
        <v>0.15</v>
      </c>
      <c r="E327" s="305">
        <v>0.15</v>
      </c>
      <c r="F327" s="305">
        <v>0.15</v>
      </c>
      <c r="G327" s="306">
        <v>0.15</v>
      </c>
    </row>
    <row r="328" spans="1:7">
      <c r="A328" s="319" t="s">
        <v>292</v>
      </c>
      <c r="B328" s="308" t="s">
        <v>2566</v>
      </c>
      <c r="C328" s="309">
        <v>0.15</v>
      </c>
      <c r="D328" s="309">
        <v>0.15</v>
      </c>
      <c r="E328" s="309">
        <v>0.15</v>
      </c>
      <c r="F328" s="309">
        <v>0.126</v>
      </c>
      <c r="G328" s="310">
        <v>0.15</v>
      </c>
    </row>
    <row r="329" spans="1:7">
      <c r="A329" s="319" t="s">
        <v>292</v>
      </c>
      <c r="B329" s="308" t="s">
        <v>2567</v>
      </c>
      <c r="C329" s="309">
        <v>0.15</v>
      </c>
      <c r="D329" s="309">
        <v>0.15</v>
      </c>
      <c r="E329" s="309">
        <v>0.15</v>
      </c>
      <c r="F329" s="309">
        <v>0.15</v>
      </c>
      <c r="G329" s="310">
        <v>0.15</v>
      </c>
    </row>
    <row r="330" spans="1:7">
      <c r="A330" s="319" t="s">
        <v>292</v>
      </c>
      <c r="B330" s="308" t="s">
        <v>2568</v>
      </c>
      <c r="C330" s="309">
        <v>0.15</v>
      </c>
      <c r="D330" s="309">
        <v>0.15</v>
      </c>
      <c r="E330" s="309">
        <v>0.15</v>
      </c>
      <c r="F330" s="309">
        <v>0.15</v>
      </c>
      <c r="G330" s="310">
        <v>0.15</v>
      </c>
    </row>
    <row r="331" spans="1:7">
      <c r="A331" s="319" t="s">
        <v>292</v>
      </c>
      <c r="B331" s="308" t="s">
        <v>2569</v>
      </c>
      <c r="C331" s="309">
        <v>0.15</v>
      </c>
      <c r="D331" s="309">
        <v>0.15</v>
      </c>
      <c r="E331" s="309">
        <v>0.15</v>
      </c>
      <c r="F331" s="309">
        <v>0.15</v>
      </c>
      <c r="G331" s="310">
        <v>0.15</v>
      </c>
    </row>
    <row r="332" spans="1:7">
      <c r="A332" s="319" t="s">
        <v>292</v>
      </c>
      <c r="B332" s="308" t="s">
        <v>2570</v>
      </c>
      <c r="C332" s="309">
        <v>0.15</v>
      </c>
      <c r="D332" s="309">
        <v>0.15</v>
      </c>
      <c r="E332" s="309">
        <v>0.15</v>
      </c>
      <c r="F332" s="309">
        <v>0.15</v>
      </c>
      <c r="G332" s="310">
        <v>0.15</v>
      </c>
    </row>
    <row r="333" spans="1:7">
      <c r="A333" s="319" t="s">
        <v>292</v>
      </c>
      <c r="B333" s="308" t="s">
        <v>2571</v>
      </c>
      <c r="C333" s="309">
        <v>0.14899999999999999</v>
      </c>
      <c r="D333" s="309">
        <v>0.14899999999999999</v>
      </c>
      <c r="E333" s="309">
        <v>0.15</v>
      </c>
      <c r="F333" s="309">
        <v>0.11600000000000001</v>
      </c>
      <c r="G333" s="310">
        <v>0.15</v>
      </c>
    </row>
    <row r="334" spans="1:7">
      <c r="A334" s="319" t="s">
        <v>292</v>
      </c>
      <c r="B334" s="308" t="s">
        <v>2572</v>
      </c>
      <c r="C334" s="309">
        <v>0.15</v>
      </c>
      <c r="D334" s="309">
        <v>0.15</v>
      </c>
      <c r="E334" s="309">
        <v>0.15</v>
      </c>
      <c r="F334" s="309">
        <v>0.13</v>
      </c>
      <c r="G334" s="310">
        <v>0.15</v>
      </c>
    </row>
    <row r="335" spans="1:7">
      <c r="A335" s="319" t="s">
        <v>292</v>
      </c>
      <c r="B335" s="308" t="s">
        <v>2573</v>
      </c>
      <c r="C335" s="309">
        <v>0.15</v>
      </c>
      <c r="D335" s="309">
        <v>0.15</v>
      </c>
      <c r="E335" s="309">
        <v>0.15</v>
      </c>
      <c r="F335" s="309">
        <v>0.14399999999999999</v>
      </c>
      <c r="G335" s="310">
        <v>0.15</v>
      </c>
    </row>
    <row r="336" spans="1:7">
      <c r="A336" s="319" t="s">
        <v>292</v>
      </c>
      <c r="B336" s="308" t="s">
        <v>2574</v>
      </c>
      <c r="C336" s="309">
        <v>0.15</v>
      </c>
      <c r="D336" s="309">
        <v>0.15</v>
      </c>
      <c r="E336" s="309">
        <v>0.15</v>
      </c>
      <c r="F336" s="309">
        <v>0.14199999999999999</v>
      </c>
      <c r="G336" s="310">
        <v>0.15</v>
      </c>
    </row>
    <row r="337" spans="1:7">
      <c r="A337" s="319" t="s">
        <v>292</v>
      </c>
      <c r="B337" s="308" t="s">
        <v>2575</v>
      </c>
      <c r="C337" s="309">
        <v>0.15</v>
      </c>
      <c r="D337" s="309">
        <v>0.15</v>
      </c>
      <c r="E337" s="309">
        <v>0.15</v>
      </c>
      <c r="F337" s="309">
        <v>0.14499999999999999</v>
      </c>
      <c r="G337" s="310">
        <v>0.15</v>
      </c>
    </row>
    <row r="338" spans="1:7">
      <c r="A338" s="319" t="s">
        <v>292</v>
      </c>
      <c r="B338" s="308" t="s">
        <v>2576</v>
      </c>
      <c r="C338" s="309">
        <v>0.15</v>
      </c>
      <c r="D338" s="309">
        <v>0.15</v>
      </c>
      <c r="E338" s="309">
        <v>0.15</v>
      </c>
      <c r="F338" s="309">
        <v>0.15</v>
      </c>
      <c r="G338" s="310">
        <v>0.15</v>
      </c>
    </row>
    <row r="339" spans="1:7">
      <c r="A339" s="319" t="s">
        <v>292</v>
      </c>
      <c r="B339" s="308" t="s">
        <v>2577</v>
      </c>
      <c r="C339" s="309">
        <v>0.15</v>
      </c>
      <c r="D339" s="309">
        <v>0.15</v>
      </c>
      <c r="E339" s="309">
        <v>0.15</v>
      </c>
      <c r="F339" s="309">
        <v>0.14699999999999999</v>
      </c>
      <c r="G339" s="310">
        <v>0.15</v>
      </c>
    </row>
    <row r="340" spans="1:7">
      <c r="A340" s="319" t="s">
        <v>292</v>
      </c>
      <c r="B340" s="308" t="s">
        <v>2578</v>
      </c>
      <c r="C340" s="309">
        <v>0.14599999999999999</v>
      </c>
      <c r="D340" s="309">
        <v>0.14599999999999999</v>
      </c>
      <c r="E340" s="309">
        <v>0.15</v>
      </c>
      <c r="F340" s="309">
        <v>0.14099999999999999</v>
      </c>
      <c r="G340" s="310">
        <v>0.14699999999999999</v>
      </c>
    </row>
    <row r="341" spans="1:7">
      <c r="A341" s="319" t="s">
        <v>292</v>
      </c>
      <c r="B341" s="308" t="s">
        <v>2579</v>
      </c>
      <c r="C341" s="309">
        <v>0.126</v>
      </c>
      <c r="D341" s="309">
        <v>0.124</v>
      </c>
      <c r="E341" s="309">
        <v>0.14099999999999999</v>
      </c>
      <c r="F341" s="309">
        <v>0.14399999999999999</v>
      </c>
      <c r="G341" s="310">
        <v>0.13</v>
      </c>
    </row>
    <row r="342" spans="1:7">
      <c r="A342" s="319" t="s">
        <v>292</v>
      </c>
      <c r="B342" s="308" t="s">
        <v>2580</v>
      </c>
      <c r="C342" s="309">
        <v>0.15</v>
      </c>
      <c r="D342" s="309">
        <v>0.15</v>
      </c>
      <c r="E342" s="309">
        <v>0.15</v>
      </c>
      <c r="F342" s="309">
        <v>0.14399999999999999</v>
      </c>
      <c r="G342" s="310">
        <v>0.15</v>
      </c>
    </row>
    <row r="343" spans="1:7">
      <c r="A343" s="319" t="s">
        <v>292</v>
      </c>
      <c r="B343" s="308" t="s">
        <v>2581</v>
      </c>
      <c r="C343" s="309">
        <v>0.15</v>
      </c>
      <c r="D343" s="309">
        <v>0.15</v>
      </c>
      <c r="E343" s="309">
        <v>0.15</v>
      </c>
      <c r="F343" s="309">
        <v>0.128</v>
      </c>
      <c r="G343" s="310">
        <v>0.15</v>
      </c>
    </row>
    <row r="344" spans="1:7">
      <c r="A344" s="319" t="s">
        <v>292</v>
      </c>
      <c r="B344" s="308" t="s">
        <v>2582</v>
      </c>
      <c r="C344" s="309">
        <v>0.15</v>
      </c>
      <c r="D344" s="309">
        <v>0.15</v>
      </c>
      <c r="E344" s="309">
        <v>0.15</v>
      </c>
      <c r="F344" s="309">
        <v>0.14799999999999999</v>
      </c>
      <c r="G344" s="310">
        <v>0.15</v>
      </c>
    </row>
    <row r="345" spans="1:7">
      <c r="A345" s="319" t="s">
        <v>292</v>
      </c>
      <c r="B345" s="308" t="s">
        <v>2583</v>
      </c>
      <c r="C345" s="309">
        <v>0.15</v>
      </c>
      <c r="D345" s="309">
        <v>0.15</v>
      </c>
      <c r="E345" s="309">
        <v>0.15</v>
      </c>
      <c r="F345" s="309">
        <v>0.13800000000000001</v>
      </c>
      <c r="G345" s="310">
        <v>0.15</v>
      </c>
    </row>
    <row r="346" spans="1:7">
      <c r="A346" s="319" t="s">
        <v>292</v>
      </c>
      <c r="B346" s="308" t="s">
        <v>2584</v>
      </c>
      <c r="C346" s="309">
        <v>0.15</v>
      </c>
      <c r="D346" s="309">
        <v>0.15</v>
      </c>
      <c r="E346" s="309">
        <v>0.15</v>
      </c>
      <c r="F346" s="309">
        <v>0.14399999999999999</v>
      </c>
      <c r="G346" s="310">
        <v>0.15</v>
      </c>
    </row>
    <row r="347" spans="1:7">
      <c r="A347" s="319" t="s">
        <v>292</v>
      </c>
      <c r="B347" s="308" t="s">
        <v>2585</v>
      </c>
      <c r="C347" s="309">
        <v>0.15</v>
      </c>
      <c r="D347" s="309">
        <v>0.15</v>
      </c>
      <c r="E347" s="309">
        <v>0.15</v>
      </c>
      <c r="F347" s="309">
        <v>0.14599999999999999</v>
      </c>
      <c r="G347" s="310">
        <v>0.15</v>
      </c>
    </row>
    <row r="348" spans="1:7">
      <c r="A348" s="319" t="s">
        <v>292</v>
      </c>
      <c r="B348" s="308" t="s">
        <v>2586</v>
      </c>
      <c r="C348" s="309">
        <v>0.15</v>
      </c>
      <c r="D348" s="309">
        <v>0.15</v>
      </c>
      <c r="E348" s="309">
        <v>0.15</v>
      </c>
      <c r="F348" s="309">
        <v>0.14399999999999999</v>
      </c>
      <c r="G348" s="310">
        <v>0.15</v>
      </c>
    </row>
    <row r="349" spans="1:7">
      <c r="A349" s="319" t="s">
        <v>292</v>
      </c>
      <c r="B349" s="308" t="s">
        <v>2587</v>
      </c>
      <c r="C349" s="309">
        <v>0.15</v>
      </c>
      <c r="D349" s="309">
        <v>0.15</v>
      </c>
      <c r="E349" s="309">
        <v>0.15</v>
      </c>
      <c r="F349" s="309">
        <v>0.15</v>
      </c>
      <c r="G349" s="310">
        <v>0.15</v>
      </c>
    </row>
    <row r="350" spans="1:7">
      <c r="A350" s="319" t="s">
        <v>292</v>
      </c>
      <c r="B350" s="308" t="s">
        <v>2588</v>
      </c>
      <c r="C350" s="309">
        <v>0.15</v>
      </c>
      <c r="D350" s="309">
        <v>0.15</v>
      </c>
      <c r="E350" s="309">
        <v>0.15</v>
      </c>
      <c r="F350" s="309">
        <v>0.14699999999999999</v>
      </c>
      <c r="G350" s="310">
        <v>0.15</v>
      </c>
    </row>
    <row r="351" spans="1:7">
      <c r="A351" s="319" t="s">
        <v>292</v>
      </c>
      <c r="B351" s="308" t="s">
        <v>2589</v>
      </c>
      <c r="C351" s="309">
        <v>0.15</v>
      </c>
      <c r="D351" s="309">
        <v>0.15</v>
      </c>
      <c r="E351" s="309">
        <v>0.15</v>
      </c>
      <c r="F351" s="309">
        <v>0.13</v>
      </c>
      <c r="G351" s="310">
        <v>0.15</v>
      </c>
    </row>
    <row r="352" spans="1:7">
      <c r="A352" s="319" t="s">
        <v>292</v>
      </c>
      <c r="B352" s="308" t="s">
        <v>2590</v>
      </c>
      <c r="C352" s="309">
        <v>0.15</v>
      </c>
      <c r="D352" s="309">
        <v>0.15</v>
      </c>
      <c r="E352" s="309">
        <v>0.15</v>
      </c>
      <c r="F352" s="309">
        <v>0.14599999999999999</v>
      </c>
      <c r="G352" s="310">
        <v>0.15</v>
      </c>
    </row>
    <row r="353" spans="1:7">
      <c r="A353" s="319" t="s">
        <v>292</v>
      </c>
      <c r="B353" s="308" t="s">
        <v>2591</v>
      </c>
      <c r="C353" s="309">
        <v>0.15</v>
      </c>
      <c r="D353" s="309">
        <v>0.15</v>
      </c>
      <c r="E353" s="309">
        <v>0.15</v>
      </c>
      <c r="F353" s="309">
        <v>0.14499999999999999</v>
      </c>
      <c r="G353" s="310">
        <v>0.15</v>
      </c>
    </row>
    <row r="354" spans="1:7">
      <c r="A354" s="319" t="s">
        <v>292</v>
      </c>
      <c r="B354" s="308" t="s">
        <v>2592</v>
      </c>
      <c r="C354" s="309">
        <v>0.15</v>
      </c>
      <c r="D354" s="309">
        <v>0.15</v>
      </c>
      <c r="E354" s="309">
        <v>0.15</v>
      </c>
      <c r="F354" s="309">
        <v>0.14099999999999999</v>
      </c>
      <c r="G354" s="310">
        <v>0.15</v>
      </c>
    </row>
    <row r="355" spans="1:7">
      <c r="A355" s="319" t="s">
        <v>292</v>
      </c>
      <c r="B355" s="308" t="s">
        <v>2593</v>
      </c>
      <c r="C355" s="309">
        <v>0.15</v>
      </c>
      <c r="D355" s="309">
        <v>0.15</v>
      </c>
      <c r="E355" s="309">
        <v>0.15</v>
      </c>
      <c r="F355" s="309">
        <v>0.15</v>
      </c>
      <c r="G355" s="310">
        <v>0.15</v>
      </c>
    </row>
    <row r="356" spans="1:7">
      <c r="A356" s="319" t="s">
        <v>292</v>
      </c>
      <c r="B356" s="308" t="s">
        <v>2594</v>
      </c>
      <c r="C356" s="309">
        <v>0.15</v>
      </c>
      <c r="D356" s="309">
        <v>0.15</v>
      </c>
      <c r="E356" s="309">
        <v>0.15</v>
      </c>
      <c r="F356" s="309">
        <v>0.15</v>
      </c>
      <c r="G356" s="310">
        <v>0.15</v>
      </c>
    </row>
    <row r="357" spans="1:7">
      <c r="A357" s="322" t="s">
        <v>292</v>
      </c>
      <c r="B357" s="312" t="s">
        <v>2595</v>
      </c>
      <c r="C357" s="313">
        <v>0.126</v>
      </c>
      <c r="D357" s="313">
        <v>0.127</v>
      </c>
      <c r="E357" s="313">
        <v>0.14299999999999999</v>
      </c>
      <c r="F357" s="313">
        <v>0.125</v>
      </c>
      <c r="G357" s="315">
        <v>0.129</v>
      </c>
    </row>
    <row r="358" spans="1:7">
      <c r="A358" s="318" t="s">
        <v>296</v>
      </c>
      <c r="B358" s="304" t="s">
        <v>2596</v>
      </c>
      <c r="C358" s="305">
        <v>0.15</v>
      </c>
      <c r="D358" s="305">
        <v>0.15</v>
      </c>
      <c r="E358" s="305">
        <v>0.15</v>
      </c>
      <c r="F358" s="305">
        <v>0.15</v>
      </c>
      <c r="G358" s="306">
        <v>0.15</v>
      </c>
    </row>
    <row r="359" spans="1:7">
      <c r="A359" s="319" t="s">
        <v>296</v>
      </c>
      <c r="B359" s="308" t="s">
        <v>2597</v>
      </c>
      <c r="C359" s="309">
        <v>0.1</v>
      </c>
      <c r="D359" s="309">
        <v>0.1</v>
      </c>
      <c r="E359" s="309">
        <v>0.1</v>
      </c>
      <c r="F359" s="309">
        <v>0.1</v>
      </c>
      <c r="G359" s="310">
        <v>0.1</v>
      </c>
    </row>
    <row r="360" spans="1:7">
      <c r="A360" s="319" t="s">
        <v>296</v>
      </c>
      <c r="B360" s="308" t="s">
        <v>2598</v>
      </c>
      <c r="C360" s="309">
        <v>0.15</v>
      </c>
      <c r="D360" s="309">
        <v>0.15</v>
      </c>
      <c r="E360" s="309">
        <v>0.15</v>
      </c>
      <c r="F360" s="309">
        <v>0.14899999999999999</v>
      </c>
      <c r="G360" s="310">
        <v>0.15</v>
      </c>
    </row>
    <row r="361" spans="1:7">
      <c r="A361" s="319" t="s">
        <v>296</v>
      </c>
      <c r="B361" s="308" t="s">
        <v>2599</v>
      </c>
      <c r="C361" s="309">
        <v>0.15</v>
      </c>
      <c r="D361" s="309">
        <v>0.15</v>
      </c>
      <c r="E361" s="309">
        <v>0.15</v>
      </c>
      <c r="F361" s="309">
        <v>0.115</v>
      </c>
      <c r="G361" s="310">
        <v>0.15</v>
      </c>
    </row>
    <row r="362" spans="1:7">
      <c r="A362" s="319" t="s">
        <v>296</v>
      </c>
      <c r="B362" s="308" t="s">
        <v>2600</v>
      </c>
      <c r="C362" s="309">
        <v>0.15</v>
      </c>
      <c r="D362" s="309">
        <v>0.15</v>
      </c>
      <c r="E362" s="309">
        <v>0.15</v>
      </c>
      <c r="F362" s="309">
        <v>0.106</v>
      </c>
      <c r="G362" s="310">
        <v>0.15</v>
      </c>
    </row>
    <row r="363" spans="1:7">
      <c r="A363" s="319" t="s">
        <v>296</v>
      </c>
      <c r="B363" s="308" t="s">
        <v>2601</v>
      </c>
      <c r="C363" s="309">
        <v>0.15</v>
      </c>
      <c r="D363" s="309">
        <v>0.15</v>
      </c>
      <c r="E363" s="309">
        <v>0.15</v>
      </c>
      <c r="F363" s="309">
        <v>0.14699999999999999</v>
      </c>
      <c r="G363" s="310">
        <v>0.15</v>
      </c>
    </row>
    <row r="364" spans="1:7">
      <c r="A364" s="319" t="s">
        <v>296</v>
      </c>
      <c r="B364" s="308" t="s">
        <v>2602</v>
      </c>
      <c r="C364" s="309">
        <v>0.15</v>
      </c>
      <c r="D364" s="309">
        <v>0.15</v>
      </c>
      <c r="E364" s="309">
        <v>0.15</v>
      </c>
      <c r="F364" s="309">
        <v>0.14799999999999999</v>
      </c>
      <c r="G364" s="310">
        <v>0.15</v>
      </c>
    </row>
    <row r="365" spans="1:7">
      <c r="A365" s="319" t="s">
        <v>296</v>
      </c>
      <c r="B365" s="308" t="s">
        <v>2603</v>
      </c>
      <c r="C365" s="309">
        <v>0.15</v>
      </c>
      <c r="D365" s="309">
        <v>0.15</v>
      </c>
      <c r="E365" s="309">
        <v>0.15</v>
      </c>
      <c r="F365" s="309">
        <v>0.15</v>
      </c>
      <c r="G365" s="310">
        <v>0.15</v>
      </c>
    </row>
    <row r="366" spans="1:7">
      <c r="A366" s="319" t="s">
        <v>296</v>
      </c>
      <c r="B366" s="308" t="s">
        <v>2604</v>
      </c>
      <c r="C366" s="309">
        <v>0.15</v>
      </c>
      <c r="D366" s="309">
        <v>0.15</v>
      </c>
      <c r="E366" s="309">
        <v>0.15</v>
      </c>
      <c r="F366" s="309">
        <v>0.15</v>
      </c>
      <c r="G366" s="310">
        <v>0.15</v>
      </c>
    </row>
    <row r="367" spans="1:7">
      <c r="A367" s="319" t="s">
        <v>296</v>
      </c>
      <c r="B367" s="308" t="s">
        <v>2605</v>
      </c>
      <c r="C367" s="309">
        <v>0.15</v>
      </c>
      <c r="D367" s="309">
        <v>0.15</v>
      </c>
      <c r="E367" s="309">
        <v>0.15</v>
      </c>
      <c r="F367" s="309">
        <v>0.14699999999999999</v>
      </c>
      <c r="G367" s="310">
        <v>0.15</v>
      </c>
    </row>
    <row r="368" spans="1:7">
      <c r="A368" s="319" t="s">
        <v>296</v>
      </c>
      <c r="B368" s="308" t="s">
        <v>2606</v>
      </c>
      <c r="C368" s="309">
        <v>0.15</v>
      </c>
      <c r="D368" s="309">
        <v>0.15</v>
      </c>
      <c r="E368" s="309">
        <v>0.15</v>
      </c>
      <c r="F368" s="309">
        <v>0.13600000000000001</v>
      </c>
      <c r="G368" s="310">
        <v>0.15</v>
      </c>
    </row>
    <row r="369" spans="1:7">
      <c r="A369" s="319" t="s">
        <v>296</v>
      </c>
      <c r="B369" s="308" t="s">
        <v>2607</v>
      </c>
      <c r="C369" s="309">
        <v>0.15</v>
      </c>
      <c r="D369" s="309">
        <v>0.15</v>
      </c>
      <c r="E369" s="309">
        <v>0.15</v>
      </c>
      <c r="F369" s="309">
        <v>0.14399999999999999</v>
      </c>
      <c r="G369" s="310">
        <v>0.15</v>
      </c>
    </row>
    <row r="370" spans="1:7">
      <c r="A370" s="319" t="s">
        <v>296</v>
      </c>
      <c r="B370" s="308" t="s">
        <v>2608</v>
      </c>
      <c r="C370" s="309">
        <v>0.15</v>
      </c>
      <c r="D370" s="309">
        <v>0.15</v>
      </c>
      <c r="E370" s="309">
        <v>0.15</v>
      </c>
      <c r="F370" s="309">
        <v>0.14599999999999999</v>
      </c>
      <c r="G370" s="310">
        <v>0.15</v>
      </c>
    </row>
    <row r="371" spans="1:7">
      <c r="A371" s="319" t="s">
        <v>296</v>
      </c>
      <c r="B371" s="308" t="s">
        <v>2609</v>
      </c>
      <c r="C371" s="309">
        <v>0.15</v>
      </c>
      <c r="D371" s="309">
        <v>0.15</v>
      </c>
      <c r="E371" s="309">
        <v>0.15</v>
      </c>
      <c r="F371" s="309">
        <v>0.12</v>
      </c>
      <c r="G371" s="310">
        <v>0.15</v>
      </c>
    </row>
    <row r="372" spans="1:7">
      <c r="A372" s="319" t="s">
        <v>296</v>
      </c>
      <c r="B372" s="308" t="s">
        <v>2610</v>
      </c>
      <c r="C372" s="309">
        <v>0.15</v>
      </c>
      <c r="D372" s="309">
        <v>0.15</v>
      </c>
      <c r="E372" s="309">
        <v>0.15</v>
      </c>
      <c r="F372" s="309">
        <v>0.14299999999999999</v>
      </c>
      <c r="G372" s="310">
        <v>0.15</v>
      </c>
    </row>
    <row r="373" spans="1:7">
      <c r="A373" s="319" t="s">
        <v>296</v>
      </c>
      <c r="B373" s="308" t="s">
        <v>2611</v>
      </c>
      <c r="C373" s="309">
        <v>0.15</v>
      </c>
      <c r="D373" s="309">
        <v>0.15</v>
      </c>
      <c r="E373" s="309">
        <v>0.15</v>
      </c>
      <c r="F373" s="309">
        <v>0.14599999999999999</v>
      </c>
      <c r="G373" s="310">
        <v>0.15</v>
      </c>
    </row>
    <row r="374" spans="1:7">
      <c r="A374" s="319" t="s">
        <v>296</v>
      </c>
      <c r="B374" s="308" t="s">
        <v>2612</v>
      </c>
      <c r="C374" s="309">
        <v>0.15</v>
      </c>
      <c r="D374" s="309">
        <v>0.15</v>
      </c>
      <c r="E374" s="309">
        <v>0.15</v>
      </c>
      <c r="F374" s="309">
        <v>0.14399999999999999</v>
      </c>
      <c r="G374" s="310">
        <v>0.15</v>
      </c>
    </row>
    <row r="375" spans="1:7">
      <c r="A375" s="319" t="s">
        <v>296</v>
      </c>
      <c r="B375" s="308" t="s">
        <v>2613</v>
      </c>
      <c r="C375" s="309">
        <v>0.15</v>
      </c>
      <c r="D375" s="309">
        <v>0.15</v>
      </c>
      <c r="E375" s="309">
        <v>0.15</v>
      </c>
      <c r="F375" s="309">
        <v>0.13</v>
      </c>
      <c r="G375" s="310">
        <v>0.15</v>
      </c>
    </row>
    <row r="376" spans="1:7">
      <c r="A376" s="319" t="s">
        <v>296</v>
      </c>
      <c r="B376" s="308" t="s">
        <v>2614</v>
      </c>
      <c r="C376" s="309">
        <v>0.15</v>
      </c>
      <c r="D376" s="309">
        <v>0.15</v>
      </c>
      <c r="E376" s="309">
        <v>0.15</v>
      </c>
      <c r="F376" s="309">
        <v>0.14199999999999999</v>
      </c>
      <c r="G376" s="310">
        <v>0.15</v>
      </c>
    </row>
    <row r="377" spans="1:7">
      <c r="A377" s="322" t="s">
        <v>296</v>
      </c>
      <c r="B377" s="312" t="s">
        <v>2615</v>
      </c>
      <c r="C377" s="313">
        <v>0.15</v>
      </c>
      <c r="D377" s="313">
        <v>0.15</v>
      </c>
      <c r="E377" s="313">
        <v>0.15</v>
      </c>
      <c r="F377" s="313">
        <v>0.14000000000000001</v>
      </c>
      <c r="G377" s="315">
        <v>0.15</v>
      </c>
    </row>
    <row r="378" spans="1:7">
      <c r="A378" s="318" t="s">
        <v>300</v>
      </c>
      <c r="B378" s="304" t="s">
        <v>2616</v>
      </c>
      <c r="C378" s="305">
        <v>0.15</v>
      </c>
      <c r="D378" s="305">
        <v>0.15</v>
      </c>
      <c r="E378" s="305">
        <v>0.15</v>
      </c>
      <c r="F378" s="305">
        <v>0.107</v>
      </c>
      <c r="G378" s="306">
        <v>0.15</v>
      </c>
    </row>
    <row r="379" spans="1:7">
      <c r="A379" s="319" t="s">
        <v>300</v>
      </c>
      <c r="B379" s="308" t="s">
        <v>2617</v>
      </c>
      <c r="C379" s="309">
        <v>0.15</v>
      </c>
      <c r="D379" s="309">
        <v>0.15</v>
      </c>
      <c r="E379" s="309">
        <v>0.15</v>
      </c>
      <c r="F379" s="309">
        <v>0.115</v>
      </c>
      <c r="G379" s="310">
        <v>0.14899999999999999</v>
      </c>
    </row>
    <row r="380" spans="1:7">
      <c r="A380" s="319" t="s">
        <v>300</v>
      </c>
      <c r="B380" s="308" t="s">
        <v>2618</v>
      </c>
      <c r="C380" s="309">
        <v>0.15</v>
      </c>
      <c r="D380" s="309">
        <v>0.15</v>
      </c>
      <c r="E380" s="309">
        <v>0.15</v>
      </c>
      <c r="F380" s="309">
        <v>0.1</v>
      </c>
      <c r="G380" s="310">
        <v>0.14799999999999999</v>
      </c>
    </row>
    <row r="381" spans="1:7">
      <c r="A381" s="319" t="s">
        <v>300</v>
      </c>
      <c r="B381" s="308" t="s">
        <v>2619</v>
      </c>
      <c r="C381" s="309">
        <v>0.15</v>
      </c>
      <c r="D381" s="309">
        <v>0.15</v>
      </c>
      <c r="E381" s="309">
        <v>0.15</v>
      </c>
      <c r="F381" s="309">
        <v>0.126</v>
      </c>
      <c r="G381" s="310">
        <v>0.15</v>
      </c>
    </row>
    <row r="382" spans="1:7">
      <c r="A382" s="319" t="s">
        <v>300</v>
      </c>
      <c r="B382" s="308" t="s">
        <v>2620</v>
      </c>
      <c r="C382" s="309">
        <v>0.15</v>
      </c>
      <c r="D382" s="309">
        <v>0.15</v>
      </c>
      <c r="E382" s="309">
        <v>0.15</v>
      </c>
      <c r="F382" s="309">
        <v>0.15</v>
      </c>
      <c r="G382" s="310">
        <v>0.15</v>
      </c>
    </row>
    <row r="383" spans="1:7">
      <c r="A383" s="319" t="s">
        <v>300</v>
      </c>
      <c r="B383" s="308" t="s">
        <v>2621</v>
      </c>
      <c r="C383" s="309">
        <v>0.15</v>
      </c>
      <c r="D383" s="309">
        <v>0.15</v>
      </c>
      <c r="E383" s="309">
        <v>0.15</v>
      </c>
      <c r="F383" s="309">
        <v>0.14699999999999999</v>
      </c>
      <c r="G383" s="310">
        <v>0.15</v>
      </c>
    </row>
    <row r="384" spans="1:7">
      <c r="A384" s="329" t="s">
        <v>300</v>
      </c>
      <c r="B384" s="330" t="s">
        <v>2622</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2" t="s">
        <v>2623</v>
      </c>
      <c r="B1" s="3522"/>
      <c r="C1" s="3522"/>
      <c r="D1" s="3522"/>
      <c r="E1" s="3522"/>
      <c r="F1" s="3523"/>
    </row>
    <row r="2" spans="1:6">
      <c r="A2" s="292" t="s">
        <v>2624</v>
      </c>
    </row>
    <row r="3" spans="1:6">
      <c r="A3" s="292" t="s">
        <v>2625</v>
      </c>
      <c r="F3" s="293" t="s">
        <v>2626</v>
      </c>
    </row>
    <row r="4" spans="1:6">
      <c r="A4" s="294" t="s">
        <v>404</v>
      </c>
      <c r="B4" s="294" t="s">
        <v>1920</v>
      </c>
      <c r="C4" s="294" t="s">
        <v>562</v>
      </c>
      <c r="D4" s="294" t="s">
        <v>2627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AR54"/>
  <sheetViews>
    <sheetView topLeftCell="A19" zoomScale="90" zoomScaleNormal="90" workbookViewId="0">
      <selection activeCell="U39" sqref="U39"/>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45838</v>
      </c>
      <c r="B1" s="227" t="s">
        <v>2628</v>
      </c>
      <c r="C1" s="228"/>
      <c r="D1" s="228"/>
      <c r="E1" s="228"/>
      <c r="F1" s="228"/>
      <c r="G1" s="228"/>
      <c r="H1" s="228"/>
      <c r="I1" s="228"/>
      <c r="J1" s="246"/>
      <c r="K1" s="228" t="s">
        <v>2629</v>
      </c>
      <c r="L1" s="228"/>
      <c r="M1" s="228"/>
      <c r="N1" s="228"/>
      <c r="O1" s="228"/>
      <c r="P1" s="228"/>
      <c r="Q1" s="246"/>
      <c r="R1" s="3524" t="s">
        <v>2630</v>
      </c>
      <c r="S1" s="3525"/>
      <c r="T1" s="3525"/>
      <c r="U1" s="3525"/>
      <c r="V1" s="3525"/>
      <c r="W1" s="3525"/>
      <c r="X1" s="246"/>
      <c r="Y1" s="3524" t="s">
        <v>2631</v>
      </c>
      <c r="Z1" s="3525"/>
      <c r="AA1" s="3525"/>
      <c r="AB1" s="3525"/>
      <c r="AC1" s="3525"/>
      <c r="AD1" s="3525"/>
    </row>
    <row r="2" spans="1:44" s="104" customFormat="1">
      <c r="B2" s="229"/>
      <c r="C2" s="230"/>
      <c r="D2" s="113" t="s">
        <v>2632</v>
      </c>
      <c r="E2" s="114" t="s">
        <v>1920</v>
      </c>
      <c r="F2" s="114" t="s">
        <v>562</v>
      </c>
      <c r="G2" s="114" t="s">
        <v>412</v>
      </c>
      <c r="H2" s="114" t="s">
        <v>408</v>
      </c>
      <c r="I2" s="114" t="s">
        <v>280</v>
      </c>
      <c r="J2" s="247"/>
      <c r="K2" s="113" t="s">
        <v>2632</v>
      </c>
      <c r="L2" s="114" t="s">
        <v>1920</v>
      </c>
      <c r="M2" s="114" t="s">
        <v>562</v>
      </c>
      <c r="N2" s="114" t="s">
        <v>412</v>
      </c>
      <c r="O2" s="114" t="s">
        <v>408</v>
      </c>
      <c r="P2" s="114" t="s">
        <v>280</v>
      </c>
      <c r="Q2" s="247"/>
      <c r="R2" s="113" t="s">
        <v>2632</v>
      </c>
      <c r="S2" s="114" t="s">
        <v>1920</v>
      </c>
      <c r="T2" s="114" t="s">
        <v>562</v>
      </c>
      <c r="U2" s="114" t="s">
        <v>412</v>
      </c>
      <c r="V2" s="114" t="s">
        <v>408</v>
      </c>
      <c r="W2" s="114" t="s">
        <v>280</v>
      </c>
      <c r="X2" s="247"/>
      <c r="Y2" s="113" t="s">
        <v>2632</v>
      </c>
      <c r="Z2" s="114" t="s">
        <v>1920</v>
      </c>
      <c r="AA2" s="114" t="s">
        <v>562</v>
      </c>
      <c r="AB2" s="114" t="s">
        <v>412</v>
      </c>
      <c r="AC2" s="114" t="s">
        <v>408</v>
      </c>
      <c r="AD2" s="114" t="s">
        <v>280</v>
      </c>
      <c r="AF2" t="s">
        <v>2632</v>
      </c>
      <c r="AG2" t="s">
        <v>1920</v>
      </c>
      <c r="AH2" t="s">
        <v>562</v>
      </c>
      <c r="AI2" t="s">
        <v>412</v>
      </c>
      <c r="AJ2" t="s">
        <v>408</v>
      </c>
      <c r="AK2" t="s">
        <v>280</v>
      </c>
      <c r="AM2" t="s">
        <v>2632</v>
      </c>
      <c r="AN2" t="s">
        <v>1920</v>
      </c>
      <c r="AO2" t="s">
        <v>562</v>
      </c>
      <c r="AP2" t="s">
        <v>412</v>
      </c>
      <c r="AQ2" t="s">
        <v>408</v>
      </c>
      <c r="AR2" t="s">
        <v>280</v>
      </c>
    </row>
    <row r="3" spans="1:44" s="223" customFormat="1" ht="13.2">
      <c r="A3" s="231" t="s">
        <v>2633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2635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2636</v>
      </c>
      <c r="B7" s="234">
        <v>2025</v>
      </c>
      <c r="C7" s="235">
        <v>2</v>
      </c>
      <c r="D7" s="236">
        <v>0.05</v>
      </c>
      <c r="E7" s="236">
        <v>-0.62</v>
      </c>
      <c r="F7" s="236">
        <v>-1.05</v>
      </c>
      <c r="G7" s="236">
        <v>0.09</v>
      </c>
      <c r="H7" s="237">
        <v>0.17</v>
      </c>
      <c r="I7" s="254">
        <v>-1.05</v>
      </c>
      <c r="J7" s="255"/>
      <c r="K7" s="256">
        <v>5.0000000000000001E-4</v>
      </c>
      <c r="L7" s="257">
        <v>-6.1999999999999998E-3</v>
      </c>
      <c r="M7" s="257">
        <v>-1.0500000000000001E-2</v>
      </c>
      <c r="N7" s="257">
        <v>8.9999999999999998E-4</v>
      </c>
      <c r="O7" s="257">
        <v>1.7000000000000001E-3</v>
      </c>
      <c r="P7" s="257">
        <v>-1.0500000000000001E-2</v>
      </c>
      <c r="Q7" s="255"/>
      <c r="R7" s="255">
        <v>1.0577000000000001</v>
      </c>
      <c r="S7" s="255">
        <v>1.0275000000000001</v>
      </c>
      <c r="T7" s="255">
        <v>0.98089999999999999</v>
      </c>
      <c r="U7" s="255">
        <v>1.0689</v>
      </c>
      <c r="V7" s="255">
        <v>1.0891</v>
      </c>
      <c r="W7" s="255">
        <v>0.98089999999999999</v>
      </c>
      <c r="X7" s="255"/>
      <c r="Y7" s="257">
        <v>2.3E-3</v>
      </c>
      <c r="Z7" s="257">
        <v>1E-3</v>
      </c>
      <c r="AA7" s="257">
        <v>-1.9E-3</v>
      </c>
      <c r="AB7" s="257">
        <v>2.8999999999999998E-3</v>
      </c>
      <c r="AC7" s="257">
        <v>4.7000000000000002E-3</v>
      </c>
      <c r="AD7" s="257">
        <v>-1.9E-3</v>
      </c>
      <c r="AF7" s="277">
        <v>105.77000000000001</v>
      </c>
      <c r="AG7" s="277">
        <v>102.75000000000001</v>
      </c>
      <c r="AH7" s="277">
        <v>98.09</v>
      </c>
      <c r="AI7" s="277">
        <v>106.89</v>
      </c>
      <c r="AJ7" s="277">
        <v>108.91</v>
      </c>
      <c r="AK7" s="277">
        <v>98.09</v>
      </c>
      <c r="AM7" s="277">
        <v>100</v>
      </c>
      <c r="AN7" s="277">
        <v>100</v>
      </c>
      <c r="AO7" s="277">
        <v>100</v>
      </c>
      <c r="AP7" s="277">
        <v>100</v>
      </c>
      <c r="AQ7" s="277">
        <v>100</v>
      </c>
      <c r="AR7" s="277">
        <v>100</v>
      </c>
    </row>
    <row r="8" spans="1:44" s="106" customFormat="1" ht="13.2">
      <c r="A8" s="123" t="s">
        <v>2637</v>
      </c>
      <c r="B8" s="125">
        <v>2025</v>
      </c>
      <c r="C8" s="126">
        <v>1</v>
      </c>
      <c r="D8" s="150">
        <v>0.56999999999999995</v>
      </c>
      <c r="E8" s="150">
        <v>-0.56999999999999995</v>
      </c>
      <c r="F8" s="150">
        <v>-0.9</v>
      </c>
      <c r="G8" s="150">
        <v>1.1200000000000001</v>
      </c>
      <c r="H8" s="150">
        <v>0.42</v>
      </c>
      <c r="I8" s="151">
        <f t="shared" ref="I8" si="37">F8</f>
        <v>-0.9</v>
      </c>
      <c r="J8" s="253"/>
      <c r="K8" s="152">
        <f t="shared" ref="K8" si="38">D8/100</f>
        <v>5.6999999999999993E-3</v>
      </c>
      <c r="L8" s="153">
        <f t="shared" ref="L8" si="39">E8/100</f>
        <v>-5.6999999999999993E-3</v>
      </c>
      <c r="M8" s="153">
        <f t="shared" ref="M8" si="40">F8/100</f>
        <v>-9.0000000000000011E-3</v>
      </c>
      <c r="N8" s="153">
        <f t="shared" ref="N8" si="41">G8/100</f>
        <v>1.1200000000000002E-2</v>
      </c>
      <c r="O8" s="153">
        <f t="shared" ref="O8" si="42">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43">IF(E8=0,0,ROUND(AVERAGE(E8:E21)/100,4))</f>
        <v>1.6000000000000001E-3</v>
      </c>
      <c r="AA8" s="153">
        <f t="shared" ref="AA8" si="44">IF(F8=0,0,ROUND(AVERAGE(F8:F21)/100,4))</f>
        <v>-1.1000000000000001E-3</v>
      </c>
      <c r="AB8" s="153">
        <f t="shared" ref="AB8" si="45">IF(G8=0,0,ROUND(AVERAGE(G8:G21)/100,4))</f>
        <v>3.7000000000000002E-3</v>
      </c>
      <c r="AC8" s="153">
        <f t="shared" ref="AC8" si="46">IF(H8=0,0,ROUND(AVERAGE(H8:H21)/100,4))</f>
        <v>4.8999999999999998E-3</v>
      </c>
      <c r="AD8" s="153">
        <f t="shared" ref="AD8" si="47">AA8</f>
        <v>-1.1000000000000001E-3</v>
      </c>
      <c r="AF8" s="276">
        <f t="shared" si="30"/>
        <v>105.72</v>
      </c>
      <c r="AG8" s="276">
        <f t="shared" si="31"/>
        <v>103.39</v>
      </c>
      <c r="AH8" s="276">
        <f t="shared" si="32"/>
        <v>99.13</v>
      </c>
      <c r="AI8" s="276">
        <f t="shared" si="33"/>
        <v>106.79</v>
      </c>
      <c r="AJ8" s="276">
        <f t="shared" si="34"/>
        <v>108.72</v>
      </c>
      <c r="AK8" s="276">
        <f t="shared" si="35"/>
        <v>99.13</v>
      </c>
      <c r="AM8" s="276">
        <f t="shared" ref="AM8:AM24" si="48">AM7/(1+D7/100)</f>
        <v>99.950024987506254</v>
      </c>
      <c r="AN8" s="276">
        <f t="shared" ref="AN8:AN24" si="49">AN7/(1+E7/100)</f>
        <v>100.6238679814852</v>
      </c>
      <c r="AO8" s="276">
        <f t="shared" ref="AO8:AO24" si="50">AO7/(1+F7/100)</f>
        <v>101.06114199090449</v>
      </c>
      <c r="AP8" s="276">
        <f t="shared" ref="AP8:AP24" si="51">AP7/(1+G7/100)</f>
        <v>99.910080927165566</v>
      </c>
      <c r="AQ8" s="276">
        <f t="shared" ref="AQ8:AQ24" si="52">AQ7/(1+H7/100)</f>
        <v>99.830288509533787</v>
      </c>
      <c r="AR8" s="276">
        <f t="shared" ref="AR8:AR24" si="53">AR7/(1+I7/100)</f>
        <v>101.06114199090449</v>
      </c>
    </row>
    <row r="9" spans="1:44" s="106" customFormat="1" ht="13.2">
      <c r="A9" s="123" t="s">
        <v>2638</v>
      </c>
      <c r="B9" s="125">
        <v>2024</v>
      </c>
      <c r="C9" s="126">
        <v>4</v>
      </c>
      <c r="D9" s="150">
        <v>-1.02</v>
      </c>
      <c r="E9" s="150">
        <v>-0.48</v>
      </c>
      <c r="F9" s="150">
        <v>-0.75</v>
      </c>
      <c r="G9" s="150">
        <v>-1.05</v>
      </c>
      <c r="H9" s="150">
        <v>0.08</v>
      </c>
      <c r="I9" s="151">
        <f t="shared" ref="I9" si="54">F9</f>
        <v>-0.75</v>
      </c>
      <c r="J9" s="253"/>
      <c r="K9" s="152">
        <f t="shared" ref="K9" si="55">D9/100</f>
        <v>-1.0200000000000001E-2</v>
      </c>
      <c r="L9" s="153">
        <f t="shared" ref="L9" si="56">E9/100</f>
        <v>-4.7999999999999996E-3</v>
      </c>
      <c r="M9" s="153">
        <f t="shared" ref="M9" si="57">F9/100</f>
        <v>-7.4999999999999997E-3</v>
      </c>
      <c r="N9" s="153">
        <f t="shared" ref="N9" si="58">G9/100</f>
        <v>-1.0500000000000001E-2</v>
      </c>
      <c r="O9" s="153">
        <f t="shared" ref="O9" si="59">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60">IF(E9=0,0,ROUND(AVERAGE(E9:E22)/100,4))</f>
        <v>2.3E-3</v>
      </c>
      <c r="AA9" s="153">
        <f t="shared" ref="AA9" si="61">IF(F9=0,0,ROUND(AVERAGE(F9:F22)/100,4))</f>
        <v>-2.9999999999999997E-4</v>
      </c>
      <c r="AB9" s="153">
        <f t="shared" ref="AB9" si="62">IF(G9=0,0,ROUND(AVERAGE(G9:G22)/100,4))</f>
        <v>3.3E-3</v>
      </c>
      <c r="AC9" s="153">
        <f t="shared" ref="AC9" si="63">IF(H9=0,0,ROUND(AVERAGE(H9:H22)/100,4))</f>
        <v>5.0000000000000001E-3</v>
      </c>
      <c r="AD9" s="153">
        <f t="shared" ref="AD9" si="64">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2639</v>
      </c>
      <c r="B10" s="125">
        <v>2024</v>
      </c>
      <c r="C10" s="126">
        <v>3</v>
      </c>
      <c r="D10" s="150">
        <v>-1.19</v>
      </c>
      <c r="E10" s="150">
        <v>-0.47</v>
      </c>
      <c r="F10" s="150">
        <v>-0.28999999999999998</v>
      </c>
      <c r="G10" s="150">
        <v>-0.74</v>
      </c>
      <c r="H10" s="150">
        <v>-0.21</v>
      </c>
      <c r="I10" s="151">
        <f t="shared" ref="I10" si="65">F10</f>
        <v>-0.28999999999999998</v>
      </c>
      <c r="J10" s="253"/>
      <c r="K10" s="152">
        <f t="shared" ref="K10" si="66">D10/100</f>
        <v>-1.1899999999999999E-2</v>
      </c>
      <c r="L10" s="153">
        <f t="shared" ref="L10" si="67">E10/100</f>
        <v>-4.6999999999999993E-3</v>
      </c>
      <c r="M10" s="153">
        <f t="shared" ref="M10" si="68">F10/100</f>
        <v>-2.8999999999999998E-3</v>
      </c>
      <c r="N10" s="153">
        <f t="shared" ref="N10" si="69">G10/100</f>
        <v>-7.4000000000000003E-3</v>
      </c>
      <c r="O10" s="153">
        <f t="shared" ref="O10" si="70">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71">IF(E10=0,0,ROUND(AVERAGE(E10:E23)/100,4))</f>
        <v>3.0999999999999999E-3</v>
      </c>
      <c r="AA10" s="153">
        <f t="shared" ref="AA10" si="72">IF(F10=0,0,ROUND(AVERAGE(F10:F23)/100,4))</f>
        <v>5.9999999999999995E-4</v>
      </c>
      <c r="AB10" s="153">
        <f t="shared" ref="AB10" si="73">IF(G10=0,0,ROUND(AVERAGE(G10:G23)/100,4))</f>
        <v>4.7000000000000002E-3</v>
      </c>
      <c r="AC10" s="153">
        <f t="shared" ref="AC10" si="74">IF(H10=0,0,ROUND(AVERAGE(H10:H23)/100,4))</f>
        <v>5.5999999999999999E-3</v>
      </c>
      <c r="AD10" s="153">
        <f t="shared" ref="AD10" si="75">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2640</v>
      </c>
      <c r="B11" s="125">
        <v>2024</v>
      </c>
      <c r="C11" s="126">
        <v>2</v>
      </c>
      <c r="D11" s="150">
        <v>-0.59</v>
      </c>
      <c r="E11" s="150">
        <v>-0.21</v>
      </c>
      <c r="F11" s="150">
        <v>-1.38</v>
      </c>
      <c r="G11" s="150">
        <v>-1.24</v>
      </c>
      <c r="H11" s="239">
        <v>0.34</v>
      </c>
      <c r="I11" s="151">
        <f t="shared" ref="I11:I24" si="76">F11</f>
        <v>-1.38</v>
      </c>
      <c r="J11" s="253"/>
      <c r="K11" s="152">
        <f t="shared" ref="K11:O24" si="77">D11/100</f>
        <v>-5.8999999999999999E-3</v>
      </c>
      <c r="L11" s="153">
        <f t="shared" si="77"/>
        <v>-2.0999999999999999E-3</v>
      </c>
      <c r="M11" s="153">
        <f t="shared" si="77"/>
        <v>-1.38E-2</v>
      </c>
      <c r="N11" s="153">
        <f t="shared" si="77"/>
        <v>-1.24E-2</v>
      </c>
      <c r="O11" s="153">
        <f t="shared" si="77"/>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78">IF(E11=0,0,ROUND(AVERAGE(E11:E24)/100,4))</f>
        <v>3.5999999999999999E-3</v>
      </c>
      <c r="AA11" s="153">
        <f t="shared" si="78"/>
        <v>5.9999999999999995E-4</v>
      </c>
      <c r="AB11" s="153">
        <f t="shared" si="78"/>
        <v>6.0000000000000001E-3</v>
      </c>
      <c r="AC11" s="153">
        <f t="shared" si="78"/>
        <v>6.0000000000000001E-3</v>
      </c>
      <c r="AD11" s="153">
        <f t="shared" ref="AD11:AD24" si="79">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2641</v>
      </c>
      <c r="B12" s="125">
        <v>2024</v>
      </c>
      <c r="C12" s="126">
        <v>1</v>
      </c>
      <c r="D12" s="150">
        <v>0.08</v>
      </c>
      <c r="E12" s="150">
        <v>0.46</v>
      </c>
      <c r="F12" s="150">
        <v>-0.16</v>
      </c>
      <c r="G12" s="150">
        <v>0.26</v>
      </c>
      <c r="H12" s="239">
        <v>0.59</v>
      </c>
      <c r="I12" s="151">
        <f t="shared" si="76"/>
        <v>-0.16</v>
      </c>
      <c r="J12" s="253"/>
      <c r="K12" s="152">
        <f t="shared" ref="K12" si="80">D12/100</f>
        <v>8.0000000000000004E-4</v>
      </c>
      <c r="L12" s="153">
        <f t="shared" ref="L12" si="81">E12/100</f>
        <v>4.5999999999999999E-3</v>
      </c>
      <c r="M12" s="153">
        <f t="shared" ref="M12" si="82">F12/100</f>
        <v>-1.6000000000000001E-3</v>
      </c>
      <c r="N12" s="153">
        <f t="shared" ref="N12" si="83">G12/100</f>
        <v>2.5999999999999999E-3</v>
      </c>
      <c r="O12" s="153">
        <f t="shared" ref="O12" si="84">H12/100</f>
        <v>5.8999999999999999E-3</v>
      </c>
      <c r="P12" s="153">
        <f t="shared" ref="P12" si="85">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86">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2642</v>
      </c>
      <c r="B13" s="125">
        <v>2023</v>
      </c>
      <c r="C13" s="126">
        <v>4</v>
      </c>
      <c r="D13" s="150">
        <v>0.19</v>
      </c>
      <c r="E13" s="150">
        <v>0.24</v>
      </c>
      <c r="F13" s="150">
        <v>-0.16</v>
      </c>
      <c r="G13" s="150">
        <v>0.17</v>
      </c>
      <c r="H13" s="239">
        <v>0.61</v>
      </c>
      <c r="I13" s="151">
        <f t="shared" si="76"/>
        <v>-0.16</v>
      </c>
      <c r="J13" s="253"/>
      <c r="K13" s="152">
        <f t="shared" si="77"/>
        <v>1.9E-3</v>
      </c>
      <c r="L13" s="153">
        <f t="shared" si="77"/>
        <v>2.3999999999999998E-3</v>
      </c>
      <c r="M13" s="153">
        <f t="shared" si="77"/>
        <v>-1.6000000000000001E-3</v>
      </c>
      <c r="N13" s="153">
        <f t="shared" si="77"/>
        <v>1.7000000000000001E-3</v>
      </c>
      <c r="O13" s="153">
        <f t="shared" si="77"/>
        <v>6.0999999999999995E-3</v>
      </c>
      <c r="P13" s="153">
        <f t="shared" ref="P13" si="87">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88">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2643</v>
      </c>
      <c r="B14" s="125">
        <v>2023</v>
      </c>
      <c r="C14" s="126">
        <v>3</v>
      </c>
      <c r="D14" s="150">
        <v>0.25</v>
      </c>
      <c r="E14" s="150">
        <v>0.5</v>
      </c>
      <c r="F14" s="150">
        <v>0.31</v>
      </c>
      <c r="G14" s="150">
        <v>0.21</v>
      </c>
      <c r="H14" s="239">
        <v>0.43</v>
      </c>
      <c r="I14" s="151">
        <f t="shared" si="76"/>
        <v>0.31</v>
      </c>
      <c r="J14" s="253"/>
      <c r="K14" s="152">
        <f t="shared" ref="K14:K16" si="89">D14/100</f>
        <v>2.5000000000000001E-3</v>
      </c>
      <c r="L14" s="153">
        <f t="shared" ref="L14:L16" si="90">E14/100</f>
        <v>5.0000000000000001E-3</v>
      </c>
      <c r="M14" s="153">
        <f t="shared" ref="M14:M16" si="91">F14/100</f>
        <v>3.0999999999999999E-3</v>
      </c>
      <c r="N14" s="153">
        <f t="shared" ref="N14:N16" si="92">G14/100</f>
        <v>2.0999999999999999E-3</v>
      </c>
      <c r="O14" s="153">
        <f t="shared" ref="O14:O16" si="93">H14/100</f>
        <v>4.3E-3</v>
      </c>
      <c r="P14" s="153">
        <f t="shared" ref="P14:P16" si="94">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95">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2644</v>
      </c>
      <c r="B15" s="125">
        <v>2023</v>
      </c>
      <c r="C15" s="126">
        <v>2</v>
      </c>
      <c r="D15" s="150">
        <v>0.91</v>
      </c>
      <c r="E15" s="150">
        <v>0.66</v>
      </c>
      <c r="F15" s="150">
        <v>0.47</v>
      </c>
      <c r="G15" s="150">
        <v>0.96</v>
      </c>
      <c r="H15" s="239">
        <v>0.71</v>
      </c>
      <c r="I15" s="151">
        <f t="shared" si="76"/>
        <v>0.47</v>
      </c>
      <c r="J15" s="253"/>
      <c r="K15" s="152">
        <f t="shared" si="89"/>
        <v>9.1000000000000004E-3</v>
      </c>
      <c r="L15" s="153">
        <f t="shared" si="90"/>
        <v>6.6E-3</v>
      </c>
      <c r="M15" s="153">
        <f t="shared" si="91"/>
        <v>4.6999999999999993E-3</v>
      </c>
      <c r="N15" s="153">
        <f t="shared" si="92"/>
        <v>9.5999999999999992E-3</v>
      </c>
      <c r="O15" s="153">
        <f t="shared" si="93"/>
        <v>7.0999999999999995E-3</v>
      </c>
      <c r="P15" s="153">
        <f t="shared" si="94"/>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95"/>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2645</v>
      </c>
      <c r="B16" s="125">
        <v>2023</v>
      </c>
      <c r="C16" s="126">
        <v>1</v>
      </c>
      <c r="D16" s="150">
        <v>0.89</v>
      </c>
      <c r="E16" s="150">
        <v>0.74</v>
      </c>
      <c r="F16" s="150">
        <v>0.56999999999999995</v>
      </c>
      <c r="G16" s="150">
        <v>0.92</v>
      </c>
      <c r="H16" s="239">
        <v>0.5</v>
      </c>
      <c r="I16" s="151">
        <f t="shared" si="76"/>
        <v>0.56999999999999995</v>
      </c>
      <c r="J16" s="253"/>
      <c r="K16" s="152">
        <f t="shared" si="89"/>
        <v>8.8999999999999999E-3</v>
      </c>
      <c r="L16" s="153">
        <f t="shared" si="90"/>
        <v>7.4000000000000003E-3</v>
      </c>
      <c r="M16" s="153">
        <f t="shared" si="91"/>
        <v>5.6999999999999993E-3</v>
      </c>
      <c r="N16" s="153">
        <f t="shared" si="92"/>
        <v>9.1999999999999998E-3</v>
      </c>
      <c r="O16" s="153">
        <f t="shared" si="93"/>
        <v>5.0000000000000001E-3</v>
      </c>
      <c r="P16" s="153">
        <f t="shared" si="94"/>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96">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2646</v>
      </c>
      <c r="B17" s="125">
        <v>2022</v>
      </c>
      <c r="C17" s="126">
        <v>4</v>
      </c>
      <c r="D17" s="150">
        <v>0.62</v>
      </c>
      <c r="E17" s="150">
        <v>0.2</v>
      </c>
      <c r="F17" s="150">
        <v>0.11</v>
      </c>
      <c r="G17" s="150">
        <v>0.69</v>
      </c>
      <c r="H17" s="239">
        <v>0.53</v>
      </c>
      <c r="I17" s="151">
        <f t="shared" si="76"/>
        <v>0.11</v>
      </c>
      <c r="J17" s="253"/>
      <c r="K17" s="152">
        <f t="shared" si="77"/>
        <v>6.1999999999999998E-3</v>
      </c>
      <c r="L17" s="153">
        <f t="shared" si="77"/>
        <v>2E-3</v>
      </c>
      <c r="M17" s="153">
        <f t="shared" si="77"/>
        <v>1.1000000000000001E-3</v>
      </c>
      <c r="N17" s="153">
        <f t="shared" si="77"/>
        <v>6.8999999999999999E-3</v>
      </c>
      <c r="O17" s="153">
        <f t="shared" si="77"/>
        <v>5.3E-3</v>
      </c>
      <c r="P17" s="153">
        <f t="shared" ref="P17:P24" si="97">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96"/>
        <v>1.0145</v>
      </c>
      <c r="X17" s="253"/>
      <c r="Y17" s="153">
        <f>IF(D17=0,0,ROUND(AVERAGE(D17:D25)/100,4))</f>
        <v>8.0999999999999996E-3</v>
      </c>
      <c r="Z17" s="153">
        <f t="shared" ref="Z17:AC17" si="98">IF(E17=0,0,ROUND(AVERAGE(E17:E24)/100,4))</f>
        <v>3.3E-3</v>
      </c>
      <c r="AA17" s="153">
        <f t="shared" si="98"/>
        <v>1.5E-3</v>
      </c>
      <c r="AB17" s="153">
        <f t="shared" si="98"/>
        <v>8.8999999999999999E-3</v>
      </c>
      <c r="AC17" s="153">
        <f t="shared" si="98"/>
        <v>6.6E-3</v>
      </c>
      <c r="AD17" s="153">
        <f t="shared" si="79"/>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2647</v>
      </c>
      <c r="B18" s="125">
        <v>2022</v>
      </c>
      <c r="C18" s="126">
        <v>3</v>
      </c>
      <c r="D18" s="150">
        <v>0.66</v>
      </c>
      <c r="E18" s="150">
        <v>0.32</v>
      </c>
      <c r="F18" s="150">
        <v>0.23</v>
      </c>
      <c r="G18" s="150">
        <v>0.72</v>
      </c>
      <c r="H18" s="239">
        <v>0.63</v>
      </c>
      <c r="I18" s="151">
        <f t="shared" si="76"/>
        <v>0.23</v>
      </c>
      <c r="J18" s="253"/>
      <c r="K18" s="152">
        <f t="shared" si="77"/>
        <v>6.6E-3</v>
      </c>
      <c r="L18" s="153">
        <f t="shared" si="77"/>
        <v>3.2000000000000002E-3</v>
      </c>
      <c r="M18" s="153">
        <f t="shared" si="77"/>
        <v>2.3E-3</v>
      </c>
      <c r="N18" s="153">
        <f t="shared" si="77"/>
        <v>7.1999999999999998E-3</v>
      </c>
      <c r="O18" s="153">
        <f t="shared" si="77"/>
        <v>6.3E-3</v>
      </c>
      <c r="P18" s="153">
        <f t="shared" si="97"/>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96"/>
        <v>1.0134000000000001</v>
      </c>
      <c r="X18" s="253"/>
      <c r="Y18" s="153">
        <f>IF(D18=0,0,ROUND(AVERAGE(D18:D24)/100,4))</f>
        <v>8.3999999999999995E-3</v>
      </c>
      <c r="Z18" s="153">
        <f t="shared" ref="Z18:AC18" si="99">IF(E18=0,0,ROUND(AVERAGE(E18:E24)/100,4))</f>
        <v>3.5000000000000001E-3</v>
      </c>
      <c r="AA18" s="153">
        <f t="shared" si="99"/>
        <v>1.5E-3</v>
      </c>
      <c r="AB18" s="153">
        <f t="shared" si="99"/>
        <v>9.1999999999999998E-3</v>
      </c>
      <c r="AC18" s="153">
        <f t="shared" si="99"/>
        <v>6.7999999999999996E-3</v>
      </c>
      <c r="AD18" s="153">
        <f t="shared" si="79"/>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2648</v>
      </c>
      <c r="B19" s="125">
        <v>2022</v>
      </c>
      <c r="C19" s="126">
        <v>2</v>
      </c>
      <c r="D19" s="150">
        <v>0.93</v>
      </c>
      <c r="E19" s="150">
        <v>0.15</v>
      </c>
      <c r="F19" s="150">
        <v>0.01</v>
      </c>
      <c r="G19" s="150">
        <v>1.05</v>
      </c>
      <c r="H19" s="239">
        <v>1.08</v>
      </c>
      <c r="I19" s="151">
        <f t="shared" si="76"/>
        <v>0.01</v>
      </c>
      <c r="J19" s="253"/>
      <c r="K19" s="152">
        <f t="shared" si="77"/>
        <v>9.300000000000001E-3</v>
      </c>
      <c r="L19" s="153">
        <f t="shared" si="77"/>
        <v>1.5E-3</v>
      </c>
      <c r="M19" s="153">
        <f t="shared" si="77"/>
        <v>1E-4</v>
      </c>
      <c r="N19" s="153">
        <f t="shared" si="77"/>
        <v>1.0500000000000001E-2</v>
      </c>
      <c r="O19" s="153">
        <f t="shared" si="77"/>
        <v>1.0800000000000001E-2</v>
      </c>
      <c r="P19" s="153">
        <f t="shared" si="97"/>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96"/>
        <v>1.0109999999999999</v>
      </c>
      <c r="X19" s="253"/>
      <c r="Y19" s="153">
        <f>IF(D19=0,0,ROUND(AVERAGE(D19:D24)/100,4))</f>
        <v>8.6999999999999994E-3</v>
      </c>
      <c r="Z19" s="153">
        <f t="shared" ref="Z19:AC19" si="100">IF(E19=0,0,ROUND(AVERAGE(E19:E24)/100,4))</f>
        <v>3.5000000000000001E-3</v>
      </c>
      <c r="AA19" s="153">
        <f t="shared" si="100"/>
        <v>1.4E-3</v>
      </c>
      <c r="AB19" s="153">
        <f t="shared" si="100"/>
        <v>9.4999999999999998E-3</v>
      </c>
      <c r="AC19" s="153">
        <f t="shared" si="100"/>
        <v>6.8999999999999999E-3</v>
      </c>
      <c r="AD19" s="153">
        <f t="shared" si="79"/>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2649</v>
      </c>
      <c r="B20" s="125">
        <v>2022</v>
      </c>
      <c r="C20" s="126">
        <v>1</v>
      </c>
      <c r="D20" s="150">
        <v>0.89</v>
      </c>
      <c r="E20" s="150">
        <v>0.44</v>
      </c>
      <c r="F20" s="150">
        <v>0.37</v>
      </c>
      <c r="G20" s="150">
        <v>0.96</v>
      </c>
      <c r="H20" s="239">
        <v>0.64</v>
      </c>
      <c r="I20" s="151">
        <f t="shared" si="76"/>
        <v>0.37</v>
      </c>
      <c r="J20" s="253"/>
      <c r="K20" s="152">
        <f t="shared" si="77"/>
        <v>8.8999999999999999E-3</v>
      </c>
      <c r="L20" s="153">
        <f t="shared" si="77"/>
        <v>4.4000000000000003E-3</v>
      </c>
      <c r="M20" s="153">
        <f t="shared" si="77"/>
        <v>3.7000000000000002E-3</v>
      </c>
      <c r="N20" s="153">
        <f t="shared" si="77"/>
        <v>9.5999999999999992E-3</v>
      </c>
      <c r="O20" s="153">
        <f t="shared" si="77"/>
        <v>6.4000000000000003E-3</v>
      </c>
      <c r="P20" s="153">
        <f t="shared" si="97"/>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96"/>
        <v>1.0108999999999999</v>
      </c>
      <c r="X20" s="253"/>
      <c r="Y20" s="153">
        <f>IF(D20=0,0,ROUND(AVERAGE(D20:D24)/100,4))</f>
        <v>8.6E-3</v>
      </c>
      <c r="Z20" s="153">
        <f t="shared" ref="Z20:AC20" si="101">IF(E20=0,0,ROUND(AVERAGE(E20:E24)/100,4))</f>
        <v>3.8999999999999998E-3</v>
      </c>
      <c r="AA20" s="153">
        <f t="shared" si="101"/>
        <v>1.6999999999999999E-3</v>
      </c>
      <c r="AB20" s="153">
        <f t="shared" si="101"/>
        <v>9.2999999999999992E-3</v>
      </c>
      <c r="AC20" s="153">
        <f t="shared" si="101"/>
        <v>6.1000000000000004E-3</v>
      </c>
      <c r="AD20" s="153">
        <f t="shared" si="79"/>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2650</v>
      </c>
      <c r="B21" s="125">
        <v>2021</v>
      </c>
      <c r="C21" s="126">
        <v>4</v>
      </c>
      <c r="D21" s="150">
        <v>1.03</v>
      </c>
      <c r="E21" s="150">
        <v>0.24</v>
      </c>
      <c r="F21" s="150">
        <v>7.0000000000000007E-2</v>
      </c>
      <c r="G21" s="150">
        <v>1.17</v>
      </c>
      <c r="H21" s="239">
        <v>0.55000000000000004</v>
      </c>
      <c r="I21" s="151">
        <f t="shared" si="76"/>
        <v>7.0000000000000007E-2</v>
      </c>
      <c r="J21" s="253"/>
      <c r="K21" s="152">
        <f t="shared" si="77"/>
        <v>1.03E-2</v>
      </c>
      <c r="L21" s="153">
        <f t="shared" si="77"/>
        <v>2.3999999999999998E-3</v>
      </c>
      <c r="M21" s="153">
        <f t="shared" si="77"/>
        <v>7.000000000000001E-4</v>
      </c>
      <c r="N21" s="153">
        <f t="shared" si="77"/>
        <v>1.1699999999999999E-2</v>
      </c>
      <c r="O21" s="153">
        <f t="shared" si="77"/>
        <v>5.5000000000000005E-3</v>
      </c>
      <c r="P21" s="153">
        <f t="shared" si="97"/>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96"/>
        <v>1.0072000000000001</v>
      </c>
      <c r="X21" s="253"/>
      <c r="Y21" s="153">
        <f>IF(D21=0,0,ROUND(AVERAGE(D21:D24)/100,4))</f>
        <v>8.5000000000000006E-3</v>
      </c>
      <c r="Z21" s="153">
        <f t="shared" ref="Z21:AC21" si="102">IF(E21=0,0,ROUND(AVERAGE(E21:E24)/100,4))</f>
        <v>3.8E-3</v>
      </c>
      <c r="AA21" s="153">
        <f t="shared" si="102"/>
        <v>1.1999999999999999E-3</v>
      </c>
      <c r="AB21" s="153">
        <f t="shared" si="102"/>
        <v>9.2999999999999992E-3</v>
      </c>
      <c r="AC21" s="153">
        <f t="shared" si="102"/>
        <v>6.0000000000000001E-3</v>
      </c>
      <c r="AD21" s="153">
        <f t="shared" si="79"/>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2651</v>
      </c>
      <c r="B22" s="125">
        <v>2021</v>
      </c>
      <c r="C22" s="126">
        <v>3</v>
      </c>
      <c r="D22" s="150">
        <v>0.47</v>
      </c>
      <c r="E22" s="150">
        <v>0.41</v>
      </c>
      <c r="F22" s="150">
        <v>0.24</v>
      </c>
      <c r="G22" s="150">
        <v>0.48</v>
      </c>
      <c r="H22" s="239">
        <v>0.48</v>
      </c>
      <c r="I22" s="151">
        <f t="shared" si="76"/>
        <v>0.24</v>
      </c>
      <c r="J22" s="253"/>
      <c r="K22" s="152">
        <f t="shared" si="77"/>
        <v>4.6999999999999993E-3</v>
      </c>
      <c r="L22" s="153">
        <f t="shared" si="77"/>
        <v>4.0999999999999995E-3</v>
      </c>
      <c r="M22" s="153">
        <f t="shared" si="77"/>
        <v>2.3999999999999998E-3</v>
      </c>
      <c r="N22" s="153">
        <f t="shared" si="77"/>
        <v>4.7999999999999996E-3</v>
      </c>
      <c r="O22" s="153">
        <f t="shared" si="77"/>
        <v>4.7999999999999996E-3</v>
      </c>
      <c r="P22" s="153">
        <f t="shared" si="97"/>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96"/>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79"/>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2652</v>
      </c>
      <c r="B23" s="125">
        <v>2021</v>
      </c>
      <c r="C23" s="126">
        <v>2</v>
      </c>
      <c r="D23" s="150">
        <v>0.92</v>
      </c>
      <c r="E23" s="150">
        <v>0.72</v>
      </c>
      <c r="F23" s="150">
        <v>0.41</v>
      </c>
      <c r="G23" s="150">
        <v>0.95</v>
      </c>
      <c r="H23" s="239">
        <v>1.01</v>
      </c>
      <c r="I23" s="151">
        <f t="shared" si="76"/>
        <v>0.41</v>
      </c>
      <c r="J23" s="253"/>
      <c r="K23" s="152">
        <f t="shared" si="77"/>
        <v>9.1999999999999998E-3</v>
      </c>
      <c r="L23" s="153">
        <f t="shared" si="77"/>
        <v>7.1999999999999998E-3</v>
      </c>
      <c r="M23" s="153">
        <f t="shared" si="77"/>
        <v>4.0999999999999995E-3</v>
      </c>
      <c r="N23" s="153">
        <f t="shared" si="77"/>
        <v>9.4999999999999998E-3</v>
      </c>
      <c r="O23" s="153">
        <f t="shared" si="77"/>
        <v>1.01E-2</v>
      </c>
      <c r="P23" s="153">
        <f t="shared" si="97"/>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96"/>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79"/>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2653</v>
      </c>
      <c r="B24" s="241">
        <v>2021</v>
      </c>
      <c r="C24" s="242">
        <v>1</v>
      </c>
      <c r="D24" s="243">
        <v>0.97</v>
      </c>
      <c r="E24" s="243">
        <v>0.16</v>
      </c>
      <c r="F24" s="243">
        <v>-0.25</v>
      </c>
      <c r="G24" s="243">
        <v>1.1100000000000001</v>
      </c>
      <c r="H24" s="244">
        <v>0.36</v>
      </c>
      <c r="I24" s="258">
        <f t="shared" si="76"/>
        <v>-0.25</v>
      </c>
      <c r="J24" s="259"/>
      <c r="K24" s="260">
        <f t="shared" si="77"/>
        <v>9.7000000000000003E-3</v>
      </c>
      <c r="L24" s="261">
        <f t="shared" si="77"/>
        <v>1.6000000000000001E-3</v>
      </c>
      <c r="M24" s="261">
        <f>F24/100</f>
        <v>-2.5000000000000001E-3</v>
      </c>
      <c r="N24" s="261">
        <f t="shared" si="77"/>
        <v>1.11E-2</v>
      </c>
      <c r="O24" s="261">
        <f t="shared" si="77"/>
        <v>3.5999999999999999E-3</v>
      </c>
      <c r="P24" s="261">
        <f t="shared" si="97"/>
        <v>-2.5000000000000001E-3</v>
      </c>
      <c r="Q24" s="259"/>
      <c r="R24" s="268">
        <v>1</v>
      </c>
      <c r="S24" s="268">
        <v>1</v>
      </c>
      <c r="T24" s="268">
        <v>1</v>
      </c>
      <c r="U24" s="268">
        <v>1</v>
      </c>
      <c r="V24" s="268">
        <v>1</v>
      </c>
      <c r="W24" s="268">
        <f t="shared" ref="W24" si="103">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79"/>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2654</v>
      </c>
    </row>
    <row r="27" spans="1:44">
      <c r="I27" s="262" t="s">
        <v>1550</v>
      </c>
    </row>
    <row r="29" spans="1:44" s="103" customFormat="1" ht="13.2">
      <c r="B29" s="227" t="s">
        <v>2655</v>
      </c>
      <c r="C29" s="228"/>
      <c r="D29" s="228"/>
      <c r="E29" s="228"/>
      <c r="F29" s="228"/>
      <c r="G29" s="228"/>
      <c r="H29" s="228"/>
      <c r="I29" s="228"/>
      <c r="J29" s="246"/>
      <c r="K29" s="228" t="s">
        <v>2629</v>
      </c>
      <c r="L29" s="228"/>
      <c r="M29" s="228"/>
      <c r="N29" s="228"/>
      <c r="O29" s="228"/>
      <c r="P29" s="228"/>
      <c r="Q29" s="246"/>
      <c r="R29" s="3524" t="s">
        <v>2630</v>
      </c>
      <c r="S29" s="3525"/>
      <c r="T29" s="3525"/>
      <c r="U29" s="3525"/>
      <c r="V29" s="3525"/>
      <c r="W29" s="3525"/>
      <c r="X29" s="246"/>
      <c r="Y29" s="3524" t="s">
        <v>2631</v>
      </c>
      <c r="Z29" s="3525"/>
      <c r="AA29" s="3525"/>
      <c r="AB29" s="3525"/>
      <c r="AC29" s="3525"/>
      <c r="AD29" s="3525"/>
    </row>
    <row r="30" spans="1:44" s="104" customFormat="1">
      <c r="B30" s="229"/>
      <c r="C30" s="230"/>
      <c r="D30" s="113" t="s">
        <v>2632</v>
      </c>
      <c r="E30" s="114" t="s">
        <v>1920</v>
      </c>
      <c r="F30" s="114" t="s">
        <v>562</v>
      </c>
      <c r="G30" s="114" t="s">
        <v>412</v>
      </c>
      <c r="H30" s="114"/>
      <c r="I30" s="114" t="s">
        <v>280</v>
      </c>
      <c r="J30" s="247"/>
      <c r="K30" s="113" t="s">
        <v>2632</v>
      </c>
      <c r="L30" s="114" t="s">
        <v>1920</v>
      </c>
      <c r="M30" s="114" t="s">
        <v>562</v>
      </c>
      <c r="N30" s="114" t="s">
        <v>412</v>
      </c>
      <c r="O30" s="114"/>
      <c r="P30" s="114" t="s">
        <v>280</v>
      </c>
      <c r="Q30" s="247"/>
      <c r="R30" s="113" t="s">
        <v>2632</v>
      </c>
      <c r="S30" s="114" t="s">
        <v>1920</v>
      </c>
      <c r="T30" s="114" t="s">
        <v>562</v>
      </c>
      <c r="U30" s="114" t="s">
        <v>412</v>
      </c>
      <c r="V30" s="114"/>
      <c r="W30" s="114" t="s">
        <v>280</v>
      </c>
      <c r="X30" s="247"/>
      <c r="Y30" s="113" t="s">
        <v>2632</v>
      </c>
      <c r="Z30" s="114" t="s">
        <v>1920</v>
      </c>
      <c r="AA30" s="114" t="s">
        <v>562</v>
      </c>
      <c r="AB30" s="114" t="s">
        <v>412</v>
      </c>
      <c r="AC30" s="114"/>
      <c r="AD30" s="114" t="s">
        <v>280</v>
      </c>
      <c r="AG30" t="s">
        <v>1920</v>
      </c>
      <c r="AH30" t="s">
        <v>562</v>
      </c>
      <c r="AI30" t="s">
        <v>412</v>
      </c>
      <c r="AJ30"/>
      <c r="AK30" t="s">
        <v>280</v>
      </c>
      <c r="AN30" t="s">
        <v>1920</v>
      </c>
      <c r="AO30" t="s">
        <v>562</v>
      </c>
      <c r="AP30" t="s">
        <v>412</v>
      </c>
      <c r="AQ30"/>
      <c r="AR30" t="s">
        <v>280</v>
      </c>
    </row>
    <row r="31" spans="1:44" s="223" customFormat="1" ht="13.2">
      <c r="A31" s="231" t="s">
        <v>2633</v>
      </c>
      <c r="B31" s="232"/>
      <c r="E31" s="223">
        <f t="shared" ref="E31:G31" si="104">ROUND(AVERAGEIF(E32:E52,"&lt;&gt;0"),2)</f>
        <v>0.09</v>
      </c>
      <c r="F31" s="223">
        <f t="shared" si="104"/>
        <v>0.01</v>
      </c>
      <c r="G31" s="223">
        <f t="shared" si="104"/>
        <v>0.24</v>
      </c>
      <c r="I31" s="223">
        <f>F31</f>
        <v>0.01</v>
      </c>
      <c r="J31" s="248"/>
      <c r="K31" s="249"/>
      <c r="L31" s="250">
        <f t="shared" ref="L31:N31" si="105">ROUND(AVERAGEIF(L32:L52,"&lt;&gt;0"),4)</f>
        <v>8.9999999999999998E-4</v>
      </c>
      <c r="M31" s="250">
        <f t="shared" si="105"/>
        <v>1E-4</v>
      </c>
      <c r="N31" s="250">
        <f t="shared" si="105"/>
        <v>2.3999999999999998E-3</v>
      </c>
      <c r="O31" s="250"/>
      <c r="P31" s="250">
        <f>M31</f>
        <v>1E-4</v>
      </c>
      <c r="Q31" s="248"/>
      <c r="R31" s="263"/>
      <c r="S31" s="264">
        <f>ROUND(SUMPRODUCT(PRODUCT(1+L32:L52)),4)</f>
        <v>1.0153000000000001</v>
      </c>
      <c r="T31" s="264">
        <f t="shared" ref="T31:U31" si="106">ROUND(SUMPRODUCT(PRODUCT(1+M32:M52)),4)</f>
        <v>1.0016</v>
      </c>
      <c r="U31" s="264">
        <f t="shared" si="106"/>
        <v>1.044</v>
      </c>
      <c r="V31" s="264"/>
      <c r="W31" s="263">
        <f>T31</f>
        <v>1.0016</v>
      </c>
      <c r="X31" s="248"/>
      <c r="Y31" s="269"/>
      <c r="Z31" s="270">
        <f t="shared" ref="Z31:AB31" si="107">ROUND(AVERAGEIF(Z32:Z52,"&lt;&gt;0"),4)</f>
        <v>3.3E-3</v>
      </c>
      <c r="AA31" s="271">
        <f t="shared" si="107"/>
        <v>2.7000000000000001E-3</v>
      </c>
      <c r="AB31" s="269">
        <f t="shared" si="107"/>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2634</v>
      </c>
      <c r="B33" s="125">
        <v>2025</v>
      </c>
      <c r="C33" s="126">
        <v>4</v>
      </c>
      <c r="D33" s="150"/>
      <c r="E33" s="150">
        <v>0</v>
      </c>
      <c r="F33" s="150">
        <v>0</v>
      </c>
      <c r="G33" s="150">
        <v>0</v>
      </c>
      <c r="H33" s="150"/>
      <c r="I33" s="151">
        <f t="shared" ref="I33" si="108">F33</f>
        <v>0</v>
      </c>
      <c r="J33" s="253"/>
      <c r="K33" s="152"/>
      <c r="L33" s="153">
        <f t="shared" ref="L33" si="109">E33/100</f>
        <v>0</v>
      </c>
      <c r="M33" s="153">
        <f t="shared" ref="M33" si="110">F33/100</f>
        <v>0</v>
      </c>
      <c r="N33" s="153">
        <f t="shared" ref="N33" si="111">G33/100</f>
        <v>0</v>
      </c>
      <c r="O33" s="153"/>
      <c r="P33" s="153">
        <f t="shared" ref="P33:P39" si="112">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13">T33</f>
        <v>0.99680000000000002</v>
      </c>
      <c r="X33" s="253"/>
      <c r="Y33" s="153"/>
      <c r="Z33" s="273">
        <f t="shared" ref="Z33" si="114">IF(E33=0,0,ROUND(AVERAGE(E33:E46)/100,4))</f>
        <v>0</v>
      </c>
      <c r="AA33" s="273">
        <f t="shared" ref="AA33" si="115">IF(F33=0,0,ROUND(AVERAGE(F33:F46)/100,4))</f>
        <v>0</v>
      </c>
      <c r="AB33" s="273">
        <f t="shared" ref="AB33" si="116">IF(G33=0,0,ROUND(AVERAGE(G33:G46)/100,4))</f>
        <v>0</v>
      </c>
      <c r="AC33" s="275"/>
      <c r="AD33" s="153">
        <f t="shared" ref="AD33:AD39" si="117">IF(I33=0,0,ROUND(AVERAGE(I33:I46)/100,4))</f>
        <v>0</v>
      </c>
      <c r="AG33" s="276">
        <f t="shared" ref="AG33:AG51" si="118">$AG$52*S33</f>
        <v>101.18</v>
      </c>
      <c r="AH33" s="276">
        <f t="shared" ref="AH33:AH50" si="119">$AG$52*T33</f>
        <v>99.68</v>
      </c>
      <c r="AI33" s="276">
        <f t="shared" ref="AI33:AI50" si="120">$AG$52*U33</f>
        <v>103.38000000000001</v>
      </c>
      <c r="AJ33" s="287"/>
      <c r="AK33" s="276">
        <f t="shared" ref="AK33:AK50" si="121">$AG$52*W33</f>
        <v>99.68</v>
      </c>
      <c r="AN33" s="288">
        <v>100</v>
      </c>
      <c r="AO33" s="288">
        <v>100</v>
      </c>
      <c r="AP33" s="288">
        <v>100</v>
      </c>
      <c r="AQ33" s="288"/>
      <c r="AR33" s="288">
        <v>100</v>
      </c>
    </row>
    <row r="34" spans="1:44" s="106" customFormat="1" ht="13.2">
      <c r="A34" s="123" t="s">
        <v>2635</v>
      </c>
      <c r="B34" s="125">
        <v>2025</v>
      </c>
      <c r="C34" s="126">
        <v>3</v>
      </c>
      <c r="D34" s="150"/>
      <c r="E34" s="150">
        <v>0</v>
      </c>
      <c r="F34" s="150">
        <v>0</v>
      </c>
      <c r="G34" s="150">
        <v>0</v>
      </c>
      <c r="H34" s="150"/>
      <c r="I34" s="151">
        <f t="shared" ref="I34" si="122">F34</f>
        <v>0</v>
      </c>
      <c r="J34" s="253"/>
      <c r="K34" s="152"/>
      <c r="L34" s="153">
        <f t="shared" ref="L34" si="123">E34/100</f>
        <v>0</v>
      </c>
      <c r="M34" s="153">
        <f t="shared" ref="M34" si="124">F34/100</f>
        <v>0</v>
      </c>
      <c r="N34" s="153">
        <f t="shared" ref="N34" si="125">G34/100</f>
        <v>0</v>
      </c>
      <c r="O34" s="153"/>
      <c r="P34" s="153">
        <f t="shared" si="112"/>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13"/>
        <v>0.99680000000000002</v>
      </c>
      <c r="X34" s="253"/>
      <c r="Y34" s="153"/>
      <c r="Z34" s="273">
        <f t="shared" ref="Z34" si="126">IF(E34=0,0,ROUND(AVERAGE(E34:E47)/100,4))</f>
        <v>0</v>
      </c>
      <c r="AA34" s="273">
        <f t="shared" ref="AA34" si="127">IF(F34=0,0,ROUND(AVERAGE(F34:F47)/100,4))</f>
        <v>0</v>
      </c>
      <c r="AB34" s="273">
        <f t="shared" ref="AB34" si="128">IF(G34=0,0,ROUND(AVERAGE(G34:G47)/100,4))</f>
        <v>0</v>
      </c>
      <c r="AC34" s="275"/>
      <c r="AD34" s="153">
        <f t="shared" si="117"/>
        <v>0</v>
      </c>
      <c r="AG34" s="276">
        <f t="shared" si="118"/>
        <v>101.18</v>
      </c>
      <c r="AH34" s="276">
        <f t="shared" si="119"/>
        <v>99.68</v>
      </c>
      <c r="AI34" s="276">
        <f t="shared" si="120"/>
        <v>103.38000000000001</v>
      </c>
      <c r="AJ34" s="287"/>
      <c r="AK34" s="276">
        <f t="shared" si="121"/>
        <v>99.68</v>
      </c>
      <c r="AN34" s="276">
        <f>AN33/(1+E33/100)</f>
        <v>100</v>
      </c>
      <c r="AO34" s="276">
        <f t="shared" ref="AO34:AR34" si="129">AO33/(1+F33/100)</f>
        <v>100</v>
      </c>
      <c r="AP34" s="276">
        <f t="shared" si="129"/>
        <v>100</v>
      </c>
      <c r="AQ34" s="276"/>
      <c r="AR34" s="276">
        <f t="shared" si="129"/>
        <v>100</v>
      </c>
    </row>
    <row r="35" spans="1:44" s="224" customFormat="1" ht="13.2">
      <c r="A35" s="233" t="s">
        <v>2636</v>
      </c>
      <c r="B35" s="234">
        <v>2025</v>
      </c>
      <c r="C35" s="235">
        <v>2</v>
      </c>
      <c r="D35" s="236"/>
      <c r="E35" s="236">
        <v>-0.31</v>
      </c>
      <c r="F35" s="236">
        <v>-1.03</v>
      </c>
      <c r="G35" s="236">
        <v>0.03</v>
      </c>
      <c r="H35" s="237"/>
      <c r="I35" s="254">
        <v>-1.03</v>
      </c>
      <c r="J35" s="255"/>
      <c r="K35" s="256"/>
      <c r="L35" s="257">
        <v>-3.0999999999999999E-3</v>
      </c>
      <c r="M35" s="257">
        <v>-1.03E-2</v>
      </c>
      <c r="N35" s="257">
        <v>2.9999999999999997E-4</v>
      </c>
      <c r="O35" s="257"/>
      <c r="P35" s="257">
        <v>-1.03E-2</v>
      </c>
      <c r="Q35" s="255"/>
      <c r="R35" s="255"/>
      <c r="S35" s="255">
        <v>1.0118</v>
      </c>
      <c r="T35" s="255">
        <v>0.99680000000000002</v>
      </c>
      <c r="U35" s="255">
        <v>1.0338000000000001</v>
      </c>
      <c r="V35" s="255"/>
      <c r="W35" s="255">
        <v>0.99680000000000002</v>
      </c>
      <c r="X35" s="255"/>
      <c r="Y35" s="257"/>
      <c r="Z35" s="279">
        <v>-2.9999999999999997E-4</v>
      </c>
      <c r="AA35" s="280">
        <v>-8.0000000000000004E-4</v>
      </c>
      <c r="AB35" s="257">
        <v>5.0000000000000001E-4</v>
      </c>
      <c r="AC35" s="281"/>
      <c r="AD35" s="257">
        <v>-8.0000000000000004E-4</v>
      </c>
      <c r="AG35" s="277">
        <v>101.18</v>
      </c>
      <c r="AH35" s="277">
        <v>99.68</v>
      </c>
      <c r="AI35" s="277">
        <v>103.38000000000001</v>
      </c>
      <c r="AJ35" s="289"/>
      <c r="AK35" s="277">
        <v>99.68</v>
      </c>
      <c r="AN35" s="277">
        <v>100</v>
      </c>
      <c r="AO35" s="277">
        <v>100</v>
      </c>
      <c r="AP35" s="277">
        <v>100</v>
      </c>
      <c r="AQ35" s="277"/>
      <c r="AR35" s="277">
        <v>100</v>
      </c>
    </row>
    <row r="36" spans="1:44" s="106" customFormat="1" ht="13.2">
      <c r="A36" s="123" t="s">
        <v>2637</v>
      </c>
      <c r="B36" s="125">
        <v>2025</v>
      </c>
      <c r="C36" s="126">
        <v>1</v>
      </c>
      <c r="D36" s="150"/>
      <c r="E36" s="150">
        <v>-1.47</v>
      </c>
      <c r="F36" s="150">
        <v>-0.98</v>
      </c>
      <c r="G36" s="150">
        <v>-0.51</v>
      </c>
      <c r="H36" s="150"/>
      <c r="I36" s="151">
        <f t="shared" ref="I36" si="130">F36</f>
        <v>-0.98</v>
      </c>
      <c r="J36" s="253"/>
      <c r="K36" s="152"/>
      <c r="L36" s="153">
        <f t="shared" ref="L36" si="131">E36/100</f>
        <v>-1.47E-2</v>
      </c>
      <c r="M36" s="153">
        <f t="shared" ref="M36" si="132">F36/100</f>
        <v>-9.7999999999999997E-3</v>
      </c>
      <c r="N36" s="153">
        <f t="shared" ref="N36" si="133">G36/100</f>
        <v>-5.1000000000000004E-3</v>
      </c>
      <c r="O36" s="153"/>
      <c r="P36" s="153">
        <f t="shared" si="112"/>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13"/>
        <v>1.0072000000000001</v>
      </c>
      <c r="X36" s="253"/>
      <c r="Y36" s="153"/>
      <c r="Z36" s="273">
        <f t="shared" ref="Z36" si="134">IF(E36=0,0,ROUND(AVERAGE(E36:E49)/100,4))</f>
        <v>4.0000000000000002E-4</v>
      </c>
      <c r="AA36" s="273">
        <f t="shared" ref="AA36" si="135">IF(F36=0,0,ROUND(AVERAGE(F36:F49)/100,4))</f>
        <v>0</v>
      </c>
      <c r="AB36" s="273">
        <f t="shared" ref="AB36" si="136">IF(G36=0,0,ROUND(AVERAGE(G36:G49)/100,4))</f>
        <v>1E-3</v>
      </c>
      <c r="AC36" s="275"/>
      <c r="AD36" s="153">
        <f t="shared" si="117"/>
        <v>0</v>
      </c>
      <c r="AG36" s="276">
        <f t="shared" si="118"/>
        <v>101.49</v>
      </c>
      <c r="AH36" s="276">
        <f t="shared" si="119"/>
        <v>100.72000000000001</v>
      </c>
      <c r="AI36" s="276">
        <f t="shared" si="120"/>
        <v>103.35000000000001</v>
      </c>
      <c r="AJ36" s="287"/>
      <c r="AK36" s="276">
        <f t="shared" si="121"/>
        <v>100.72000000000001</v>
      </c>
      <c r="AN36" s="276">
        <f t="shared" ref="AN36:AN52" si="137">AN35/(1+E35/100)</f>
        <v>100.31096398836392</v>
      </c>
      <c r="AO36" s="276">
        <f t="shared" ref="AO36:AO52" si="138">AO35/(1+F35/100)</f>
        <v>101.04071940992219</v>
      </c>
      <c r="AP36" s="276">
        <f t="shared" ref="AP36:AP52" si="139">AP35/(1+G35/100)</f>
        <v>99.970008997300809</v>
      </c>
      <c r="AQ36" s="276"/>
      <c r="AR36" s="276">
        <f t="shared" ref="AR36:AR52" si="140">AR35/(1+I35/100)</f>
        <v>101.04071940992219</v>
      </c>
    </row>
    <row r="37" spans="1:44" s="106" customFormat="1" ht="13.2">
      <c r="A37" s="123" t="s">
        <v>2638</v>
      </c>
      <c r="B37" s="125">
        <v>2024</v>
      </c>
      <c r="C37" s="126">
        <v>4</v>
      </c>
      <c r="D37" s="150"/>
      <c r="E37" s="150">
        <v>-0.61</v>
      </c>
      <c r="F37" s="150">
        <v>-0.71</v>
      </c>
      <c r="G37" s="150">
        <v>-0.88</v>
      </c>
      <c r="H37" s="150"/>
      <c r="I37" s="151">
        <f t="shared" ref="I37" si="141">F37</f>
        <v>-0.71</v>
      </c>
      <c r="J37" s="253"/>
      <c r="K37" s="152"/>
      <c r="L37" s="153">
        <f t="shared" ref="L37" si="142">E37/100</f>
        <v>-6.0999999999999995E-3</v>
      </c>
      <c r="M37" s="153">
        <f t="shared" ref="M37" si="143">F37/100</f>
        <v>-7.0999999999999995E-3</v>
      </c>
      <c r="N37" s="153">
        <f t="shared" ref="N37" si="144">G37/100</f>
        <v>-8.8000000000000005E-3</v>
      </c>
      <c r="O37" s="153"/>
      <c r="P37" s="153">
        <f t="shared" si="112"/>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13"/>
        <v>1.0170999999999999</v>
      </c>
      <c r="X37" s="253"/>
      <c r="Y37" s="153"/>
      <c r="Z37" s="273">
        <f t="shared" ref="Z37" si="145">IF(E37=0,0,ROUND(AVERAGE(E37:E50)/100,4))</f>
        <v>1.6999999999999999E-3</v>
      </c>
      <c r="AA37" s="273">
        <f t="shared" ref="AA37" si="146">IF(F37=0,0,ROUND(AVERAGE(F37:F50)/100,4))</f>
        <v>8.9999999999999998E-4</v>
      </c>
      <c r="AB37" s="273">
        <f t="shared" ref="AB37" si="147">IF(G37=0,0,ROUND(AVERAGE(G37:G50)/100,4))</f>
        <v>2E-3</v>
      </c>
      <c r="AC37" s="275"/>
      <c r="AD37" s="153">
        <f t="shared" si="117"/>
        <v>8.9999999999999998E-4</v>
      </c>
      <c r="AG37" s="276">
        <f t="shared" si="118"/>
        <v>103.01</v>
      </c>
      <c r="AH37" s="276">
        <f t="shared" si="119"/>
        <v>101.71</v>
      </c>
      <c r="AI37" s="276">
        <f t="shared" si="120"/>
        <v>103.88</v>
      </c>
      <c r="AJ37" s="287"/>
      <c r="AK37" s="276">
        <f t="shared" si="121"/>
        <v>101.71</v>
      </c>
      <c r="AN37" s="276">
        <f t="shared" si="137"/>
        <v>101.80753474917682</v>
      </c>
      <c r="AO37" s="276">
        <f t="shared" si="138"/>
        <v>102.04071845073943</v>
      </c>
      <c r="AP37" s="276">
        <f t="shared" si="139"/>
        <v>100.48246959222114</v>
      </c>
      <c r="AQ37" s="276"/>
      <c r="AR37" s="276">
        <f t="shared" si="140"/>
        <v>102.04071845073943</v>
      </c>
    </row>
    <row r="38" spans="1:44" s="106" customFormat="1" ht="13.2">
      <c r="A38" s="123" t="s">
        <v>2639</v>
      </c>
      <c r="B38" s="125">
        <v>2024</v>
      </c>
      <c r="C38" s="126">
        <v>3</v>
      </c>
      <c r="D38" s="150"/>
      <c r="E38" s="150">
        <v>-0.66</v>
      </c>
      <c r="F38" s="150">
        <v>-0.52</v>
      </c>
      <c r="G38" s="150">
        <v>-2.87</v>
      </c>
      <c r="H38" s="150"/>
      <c r="I38" s="151">
        <f t="shared" ref="I38" si="148">F38</f>
        <v>-0.52</v>
      </c>
      <c r="J38" s="253"/>
      <c r="K38" s="152"/>
      <c r="L38" s="153">
        <f t="shared" ref="L38" si="149">E38/100</f>
        <v>-6.6E-3</v>
      </c>
      <c r="M38" s="153">
        <f t="shared" ref="M38" si="150">F38/100</f>
        <v>-5.1999999999999998E-3</v>
      </c>
      <c r="N38" s="153">
        <f t="shared" ref="N38" si="151">G38/100</f>
        <v>-2.87E-2</v>
      </c>
      <c r="O38" s="153"/>
      <c r="P38" s="153">
        <f t="shared" si="112"/>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13"/>
        <v>1.0244</v>
      </c>
      <c r="X38" s="253"/>
      <c r="Y38" s="153"/>
      <c r="Z38" s="273">
        <f t="shared" ref="Z38:AB39" si="152">IF(E38=0,0,ROUND(AVERAGE(E38:E51)/100,4))</f>
        <v>2.5999999999999999E-3</v>
      </c>
      <c r="AA38" s="273">
        <f t="shared" si="152"/>
        <v>1.6999999999999999E-3</v>
      </c>
      <c r="AB38" s="273">
        <f t="shared" si="152"/>
        <v>3.3999999999999998E-3</v>
      </c>
      <c r="AC38" s="275"/>
      <c r="AD38" s="153">
        <f t="shared" si="117"/>
        <v>1.6999999999999999E-3</v>
      </c>
      <c r="AG38" s="276">
        <f t="shared" si="118"/>
        <v>103.64</v>
      </c>
      <c r="AH38" s="276">
        <f t="shared" si="119"/>
        <v>102.44</v>
      </c>
      <c r="AI38" s="276">
        <f t="shared" si="120"/>
        <v>104.80000000000001</v>
      </c>
      <c r="AJ38" s="287"/>
      <c r="AK38" s="276">
        <f t="shared" si="121"/>
        <v>102.44</v>
      </c>
      <c r="AN38" s="276">
        <f t="shared" si="137"/>
        <v>102.4323722197171</v>
      </c>
      <c r="AO38" s="276">
        <f t="shared" si="138"/>
        <v>102.7703882070092</v>
      </c>
      <c r="AP38" s="276">
        <f t="shared" si="139"/>
        <v>101.37456577100599</v>
      </c>
      <c r="AQ38" s="276"/>
      <c r="AR38" s="276">
        <f t="shared" si="140"/>
        <v>102.7703882070092</v>
      </c>
    </row>
    <row r="39" spans="1:44" s="106" customFormat="1" ht="13.2">
      <c r="A39" s="238" t="s">
        <v>2640</v>
      </c>
      <c r="B39" s="125">
        <v>2024</v>
      </c>
      <c r="C39" s="126">
        <v>2</v>
      </c>
      <c r="D39" s="150"/>
      <c r="E39" s="150">
        <v>-0.31</v>
      </c>
      <c r="F39" s="150">
        <v>-0.39</v>
      </c>
      <c r="G39" s="150">
        <v>1.23</v>
      </c>
      <c r="H39" s="239"/>
      <c r="I39" s="151">
        <f t="shared" ref="I39:I52" si="153">F39</f>
        <v>-0.39</v>
      </c>
      <c r="J39" s="253"/>
      <c r="K39" s="152"/>
      <c r="L39" s="153">
        <f t="shared" ref="L39:N52" si="154">E39/100</f>
        <v>-3.0999999999999999E-3</v>
      </c>
      <c r="M39" s="153">
        <f t="shared" si="154"/>
        <v>-3.9000000000000003E-3</v>
      </c>
      <c r="N39" s="153">
        <f t="shared" si="154"/>
        <v>1.23E-2</v>
      </c>
      <c r="O39" s="153"/>
      <c r="P39" s="153">
        <f t="shared" si="112"/>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13"/>
        <v>1.0298</v>
      </c>
      <c r="X39" s="253"/>
      <c r="Y39" s="153"/>
      <c r="Z39" s="273">
        <f t="shared" si="152"/>
        <v>3.3E-3</v>
      </c>
      <c r="AA39" s="274">
        <f t="shared" si="152"/>
        <v>2.3999999999999998E-3</v>
      </c>
      <c r="AB39" s="153">
        <f t="shared" si="152"/>
        <v>6.1999999999999998E-3</v>
      </c>
      <c r="AC39" s="275"/>
      <c r="AD39" s="153">
        <f t="shared" si="117"/>
        <v>2.3999999999999998E-3</v>
      </c>
      <c r="AG39" s="276">
        <f t="shared" si="118"/>
        <v>104.32999999999998</v>
      </c>
      <c r="AH39" s="276">
        <f t="shared" si="119"/>
        <v>102.98</v>
      </c>
      <c r="AI39" s="276">
        <f t="shared" si="120"/>
        <v>107.89999999999999</v>
      </c>
      <c r="AJ39" s="287"/>
      <c r="AK39" s="276">
        <f t="shared" si="121"/>
        <v>102.98</v>
      </c>
      <c r="AN39" s="276">
        <f t="shared" si="137"/>
        <v>103.11291747505244</v>
      </c>
      <c r="AO39" s="276">
        <f t="shared" si="138"/>
        <v>103.30758766285605</v>
      </c>
      <c r="AP39" s="276">
        <f t="shared" si="139"/>
        <v>104.36998432101923</v>
      </c>
      <c r="AQ39" s="276"/>
      <c r="AR39" s="276">
        <f t="shared" si="140"/>
        <v>103.30758766285605</v>
      </c>
    </row>
    <row r="40" spans="1:44" s="106" customFormat="1" ht="13.2">
      <c r="A40" s="238" t="s">
        <v>2641</v>
      </c>
      <c r="B40" s="125">
        <v>2024</v>
      </c>
      <c r="C40" s="126">
        <v>1</v>
      </c>
      <c r="D40" s="150"/>
      <c r="E40" s="150">
        <v>0.25</v>
      </c>
      <c r="F40" s="150">
        <v>0.4</v>
      </c>
      <c r="G40" s="150">
        <v>-0.63</v>
      </c>
      <c r="H40" s="239"/>
      <c r="I40" s="151">
        <f t="shared" ref="I40:I41" si="155">F40</f>
        <v>0.4</v>
      </c>
      <c r="J40" s="253"/>
      <c r="K40" s="152"/>
      <c r="L40" s="153">
        <f t="shared" ref="L40" si="156">E40/100</f>
        <v>2.5000000000000001E-3</v>
      </c>
      <c r="M40" s="153">
        <f t="shared" ref="M40" si="157">F40/100</f>
        <v>4.0000000000000001E-3</v>
      </c>
      <c r="N40" s="153">
        <f t="shared" ref="N40" si="158">G40/100</f>
        <v>-6.3E-3</v>
      </c>
      <c r="O40" s="153"/>
      <c r="P40" s="153">
        <f t="shared" ref="P40" si="159">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60">T40</f>
        <v>1.0338000000000001</v>
      </c>
      <c r="X40" s="253"/>
      <c r="Y40" s="153"/>
      <c r="Z40" s="273"/>
      <c r="AA40" s="274"/>
      <c r="AB40" s="153"/>
      <c r="AC40" s="275"/>
      <c r="AD40" s="153"/>
      <c r="AG40" s="276">
        <f t="shared" si="118"/>
        <v>104.65</v>
      </c>
      <c r="AH40" s="276">
        <f t="shared" si="119"/>
        <v>103.38000000000001</v>
      </c>
      <c r="AI40" s="276">
        <f t="shared" si="120"/>
        <v>106.59</v>
      </c>
      <c r="AJ40" s="287"/>
      <c r="AK40" s="276">
        <f t="shared" si="121"/>
        <v>103.38000000000001</v>
      </c>
      <c r="AN40" s="276">
        <f t="shared" si="137"/>
        <v>103.43356151575126</v>
      </c>
      <c r="AO40" s="276">
        <f t="shared" si="138"/>
        <v>103.7120647152455</v>
      </c>
      <c r="AP40" s="276">
        <f t="shared" si="139"/>
        <v>103.10183179000221</v>
      </c>
      <c r="AQ40" s="276"/>
      <c r="AR40" s="276">
        <f t="shared" si="140"/>
        <v>103.7120647152455</v>
      </c>
    </row>
    <row r="41" spans="1:44" s="106" customFormat="1" ht="13.2">
      <c r="A41" s="238" t="s">
        <v>2642</v>
      </c>
      <c r="B41" s="125">
        <v>2023</v>
      </c>
      <c r="C41" s="126">
        <v>4</v>
      </c>
      <c r="D41" s="150"/>
      <c r="E41" s="150">
        <v>7.0000000000000007E-2</v>
      </c>
      <c r="F41" s="150">
        <v>0.09</v>
      </c>
      <c r="G41" s="150">
        <v>0.03</v>
      </c>
      <c r="H41" s="239"/>
      <c r="I41" s="151">
        <f t="shared" si="155"/>
        <v>0.09</v>
      </c>
      <c r="J41" s="253"/>
      <c r="K41" s="152"/>
      <c r="L41" s="153">
        <f t="shared" si="154"/>
        <v>7.000000000000001E-4</v>
      </c>
      <c r="M41" s="153">
        <f t="shared" si="154"/>
        <v>8.9999999999999998E-4</v>
      </c>
      <c r="N41" s="153">
        <f t="shared" si="154"/>
        <v>2.9999999999999997E-4</v>
      </c>
      <c r="O41" s="153"/>
      <c r="P41" s="153">
        <f t="shared" ref="P41" si="161">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62">T41</f>
        <v>1.0297000000000001</v>
      </c>
      <c r="X41" s="253"/>
      <c r="Y41" s="153"/>
      <c r="Z41" s="273"/>
      <c r="AA41" s="274"/>
      <c r="AB41" s="153"/>
      <c r="AC41" s="275"/>
      <c r="AD41" s="153"/>
      <c r="AG41" s="276">
        <f t="shared" si="118"/>
        <v>104.39</v>
      </c>
      <c r="AH41" s="276">
        <f t="shared" si="119"/>
        <v>102.97</v>
      </c>
      <c r="AI41" s="276">
        <f t="shared" si="120"/>
        <v>107.27</v>
      </c>
      <c r="AJ41" s="287"/>
      <c r="AK41" s="276">
        <f t="shared" si="121"/>
        <v>102.97</v>
      </c>
      <c r="AN41" s="276">
        <f t="shared" si="137"/>
        <v>103.17562245960227</v>
      </c>
      <c r="AO41" s="276">
        <f t="shared" si="138"/>
        <v>103.29886923829234</v>
      </c>
      <c r="AP41" s="276">
        <f t="shared" si="139"/>
        <v>103.75549138573231</v>
      </c>
      <c r="AQ41" s="276"/>
      <c r="AR41" s="276">
        <f t="shared" si="140"/>
        <v>103.29886923829234</v>
      </c>
    </row>
    <row r="42" spans="1:44" s="106" customFormat="1" ht="13.2">
      <c r="A42" s="238" t="s">
        <v>2643</v>
      </c>
      <c r="B42" s="125">
        <v>2023</v>
      </c>
      <c r="C42" s="126">
        <v>3</v>
      </c>
      <c r="D42" s="150"/>
      <c r="E42" s="150">
        <v>0.35</v>
      </c>
      <c r="F42" s="150">
        <v>0.17</v>
      </c>
      <c r="G42" s="150">
        <v>0.52</v>
      </c>
      <c r="H42" s="239"/>
      <c r="I42" s="151">
        <f t="shared" si="153"/>
        <v>0.17</v>
      </c>
      <c r="J42" s="253"/>
      <c r="K42" s="152"/>
      <c r="L42" s="153">
        <f t="shared" ref="L42:L44" si="163">E42/100</f>
        <v>3.4999999999999996E-3</v>
      </c>
      <c r="M42" s="153">
        <f t="shared" ref="M42:M44" si="164">F42/100</f>
        <v>1.7000000000000001E-3</v>
      </c>
      <c r="N42" s="153">
        <f t="shared" ref="N42:N44" si="165">G42/100</f>
        <v>5.1999999999999998E-3</v>
      </c>
      <c r="O42" s="153"/>
      <c r="P42" s="153">
        <f t="shared" ref="P42:P44" si="166">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67">T42</f>
        <v>1.0286999999999999</v>
      </c>
      <c r="X42" s="253"/>
      <c r="Y42" s="153"/>
      <c r="Z42" s="273"/>
      <c r="AA42" s="274"/>
      <c r="AB42" s="153"/>
      <c r="AC42" s="275"/>
      <c r="AD42" s="153"/>
      <c r="AG42" s="276">
        <f t="shared" si="118"/>
        <v>104.32</v>
      </c>
      <c r="AH42" s="276">
        <f t="shared" si="119"/>
        <v>102.86999999999999</v>
      </c>
      <c r="AI42" s="276">
        <f t="shared" si="120"/>
        <v>107.23</v>
      </c>
      <c r="AJ42" s="287"/>
      <c r="AK42" s="276">
        <f t="shared" si="121"/>
        <v>102.86999999999999</v>
      </c>
      <c r="AN42" s="276">
        <f t="shared" si="137"/>
        <v>103.10345004457108</v>
      </c>
      <c r="AO42" s="276">
        <f t="shared" si="138"/>
        <v>103.20598385282482</v>
      </c>
      <c r="AP42" s="276">
        <f t="shared" si="139"/>
        <v>103.72437407351026</v>
      </c>
      <c r="AQ42" s="276"/>
      <c r="AR42" s="276">
        <f t="shared" si="140"/>
        <v>103.20598385282482</v>
      </c>
    </row>
    <row r="43" spans="1:44" s="106" customFormat="1" ht="13.2">
      <c r="A43" s="238" t="s">
        <v>2644</v>
      </c>
      <c r="B43" s="125">
        <v>2023</v>
      </c>
      <c r="C43" s="126">
        <v>2</v>
      </c>
      <c r="D43" s="150"/>
      <c r="E43" s="150">
        <v>0.5</v>
      </c>
      <c r="F43" s="150">
        <v>0.45</v>
      </c>
      <c r="G43" s="150">
        <v>0.89</v>
      </c>
      <c r="H43" s="239"/>
      <c r="I43" s="151">
        <f t="shared" si="153"/>
        <v>0.45</v>
      </c>
      <c r="J43" s="253"/>
      <c r="K43" s="152"/>
      <c r="L43" s="153">
        <f t="shared" si="163"/>
        <v>5.0000000000000001E-3</v>
      </c>
      <c r="M43" s="153">
        <f t="shared" si="164"/>
        <v>4.5000000000000005E-3</v>
      </c>
      <c r="N43" s="153">
        <f t="shared" si="165"/>
        <v>8.8999999999999999E-3</v>
      </c>
      <c r="O43" s="153"/>
      <c r="P43" s="153">
        <f t="shared" si="166"/>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67"/>
        <v>1.0269999999999999</v>
      </c>
      <c r="X43" s="253"/>
      <c r="Y43" s="153"/>
      <c r="Z43" s="273"/>
      <c r="AA43" s="274"/>
      <c r="AB43" s="153"/>
      <c r="AC43" s="275"/>
      <c r="AD43" s="153"/>
      <c r="AG43" s="276">
        <f t="shared" si="118"/>
        <v>103.96000000000001</v>
      </c>
      <c r="AH43" s="276">
        <f t="shared" si="119"/>
        <v>102.69999999999999</v>
      </c>
      <c r="AI43" s="276">
        <f t="shared" si="120"/>
        <v>106.67999999999999</v>
      </c>
      <c r="AJ43" s="287"/>
      <c r="AK43" s="276">
        <f t="shared" si="121"/>
        <v>102.69999999999999</v>
      </c>
      <c r="AN43" s="276">
        <f t="shared" si="137"/>
        <v>102.74384658153569</v>
      </c>
      <c r="AO43" s="276">
        <f t="shared" si="138"/>
        <v>103.03083143937786</v>
      </c>
      <c r="AP43" s="276">
        <f t="shared" si="139"/>
        <v>103.18779752637312</v>
      </c>
      <c r="AQ43" s="276"/>
      <c r="AR43" s="276">
        <f t="shared" si="140"/>
        <v>103.03083143937786</v>
      </c>
    </row>
    <row r="44" spans="1:44" s="106" customFormat="1" ht="13.2">
      <c r="A44" s="238" t="s">
        <v>2645</v>
      </c>
      <c r="B44" s="125">
        <v>2023</v>
      </c>
      <c r="C44" s="126">
        <v>1</v>
      </c>
      <c r="D44" s="150"/>
      <c r="E44" s="150">
        <v>0.55000000000000004</v>
      </c>
      <c r="F44" s="150">
        <v>0.59</v>
      </c>
      <c r="G44" s="150">
        <v>0.64</v>
      </c>
      <c r="H44" s="239"/>
      <c r="I44" s="151">
        <f t="shared" si="153"/>
        <v>0.59</v>
      </c>
      <c r="J44" s="253"/>
      <c r="K44" s="152"/>
      <c r="L44" s="153">
        <f t="shared" si="163"/>
        <v>5.5000000000000005E-3</v>
      </c>
      <c r="M44" s="153">
        <f t="shared" si="164"/>
        <v>5.8999999999999999E-3</v>
      </c>
      <c r="N44" s="153">
        <f t="shared" si="165"/>
        <v>6.4000000000000003E-3</v>
      </c>
      <c r="O44" s="153"/>
      <c r="P44" s="153">
        <f t="shared" si="166"/>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67"/>
        <v>1.0224</v>
      </c>
      <c r="X44" s="253"/>
      <c r="Y44" s="153"/>
      <c r="Z44" s="273"/>
      <c r="AA44" s="274"/>
      <c r="AB44" s="153"/>
      <c r="AC44" s="275"/>
      <c r="AD44" s="153"/>
      <c r="AG44" s="276">
        <f t="shared" si="118"/>
        <v>103.44</v>
      </c>
      <c r="AH44" s="276">
        <f t="shared" si="119"/>
        <v>102.24</v>
      </c>
      <c r="AI44" s="276">
        <f t="shared" si="120"/>
        <v>105.74</v>
      </c>
      <c r="AJ44" s="287"/>
      <c r="AK44" s="276">
        <f t="shared" si="121"/>
        <v>102.24</v>
      </c>
      <c r="AN44" s="276">
        <f t="shared" si="137"/>
        <v>102.23268316570717</v>
      </c>
      <c r="AO44" s="276">
        <f t="shared" si="138"/>
        <v>102.56926972561261</v>
      </c>
      <c r="AP44" s="276">
        <f t="shared" si="139"/>
        <v>102.27752753134416</v>
      </c>
      <c r="AQ44" s="276"/>
      <c r="AR44" s="276">
        <f t="shared" si="140"/>
        <v>102.56926972561261</v>
      </c>
    </row>
    <row r="45" spans="1:44" s="106" customFormat="1" ht="13.2">
      <c r="A45" s="238" t="s">
        <v>2646</v>
      </c>
      <c r="B45" s="125">
        <v>2022</v>
      </c>
      <c r="C45" s="126">
        <v>4</v>
      </c>
      <c r="D45" s="150"/>
      <c r="E45" s="150">
        <v>0.45</v>
      </c>
      <c r="F45" s="150">
        <v>0.2</v>
      </c>
      <c r="G45" s="150">
        <v>0.38</v>
      </c>
      <c r="H45" s="239"/>
      <c r="I45" s="151">
        <f t="shared" si="153"/>
        <v>0.2</v>
      </c>
      <c r="J45" s="253"/>
      <c r="K45" s="152"/>
      <c r="L45" s="153">
        <f t="shared" si="154"/>
        <v>4.5000000000000005E-3</v>
      </c>
      <c r="M45" s="153">
        <f t="shared" si="154"/>
        <v>2E-3</v>
      </c>
      <c r="N45" s="153">
        <f t="shared" si="154"/>
        <v>3.8E-3</v>
      </c>
      <c r="O45" s="153"/>
      <c r="P45" s="153">
        <f t="shared" ref="P45:P52" si="168">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69">T45</f>
        <v>1.0164</v>
      </c>
      <c r="X45" s="253"/>
      <c r="Y45" s="153"/>
      <c r="Z45" s="273">
        <f t="shared" ref="Z45:AD52" si="170">IF(E45=0,0,ROUND(AVERAGE(E45:E53)/100,4))</f>
        <v>4.0000000000000001E-3</v>
      </c>
      <c r="AA45" s="274">
        <f t="shared" si="170"/>
        <v>2.5999999999999999E-3</v>
      </c>
      <c r="AB45" s="153">
        <f t="shared" si="170"/>
        <v>7.4000000000000003E-3</v>
      </c>
      <c r="AC45" s="275"/>
      <c r="AD45" s="153">
        <f t="shared" si="170"/>
        <v>2.5999999999999999E-3</v>
      </c>
      <c r="AG45" s="276">
        <f t="shared" si="118"/>
        <v>102.86999999999999</v>
      </c>
      <c r="AH45" s="276">
        <f t="shared" si="119"/>
        <v>101.64</v>
      </c>
      <c r="AI45" s="276">
        <f t="shared" si="120"/>
        <v>105.06</v>
      </c>
      <c r="AJ45" s="287"/>
      <c r="AK45" s="276">
        <f t="shared" si="121"/>
        <v>101.64</v>
      </c>
      <c r="AN45" s="276">
        <f t="shared" si="137"/>
        <v>101.67347903103646</v>
      </c>
      <c r="AO45" s="276">
        <f t="shared" si="138"/>
        <v>101.96766052849449</v>
      </c>
      <c r="AP45" s="276">
        <f t="shared" si="139"/>
        <v>101.62711400173308</v>
      </c>
      <c r="AQ45" s="276"/>
      <c r="AR45" s="276">
        <f t="shared" si="140"/>
        <v>101.96766052849449</v>
      </c>
    </row>
    <row r="46" spans="1:44" s="106" customFormat="1" ht="13.2">
      <c r="A46" s="238" t="s">
        <v>2647</v>
      </c>
      <c r="B46" s="125">
        <v>2022</v>
      </c>
      <c r="C46" s="126">
        <v>3</v>
      </c>
      <c r="D46" s="150"/>
      <c r="E46" s="150">
        <v>0.3</v>
      </c>
      <c r="F46" s="150">
        <v>0.28999999999999998</v>
      </c>
      <c r="G46" s="150">
        <v>0.83</v>
      </c>
      <c r="H46" s="239"/>
      <c r="I46" s="151">
        <f t="shared" si="153"/>
        <v>0.28999999999999998</v>
      </c>
      <c r="J46" s="253"/>
      <c r="K46" s="152"/>
      <c r="L46" s="153">
        <f t="shared" si="154"/>
        <v>3.0000000000000001E-3</v>
      </c>
      <c r="M46" s="153">
        <f t="shared" si="154"/>
        <v>2.8999999999999998E-3</v>
      </c>
      <c r="N46" s="153">
        <f t="shared" si="154"/>
        <v>8.3000000000000001E-3</v>
      </c>
      <c r="O46" s="153"/>
      <c r="P46" s="153">
        <f t="shared" si="168"/>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69"/>
        <v>1.0144</v>
      </c>
      <c r="X46" s="253"/>
      <c r="Y46" s="153"/>
      <c r="Z46" s="273">
        <f t="shared" si="170"/>
        <v>3.8999999999999998E-3</v>
      </c>
      <c r="AA46" s="274">
        <f t="shared" si="170"/>
        <v>2.7000000000000001E-3</v>
      </c>
      <c r="AB46" s="153">
        <f t="shared" si="170"/>
        <v>7.9000000000000008E-3</v>
      </c>
      <c r="AC46" s="275"/>
      <c r="AD46" s="153">
        <f t="shared" si="170"/>
        <v>2.7000000000000001E-3</v>
      </c>
      <c r="AG46" s="276">
        <f t="shared" si="118"/>
        <v>102.41</v>
      </c>
      <c r="AH46" s="276">
        <f t="shared" si="119"/>
        <v>101.44</v>
      </c>
      <c r="AI46" s="276">
        <f t="shared" si="120"/>
        <v>104.67</v>
      </c>
      <c r="AJ46" s="287"/>
      <c r="AK46" s="276">
        <f t="shared" si="121"/>
        <v>101.44</v>
      </c>
      <c r="AN46" s="276">
        <f t="shared" si="137"/>
        <v>101.21799803985711</v>
      </c>
      <c r="AO46" s="276">
        <f t="shared" si="138"/>
        <v>101.76413226396656</v>
      </c>
      <c r="AP46" s="276">
        <f t="shared" si="139"/>
        <v>101.24239290868009</v>
      </c>
      <c r="AQ46" s="276"/>
      <c r="AR46" s="276">
        <f t="shared" si="140"/>
        <v>101.76413226396656</v>
      </c>
    </row>
    <row r="47" spans="1:44" s="106" customFormat="1" ht="13.2">
      <c r="A47" s="238" t="s">
        <v>2648</v>
      </c>
      <c r="B47" s="125">
        <v>2022</v>
      </c>
      <c r="C47" s="126">
        <v>2</v>
      </c>
      <c r="D47" s="150"/>
      <c r="E47" s="150">
        <v>-0.11</v>
      </c>
      <c r="F47" s="150">
        <v>-0.13</v>
      </c>
      <c r="G47" s="150">
        <v>0.53</v>
      </c>
      <c r="H47" s="239"/>
      <c r="I47" s="151">
        <f t="shared" si="153"/>
        <v>-0.13</v>
      </c>
      <c r="J47" s="253"/>
      <c r="K47" s="152"/>
      <c r="L47" s="153">
        <f t="shared" si="154"/>
        <v>-1.1000000000000001E-3</v>
      </c>
      <c r="M47" s="153">
        <f t="shared" si="154"/>
        <v>-1.2999999999999999E-3</v>
      </c>
      <c r="N47" s="153">
        <f t="shared" si="154"/>
        <v>5.3E-3</v>
      </c>
      <c r="O47" s="153"/>
      <c r="P47" s="153">
        <f t="shared" si="168"/>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69"/>
        <v>1.0114000000000001</v>
      </c>
      <c r="X47" s="253"/>
      <c r="Y47" s="153"/>
      <c r="Z47" s="273">
        <f t="shared" si="170"/>
        <v>4.1000000000000003E-3</v>
      </c>
      <c r="AA47" s="274">
        <f t="shared" si="170"/>
        <v>2.7000000000000001E-3</v>
      </c>
      <c r="AB47" s="153">
        <f t="shared" si="170"/>
        <v>7.9000000000000008E-3</v>
      </c>
      <c r="AC47" s="275"/>
      <c r="AD47" s="153">
        <f t="shared" si="170"/>
        <v>2.7000000000000001E-3</v>
      </c>
      <c r="AG47" s="276">
        <f t="shared" si="118"/>
        <v>102.10999999999999</v>
      </c>
      <c r="AH47" s="276">
        <f t="shared" si="119"/>
        <v>101.14000000000001</v>
      </c>
      <c r="AI47" s="276">
        <f t="shared" si="120"/>
        <v>103.81</v>
      </c>
      <c r="AJ47" s="287"/>
      <c r="AK47" s="276">
        <f t="shared" si="121"/>
        <v>101.14000000000001</v>
      </c>
      <c r="AN47" s="276">
        <f t="shared" si="137"/>
        <v>100.9152522830081</v>
      </c>
      <c r="AO47" s="276">
        <f t="shared" si="138"/>
        <v>101.46986964200475</v>
      </c>
      <c r="AP47" s="276">
        <f t="shared" si="139"/>
        <v>100.40899822342566</v>
      </c>
      <c r="AQ47" s="276"/>
      <c r="AR47" s="276">
        <f t="shared" si="140"/>
        <v>101.46986964200475</v>
      </c>
    </row>
    <row r="48" spans="1:44" s="106" customFormat="1" ht="13.2">
      <c r="A48" s="238" t="s">
        <v>2649</v>
      </c>
      <c r="B48" s="125">
        <v>2022</v>
      </c>
      <c r="C48" s="126">
        <v>1</v>
      </c>
      <c r="D48" s="150"/>
      <c r="E48" s="150">
        <v>0.6</v>
      </c>
      <c r="F48" s="150">
        <v>0.45</v>
      </c>
      <c r="G48" s="150">
        <v>0.53</v>
      </c>
      <c r="H48" s="239"/>
      <c r="I48" s="151">
        <f t="shared" si="153"/>
        <v>0.45</v>
      </c>
      <c r="J48" s="253"/>
      <c r="K48" s="152"/>
      <c r="L48" s="153">
        <f t="shared" si="154"/>
        <v>6.0000000000000001E-3</v>
      </c>
      <c r="M48" s="153">
        <f t="shared" si="154"/>
        <v>4.5000000000000005E-3</v>
      </c>
      <c r="N48" s="153">
        <f t="shared" si="154"/>
        <v>5.3E-3</v>
      </c>
      <c r="O48" s="153"/>
      <c r="P48" s="153">
        <f t="shared" si="168"/>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69"/>
        <v>1.0127999999999999</v>
      </c>
      <c r="X48" s="253"/>
      <c r="Y48" s="153"/>
      <c r="Z48" s="273">
        <f t="shared" si="170"/>
        <v>5.1000000000000004E-3</v>
      </c>
      <c r="AA48" s="274">
        <f t="shared" si="170"/>
        <v>3.5000000000000001E-3</v>
      </c>
      <c r="AB48" s="153">
        <f t="shared" si="170"/>
        <v>8.3999999999999995E-3</v>
      </c>
      <c r="AC48" s="275"/>
      <c r="AD48" s="153">
        <f t="shared" si="170"/>
        <v>3.5000000000000001E-3</v>
      </c>
      <c r="AG48" s="276">
        <f t="shared" si="118"/>
        <v>102.22</v>
      </c>
      <c r="AH48" s="276">
        <f t="shared" si="119"/>
        <v>101.27999999999999</v>
      </c>
      <c r="AI48" s="276">
        <f t="shared" si="120"/>
        <v>103.25999999999999</v>
      </c>
      <c r="AJ48" s="287"/>
      <c r="AK48" s="276">
        <f t="shared" si="121"/>
        <v>101.27999999999999</v>
      </c>
      <c r="AN48" s="276">
        <f t="shared" si="137"/>
        <v>101.02638130244078</v>
      </c>
      <c r="AO48" s="276">
        <f t="shared" si="138"/>
        <v>101.60195217983853</v>
      </c>
      <c r="AP48" s="276">
        <f t="shared" si="139"/>
        <v>99.879636151820989</v>
      </c>
      <c r="AQ48" s="276"/>
      <c r="AR48" s="276">
        <f t="shared" si="140"/>
        <v>101.60195217983853</v>
      </c>
    </row>
    <row r="49" spans="1:44" s="106" customFormat="1" ht="13.2">
      <c r="A49" s="238" t="s">
        <v>2650</v>
      </c>
      <c r="B49" s="125">
        <v>2021</v>
      </c>
      <c r="C49" s="126">
        <v>4</v>
      </c>
      <c r="D49" s="150"/>
      <c r="E49" s="150">
        <v>0.57999999999999996</v>
      </c>
      <c r="F49" s="150">
        <v>0.08</v>
      </c>
      <c r="G49" s="150">
        <v>0.68</v>
      </c>
      <c r="H49" s="239"/>
      <c r="I49" s="151">
        <f t="shared" si="153"/>
        <v>0.08</v>
      </c>
      <c r="J49" s="253"/>
      <c r="K49" s="152"/>
      <c r="L49" s="153">
        <f t="shared" si="154"/>
        <v>5.7999999999999996E-3</v>
      </c>
      <c r="M49" s="153">
        <f t="shared" si="154"/>
        <v>8.0000000000000004E-4</v>
      </c>
      <c r="N49" s="153">
        <f t="shared" si="154"/>
        <v>6.8000000000000005E-3</v>
      </c>
      <c r="O49" s="153"/>
      <c r="P49" s="153">
        <f t="shared" si="168"/>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69"/>
        <v>1.0082</v>
      </c>
      <c r="X49" s="253"/>
      <c r="Y49" s="153"/>
      <c r="Z49" s="273">
        <f t="shared" si="170"/>
        <v>4.8999999999999998E-3</v>
      </c>
      <c r="AA49" s="274">
        <f t="shared" si="170"/>
        <v>3.3E-3</v>
      </c>
      <c r="AB49" s="153">
        <f t="shared" si="170"/>
        <v>9.1999999999999998E-3</v>
      </c>
      <c r="AC49" s="275"/>
      <c r="AD49" s="153">
        <f t="shared" si="170"/>
        <v>3.3E-3</v>
      </c>
      <c r="AG49" s="276">
        <f t="shared" si="118"/>
        <v>101.61</v>
      </c>
      <c r="AH49" s="276">
        <f t="shared" si="119"/>
        <v>100.82</v>
      </c>
      <c r="AI49" s="276">
        <f t="shared" si="120"/>
        <v>102.71</v>
      </c>
      <c r="AJ49" s="287"/>
      <c r="AK49" s="276">
        <f t="shared" si="121"/>
        <v>100.82</v>
      </c>
      <c r="AN49" s="276">
        <f t="shared" si="137"/>
        <v>100.42383827280396</v>
      </c>
      <c r="AO49" s="276">
        <f t="shared" si="138"/>
        <v>101.14679161755951</v>
      </c>
      <c r="AP49" s="276">
        <f t="shared" si="139"/>
        <v>99.353064907809596</v>
      </c>
      <c r="AQ49" s="276"/>
      <c r="AR49" s="276">
        <f t="shared" si="140"/>
        <v>101.14679161755951</v>
      </c>
    </row>
    <row r="50" spans="1:44" s="106" customFormat="1" ht="13.2">
      <c r="A50" s="238" t="s">
        <v>2651</v>
      </c>
      <c r="B50" s="125">
        <v>2021</v>
      </c>
      <c r="C50" s="126">
        <v>3</v>
      </c>
      <c r="D50" s="150"/>
      <c r="E50" s="150">
        <v>0.47</v>
      </c>
      <c r="F50" s="150">
        <v>0.28000000000000003</v>
      </c>
      <c r="G50" s="150">
        <v>0.91</v>
      </c>
      <c r="H50" s="239"/>
      <c r="I50" s="151">
        <f t="shared" si="153"/>
        <v>0.28000000000000003</v>
      </c>
      <c r="J50" s="253"/>
      <c r="K50" s="152"/>
      <c r="L50" s="153">
        <f t="shared" si="154"/>
        <v>4.6999999999999993E-3</v>
      </c>
      <c r="M50" s="153">
        <f t="shared" si="154"/>
        <v>2.8000000000000004E-3</v>
      </c>
      <c r="N50" s="153">
        <f t="shared" si="154"/>
        <v>9.1000000000000004E-3</v>
      </c>
      <c r="O50" s="153"/>
      <c r="P50" s="153">
        <f t="shared" si="168"/>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69"/>
        <v>1.0074000000000001</v>
      </c>
      <c r="X50" s="253"/>
      <c r="Y50" s="153"/>
      <c r="Z50" s="273">
        <f t="shared" si="170"/>
        <v>4.5999999999999999E-3</v>
      </c>
      <c r="AA50" s="274">
        <f t="shared" si="170"/>
        <v>4.1000000000000003E-3</v>
      </c>
      <c r="AB50" s="153">
        <f t="shared" si="170"/>
        <v>0.01</v>
      </c>
      <c r="AC50" s="275"/>
      <c r="AD50" s="153">
        <f t="shared" si="170"/>
        <v>4.1000000000000003E-3</v>
      </c>
      <c r="AG50" s="276">
        <f t="shared" si="118"/>
        <v>101.02</v>
      </c>
      <c r="AH50" s="276">
        <f t="shared" si="119"/>
        <v>100.74000000000001</v>
      </c>
      <c r="AI50" s="276">
        <f t="shared" si="120"/>
        <v>102.02</v>
      </c>
      <c r="AJ50" s="287"/>
      <c r="AK50" s="276">
        <f t="shared" si="121"/>
        <v>100.74000000000001</v>
      </c>
      <c r="AN50" s="276">
        <f t="shared" si="137"/>
        <v>99.844738787834515</v>
      </c>
      <c r="AO50" s="276">
        <f t="shared" si="138"/>
        <v>101.06593886646635</v>
      </c>
      <c r="AP50" s="276">
        <f t="shared" si="139"/>
        <v>98.682027123370688</v>
      </c>
      <c r="AQ50" s="276"/>
      <c r="AR50" s="276">
        <f t="shared" si="140"/>
        <v>101.06593886646635</v>
      </c>
    </row>
    <row r="51" spans="1:44" s="106" customFormat="1" ht="13.2">
      <c r="A51" s="238" t="s">
        <v>2652</v>
      </c>
      <c r="B51" s="125">
        <v>2021</v>
      </c>
      <c r="C51" s="126">
        <v>2</v>
      </c>
      <c r="D51" s="150"/>
      <c r="E51" s="150">
        <v>0.55000000000000004</v>
      </c>
      <c r="F51" s="150">
        <v>0.46</v>
      </c>
      <c r="G51" s="150">
        <v>1.1000000000000001</v>
      </c>
      <c r="H51" s="239"/>
      <c r="I51" s="151">
        <f t="shared" si="153"/>
        <v>0.46</v>
      </c>
      <c r="J51" s="253"/>
      <c r="K51" s="152"/>
      <c r="L51" s="153">
        <f t="shared" si="154"/>
        <v>5.5000000000000005E-3</v>
      </c>
      <c r="M51" s="153">
        <f t="shared" si="154"/>
        <v>4.5999999999999999E-3</v>
      </c>
      <c r="N51" s="153">
        <f t="shared" si="154"/>
        <v>1.1000000000000001E-2</v>
      </c>
      <c r="O51" s="153"/>
      <c r="P51" s="153">
        <f t="shared" si="168"/>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69"/>
        <v>1.0045999999999999</v>
      </c>
      <c r="X51" s="253"/>
      <c r="Y51" s="153"/>
      <c r="Z51" s="273">
        <f t="shared" si="170"/>
        <v>4.4999999999999997E-3</v>
      </c>
      <c r="AA51" s="274">
        <f t="shared" si="170"/>
        <v>4.7000000000000002E-3</v>
      </c>
      <c r="AB51" s="153">
        <f t="shared" si="170"/>
        <v>1.04E-2</v>
      </c>
      <c r="AC51" s="275"/>
      <c r="AD51" s="153">
        <f t="shared" si="170"/>
        <v>4.7000000000000002E-3</v>
      </c>
      <c r="AG51" s="276">
        <f t="shared" si="118"/>
        <v>100.55000000000001</v>
      </c>
      <c r="AH51" s="276">
        <f t="shared" ref="AH51:AK51" si="171">$AG$52*T51</f>
        <v>100.46</v>
      </c>
      <c r="AI51" s="276">
        <f t="shared" si="171"/>
        <v>101.1</v>
      </c>
      <c r="AJ51" s="287"/>
      <c r="AK51" s="276">
        <f t="shared" si="171"/>
        <v>100.46</v>
      </c>
      <c r="AN51" s="276">
        <f t="shared" si="137"/>
        <v>99.377663768124336</v>
      </c>
      <c r="AO51" s="276">
        <f t="shared" si="138"/>
        <v>100.78374438219622</v>
      </c>
      <c r="AP51" s="276">
        <f t="shared" si="139"/>
        <v>97.7921188419093</v>
      </c>
      <c r="AQ51" s="276"/>
      <c r="AR51" s="276">
        <f t="shared" si="140"/>
        <v>100.78374438219622</v>
      </c>
    </row>
    <row r="52" spans="1:44" s="225" customFormat="1">
      <c r="A52" s="240" t="s">
        <v>2653</v>
      </c>
      <c r="B52" s="241">
        <v>2021</v>
      </c>
      <c r="C52" s="242">
        <v>1</v>
      </c>
      <c r="D52" s="243"/>
      <c r="E52" s="243">
        <v>0.35</v>
      </c>
      <c r="F52" s="243">
        <v>0.48</v>
      </c>
      <c r="G52" s="243">
        <v>0.98</v>
      </c>
      <c r="H52" s="244"/>
      <c r="I52" s="258">
        <f t="shared" si="153"/>
        <v>0.48</v>
      </c>
      <c r="J52" s="259"/>
      <c r="K52" s="260"/>
      <c r="L52" s="261">
        <f t="shared" si="154"/>
        <v>3.4999999999999996E-3</v>
      </c>
      <c r="M52" s="261">
        <f>F52/100</f>
        <v>4.7999999999999996E-3</v>
      </c>
      <c r="N52" s="261">
        <f t="shared" si="154"/>
        <v>9.7999999999999997E-3</v>
      </c>
      <c r="O52" s="261"/>
      <c r="P52" s="261">
        <f t="shared" si="168"/>
        <v>4.7999999999999996E-3</v>
      </c>
      <c r="Q52" s="259"/>
      <c r="R52" s="268"/>
      <c r="S52" s="268">
        <v>1</v>
      </c>
      <c r="T52" s="268">
        <v>1</v>
      </c>
      <c r="U52" s="268">
        <v>1</v>
      </c>
      <c r="V52" s="268"/>
      <c r="W52" s="268">
        <f t="shared" si="169"/>
        <v>1</v>
      </c>
      <c r="X52" s="259"/>
      <c r="Y52" s="261"/>
      <c r="Z52" s="282">
        <f t="shared" si="170"/>
        <v>3.5000000000000001E-3</v>
      </c>
      <c r="AA52" s="283">
        <f t="shared" si="170"/>
        <v>4.7999999999999996E-3</v>
      </c>
      <c r="AB52" s="261">
        <f t="shared" si="170"/>
        <v>9.7999999999999997E-3</v>
      </c>
      <c r="AC52" s="284"/>
      <c r="AD52" s="261">
        <f t="shared" si="170"/>
        <v>4.7999999999999996E-3</v>
      </c>
      <c r="AG52" s="290">
        <v>100</v>
      </c>
      <c r="AH52" s="290">
        <v>100</v>
      </c>
      <c r="AI52" s="290">
        <v>100</v>
      </c>
      <c r="AJ52" s="290"/>
      <c r="AK52" s="290">
        <v>100</v>
      </c>
      <c r="AN52" s="286">
        <f t="shared" si="137"/>
        <v>98.83407634820918</v>
      </c>
      <c r="AO52" s="286">
        <f t="shared" si="138"/>
        <v>100.32226197710156</v>
      </c>
      <c r="AP52" s="286">
        <f t="shared" si="139"/>
        <v>96.728109635914251</v>
      </c>
      <c r="AQ52" s="286"/>
      <c r="AR52" s="286">
        <f t="shared" si="140"/>
        <v>100.32226197710156</v>
      </c>
    </row>
    <row r="54" spans="1:44">
      <c r="A54" s="245" t="s">
        <v>2656</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6" t="s">
        <v>2657</v>
      </c>
      <c r="C1" s="3526"/>
      <c r="D1" s="3526"/>
      <c r="E1" s="3526"/>
      <c r="F1" s="3526"/>
      <c r="G1" s="3525" t="s">
        <v>2658</v>
      </c>
      <c r="H1" s="3525"/>
      <c r="I1" s="3525"/>
      <c r="J1" s="3525"/>
      <c r="K1" s="3525"/>
      <c r="L1" s="3525"/>
      <c r="N1" s="3525" t="s">
        <v>2629</v>
      </c>
      <c r="O1" s="3525"/>
      <c r="P1" s="3525"/>
      <c r="Q1" s="3525"/>
      <c r="S1" s="3525" t="s">
        <v>2659</v>
      </c>
      <c r="T1" s="3525"/>
      <c r="U1" s="3525"/>
      <c r="V1" s="3525"/>
      <c r="X1" s="3524" t="s">
        <v>2630</v>
      </c>
      <c r="Y1" s="3525"/>
      <c r="Z1" s="3525"/>
      <c r="AA1" s="3525"/>
      <c r="AB1" s="3525"/>
      <c r="AD1" s="3524" t="s">
        <v>2631</v>
      </c>
      <c r="AE1" s="3525"/>
      <c r="AF1" s="3525"/>
      <c r="AG1" s="3525"/>
      <c r="AH1" s="3525"/>
    </row>
    <row r="2" spans="1:34" s="104" customFormat="1" ht="14.4">
      <c r="B2" s="113" t="s">
        <v>435</v>
      </c>
      <c r="C2" s="113" t="s">
        <v>2660</v>
      </c>
      <c r="D2" s="114" t="s">
        <v>562</v>
      </c>
      <c r="E2" s="114" t="s">
        <v>412</v>
      </c>
      <c r="F2" s="113" t="s">
        <v>2661</v>
      </c>
      <c r="G2" s="115"/>
      <c r="I2" s="113" t="s">
        <v>435</v>
      </c>
      <c r="J2" s="114" t="s">
        <v>1929</v>
      </c>
      <c r="K2" s="114" t="s">
        <v>412</v>
      </c>
      <c r="L2" s="113" t="s">
        <v>2661</v>
      </c>
      <c r="N2" s="113" t="s">
        <v>435</v>
      </c>
      <c r="O2" s="114" t="s">
        <v>1929</v>
      </c>
      <c r="P2" s="114" t="s">
        <v>412</v>
      </c>
      <c r="Q2" s="113" t="s">
        <v>2661</v>
      </c>
      <c r="S2" s="113" t="s">
        <v>435</v>
      </c>
      <c r="T2" s="114" t="s">
        <v>1929</v>
      </c>
      <c r="U2" s="114" t="s">
        <v>412</v>
      </c>
      <c r="V2" s="113" t="s">
        <v>2661</v>
      </c>
      <c r="X2" s="113" t="s">
        <v>435</v>
      </c>
      <c r="Y2" s="113" t="s">
        <v>2660</v>
      </c>
      <c r="Z2" s="114" t="s">
        <v>562</v>
      </c>
      <c r="AA2" s="114" t="s">
        <v>412</v>
      </c>
      <c r="AB2" s="113" t="s">
        <v>2661</v>
      </c>
      <c r="AD2" s="113" t="s">
        <v>435</v>
      </c>
      <c r="AE2" s="113" t="s">
        <v>2660</v>
      </c>
      <c r="AF2" s="114" t="s">
        <v>562</v>
      </c>
      <c r="AG2" s="114" t="s">
        <v>412</v>
      </c>
      <c r="AH2" s="113" t="s">
        <v>2661</v>
      </c>
    </row>
    <row r="3" spans="1:34" s="105" customFormat="1" ht="14.4">
      <c r="A3" s="116" t="s">
        <v>2633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2646</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2647</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2648</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2649</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2650</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2651</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2652</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2653</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2663</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2664</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2665</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2666</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2667</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2668</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2669</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2670</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2671</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2672</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2673</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2674</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2675</v>
      </c>
      <c r="B25" s="131">
        <v>439</v>
      </c>
      <c r="C25" s="131">
        <v>327</v>
      </c>
      <c r="D25" s="131">
        <f t="shared" si="217"/>
        <v>327</v>
      </c>
      <c r="E25" s="131">
        <v>627</v>
      </c>
      <c r="F25" s="132">
        <v>283</v>
      </c>
      <c r="G25" s="352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2676</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7"/>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2677</v>
      </c>
      <c r="B27" s="124">
        <f t="shared" si="232"/>
        <v>419.31181600000002</v>
      </c>
      <c r="C27" s="124">
        <f t="shared" si="233"/>
        <v>313.95436800000004</v>
      </c>
      <c r="D27" s="124">
        <f t="shared" si="234"/>
        <v>313.95436800000004</v>
      </c>
      <c r="E27" s="124">
        <f t="shared" si="235"/>
        <v>596.63028431999999</v>
      </c>
      <c r="F27" s="124">
        <f t="shared" si="236"/>
        <v>274.74220703999998</v>
      </c>
      <c r="G27" s="352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2678</v>
      </c>
      <c r="B28" s="124">
        <f t="shared" si="232"/>
        <v>405.524</v>
      </c>
      <c r="C28" s="124">
        <f t="shared" si="233"/>
        <v>307.79840000000002</v>
      </c>
      <c r="D28" s="124">
        <f t="shared" si="234"/>
        <v>307.79840000000002</v>
      </c>
      <c r="E28" s="124">
        <f t="shared" si="235"/>
        <v>574.67759999999998</v>
      </c>
      <c r="F28" s="124">
        <f t="shared" si="236"/>
        <v>270.20280000000002</v>
      </c>
      <c r="G28" s="352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2679</v>
      </c>
      <c r="B29" s="131">
        <v>392</v>
      </c>
      <c r="C29" s="131">
        <v>302</v>
      </c>
      <c r="D29" s="131">
        <f t="shared" si="234"/>
        <v>302</v>
      </c>
      <c r="E29" s="131">
        <v>553</v>
      </c>
      <c r="F29" s="132">
        <v>266</v>
      </c>
      <c r="G29" s="352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2680</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2681</v>
      </c>
      <c r="B31" s="124">
        <f t="shared" si="245"/>
        <v>360.06949782209392</v>
      </c>
      <c r="C31" s="124">
        <f t="shared" si="245"/>
        <v>289.84672674747821</v>
      </c>
      <c r="D31" s="124">
        <f t="shared" si="246"/>
        <v>289.84672674747821</v>
      </c>
      <c r="E31" s="124">
        <f t="shared" si="247"/>
        <v>501.06543001181495</v>
      </c>
      <c r="F31" s="124">
        <f t="shared" si="247"/>
        <v>256.82882500744967</v>
      </c>
      <c r="G31" s="3527"/>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2682</v>
      </c>
      <c r="B32" s="124">
        <f t="shared" si="245"/>
        <v>346.720748986128</v>
      </c>
      <c r="C32" s="124">
        <f t="shared" si="245"/>
        <v>284.30282172386285</v>
      </c>
      <c r="D32" s="124">
        <f t="shared" si="246"/>
        <v>284.30282172386285</v>
      </c>
      <c r="E32" s="124">
        <f t="shared" si="247"/>
        <v>479.58023546306947</v>
      </c>
      <c r="F32" s="124">
        <f t="shared" si="247"/>
        <v>253.25788877571213</v>
      </c>
      <c r="G32" s="3530"/>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2683</v>
      </c>
      <c r="B33" s="131">
        <v>333</v>
      </c>
      <c r="C33" s="131">
        <v>277</v>
      </c>
      <c r="D33" s="131">
        <f t="shared" si="246"/>
        <v>277</v>
      </c>
      <c r="E33" s="131">
        <v>459</v>
      </c>
      <c r="F33" s="132">
        <v>249</v>
      </c>
      <c r="G33" s="353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2684</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7"/>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2685</v>
      </c>
      <c r="B35" s="124">
        <f t="shared" si="249"/>
        <v>322.34053690220776</v>
      </c>
      <c r="C35" s="124">
        <f t="shared" si="249"/>
        <v>271.46160770422546</v>
      </c>
      <c r="D35" s="124">
        <f t="shared" si="246"/>
        <v>271.46160770422546</v>
      </c>
      <c r="E35" s="124">
        <f t="shared" si="250"/>
        <v>442.69434542172456</v>
      </c>
      <c r="F35" s="124">
        <f t="shared" si="250"/>
        <v>241.34030753190925</v>
      </c>
      <c r="G35" s="352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2686</v>
      </c>
      <c r="B36" s="124">
        <f t="shared" si="249"/>
        <v>319.87748030386797</v>
      </c>
      <c r="C36" s="124">
        <f t="shared" si="249"/>
        <v>269.60135833173649</v>
      </c>
      <c r="D36" s="124">
        <f t="shared" si="246"/>
        <v>269.60135833173649</v>
      </c>
      <c r="E36" s="124">
        <f t="shared" si="250"/>
        <v>439.18089823583784</v>
      </c>
      <c r="F36" s="124">
        <f t="shared" si="250"/>
        <v>239.23503918706311</v>
      </c>
      <c r="G36" s="353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2687</v>
      </c>
      <c r="B37" s="136">
        <v>318</v>
      </c>
      <c r="C37" s="136">
        <v>268</v>
      </c>
      <c r="D37" s="136">
        <f t="shared" si="246"/>
        <v>268</v>
      </c>
      <c r="E37" s="136">
        <v>437</v>
      </c>
      <c r="F37" s="137">
        <v>237</v>
      </c>
      <c r="G37" s="353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2688</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7"/>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2689</v>
      </c>
      <c r="B39" s="124">
        <f t="shared" si="251"/>
        <v>314.72141172386546</v>
      </c>
      <c r="C39" s="124">
        <f t="shared" si="251"/>
        <v>263.03901319069001</v>
      </c>
      <c r="D39" s="124">
        <f t="shared" si="246"/>
        <v>263.03901319069001</v>
      </c>
      <c r="E39" s="124">
        <f t="shared" si="252"/>
        <v>433.65745506782821</v>
      </c>
      <c r="F39" s="124">
        <f t="shared" si="252"/>
        <v>233.23005080045735</v>
      </c>
      <c r="G39" s="352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2690</v>
      </c>
      <c r="B40" s="140">
        <f t="shared" si="251"/>
        <v>307.34512863658733</v>
      </c>
      <c r="C40" s="140">
        <f t="shared" si="251"/>
        <v>257.80556031626975</v>
      </c>
      <c r="D40" s="140">
        <f t="shared" si="246"/>
        <v>257.80556031626975</v>
      </c>
      <c r="E40" s="140">
        <f t="shared" si="252"/>
        <v>422.70928459677179</v>
      </c>
      <c r="F40" s="140">
        <f t="shared" si="252"/>
        <v>229.73803270336617</v>
      </c>
      <c r="G40" s="3530"/>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2691</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2692</v>
      </c>
      <c r="B41" s="131">
        <v>299</v>
      </c>
      <c r="C41" s="131">
        <v>252</v>
      </c>
      <c r="D41" s="131">
        <f t="shared" si="246"/>
        <v>252</v>
      </c>
      <c r="E41" s="131">
        <v>409</v>
      </c>
      <c r="F41" s="132">
        <v>227</v>
      </c>
      <c r="G41" s="353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2693</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2694</v>
      </c>
      <c r="B43" s="124">
        <f t="shared" si="255"/>
        <v>288.2649053828776</v>
      </c>
      <c r="C43" s="124">
        <f t="shared" si="255"/>
        <v>243.64564425013293</v>
      </c>
      <c r="D43" s="124">
        <f t="shared" si="246"/>
        <v>243.64564425013293</v>
      </c>
      <c r="E43" s="124">
        <f t="shared" si="256"/>
        <v>393.31080825986544</v>
      </c>
      <c r="F43" s="124">
        <f t="shared" si="256"/>
        <v>223.07903790551154</v>
      </c>
      <c r="G43" s="353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2695</v>
      </c>
      <c r="B44" s="124">
        <f t="shared" si="255"/>
        <v>282.50186729015837</v>
      </c>
      <c r="C44" s="124">
        <f t="shared" si="255"/>
        <v>238.09796174155468</v>
      </c>
      <c r="D44" s="124">
        <f t="shared" si="246"/>
        <v>238.09796174155468</v>
      </c>
      <c r="E44" s="124">
        <f t="shared" si="256"/>
        <v>385.33438646014054</v>
      </c>
      <c r="F44" s="124">
        <f t="shared" si="256"/>
        <v>221.55034055567739</v>
      </c>
      <c r="G44" s="353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2696</v>
      </c>
      <c r="B45" s="143">
        <v>278</v>
      </c>
      <c r="C45" s="143">
        <v>234</v>
      </c>
      <c r="D45" s="143">
        <f t="shared" si="246"/>
        <v>234</v>
      </c>
      <c r="E45" s="143">
        <v>379</v>
      </c>
      <c r="F45" s="144">
        <v>220</v>
      </c>
      <c r="G45" s="353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2697</v>
      </c>
      <c r="B46" s="124">
        <f>B45/(1+N45)</f>
        <v>275.49301357645425</v>
      </c>
      <c r="C46" s="124">
        <f>C45/(1+O45)</f>
        <v>232.41954707985698</v>
      </c>
      <c r="D46" s="124">
        <f t="shared" si="246"/>
        <v>232.41954707985698</v>
      </c>
      <c r="E46" s="124">
        <f t="shared" ref="E46:F48" si="257">E45/(1+P45)</f>
        <v>375.32184591008121</v>
      </c>
      <c r="F46" s="124">
        <f t="shared" si="257"/>
        <v>218.03766105054513</v>
      </c>
      <c r="G46" s="352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2698</v>
      </c>
      <c r="B47" s="124">
        <f>B46/(1+N46)</f>
        <v>275.24529281292263</v>
      </c>
      <c r="C47" s="124">
        <f>C46/(1+O46)</f>
        <v>231.74747938962707</v>
      </c>
      <c r="D47" s="124">
        <f t="shared" si="246"/>
        <v>231.74747938962707</v>
      </c>
      <c r="E47" s="124">
        <f t="shared" si="257"/>
        <v>375.35938184826603</v>
      </c>
      <c r="F47" s="124">
        <f t="shared" si="257"/>
        <v>216.78033510692495</v>
      </c>
      <c r="G47" s="352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2699</v>
      </c>
      <c r="B48" s="124">
        <f>B47/(1+N47)</f>
        <v>275.19025476197027</v>
      </c>
      <c r="C48" s="145">
        <v>232</v>
      </c>
      <c r="D48" s="145">
        <f t="shared" si="246"/>
        <v>232</v>
      </c>
      <c r="E48" s="124">
        <f t="shared" si="257"/>
        <v>375.65990977608692</v>
      </c>
      <c r="F48" s="124">
        <f t="shared" si="257"/>
        <v>214.12518283971252</v>
      </c>
      <c r="G48" s="353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2700</v>
      </c>
      <c r="B49" s="131">
        <v>275</v>
      </c>
      <c r="C49" s="131">
        <v>232</v>
      </c>
      <c r="D49" s="131">
        <f t="shared" si="246"/>
        <v>232</v>
      </c>
      <c r="E49" s="131">
        <v>376</v>
      </c>
      <c r="F49" s="132">
        <v>213</v>
      </c>
      <c r="G49" s="353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2701</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2702</v>
      </c>
      <c r="B51" s="124">
        <f t="shared" si="258"/>
        <v>275.19335084830601</v>
      </c>
      <c r="C51" s="124">
        <f t="shared" si="258"/>
        <v>230.18088050139744</v>
      </c>
      <c r="D51" s="124">
        <f t="shared" si="246"/>
        <v>230.18088050139744</v>
      </c>
      <c r="E51" s="124">
        <f t="shared" si="259"/>
        <v>377.58482925212331</v>
      </c>
      <c r="F51" s="124">
        <f t="shared" si="259"/>
        <v>210.90687997847917</v>
      </c>
      <c r="G51" s="3527">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2703</v>
      </c>
      <c r="B52" s="124">
        <f t="shared" si="258"/>
        <v>276.29854502841971</v>
      </c>
      <c r="C52" s="124">
        <f t="shared" si="258"/>
        <v>229.79023709833027</v>
      </c>
      <c r="D52" s="124">
        <f t="shared" si="246"/>
        <v>229.79023709833027</v>
      </c>
      <c r="E52" s="124">
        <f t="shared" si="259"/>
        <v>379.78759731655936</v>
      </c>
      <c r="F52" s="124">
        <f t="shared" si="259"/>
        <v>211.32953905659235</v>
      </c>
      <c r="G52" s="3530">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2704</v>
      </c>
      <c r="B53" s="131">
        <v>269</v>
      </c>
      <c r="C53" s="131">
        <v>221</v>
      </c>
      <c r="D53" s="131">
        <f t="shared" si="246"/>
        <v>221</v>
      </c>
      <c r="E53" s="131">
        <v>373</v>
      </c>
      <c r="F53" s="132">
        <v>196</v>
      </c>
      <c r="G53" s="353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2705</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7">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2706</v>
      </c>
      <c r="B55" s="124">
        <f t="shared" si="260"/>
        <v>242.95398227588385</v>
      </c>
      <c r="C55" s="124">
        <f t="shared" si="260"/>
        <v>199.59137053614126</v>
      </c>
      <c r="D55" s="124">
        <f t="shared" si="246"/>
        <v>199.59137053614126</v>
      </c>
      <c r="E55" s="124">
        <f t="shared" si="261"/>
        <v>335.92189522342125</v>
      </c>
      <c r="F55" s="124">
        <f t="shared" si="261"/>
        <v>183.10139991109489</v>
      </c>
      <c r="G55" s="3527">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2707</v>
      </c>
      <c r="B56" s="124">
        <f t="shared" si="260"/>
        <v>232.06990378821649</v>
      </c>
      <c r="C56" s="124">
        <f t="shared" si="260"/>
        <v>192.74878854286936</v>
      </c>
      <c r="D56" s="124">
        <f t="shared" si="246"/>
        <v>192.74878854286936</v>
      </c>
      <c r="E56" s="124">
        <f t="shared" si="261"/>
        <v>319.71247284992984</v>
      </c>
      <c r="F56" s="124">
        <f t="shared" si="261"/>
        <v>175.67053622862409</v>
      </c>
      <c r="G56" s="3530">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2708</v>
      </c>
      <c r="B57" s="131">
        <v>220</v>
      </c>
      <c r="C57" s="131">
        <v>187</v>
      </c>
      <c r="D57" s="131">
        <f t="shared" si="246"/>
        <v>187</v>
      </c>
      <c r="E57" s="131">
        <v>301</v>
      </c>
      <c r="F57" s="132">
        <v>168</v>
      </c>
      <c r="G57" s="353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2709</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7">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2710</v>
      </c>
      <c r="B59" s="124">
        <f t="shared" si="262"/>
        <v>210.630522469011</v>
      </c>
      <c r="C59" s="124">
        <f t="shared" si="262"/>
        <v>181.69567812247232</v>
      </c>
      <c r="D59" s="124">
        <f t="shared" si="246"/>
        <v>181.69567812247232</v>
      </c>
      <c r="E59" s="124">
        <f t="shared" si="263"/>
        <v>286.13517466736738</v>
      </c>
      <c r="F59" s="124">
        <f t="shared" si="263"/>
        <v>165.47535084591149</v>
      </c>
      <c r="G59" s="352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2711</v>
      </c>
      <c r="B60" s="124">
        <f t="shared" si="262"/>
        <v>208.83454537875372</v>
      </c>
      <c r="C60" s="124">
        <f t="shared" si="262"/>
        <v>183.77230517090351</v>
      </c>
      <c r="D60" s="124">
        <f t="shared" si="246"/>
        <v>183.77230517090351</v>
      </c>
      <c r="E60" s="124">
        <f t="shared" si="263"/>
        <v>281.10342338870947</v>
      </c>
      <c r="F60" s="124">
        <f t="shared" si="263"/>
        <v>168.97309388942256</v>
      </c>
      <c r="G60" s="353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2712</v>
      </c>
      <c r="B61" s="143">
        <v>214</v>
      </c>
      <c r="C61" s="143">
        <v>188</v>
      </c>
      <c r="D61" s="143">
        <f t="shared" si="246"/>
        <v>188</v>
      </c>
      <c r="E61" s="143">
        <v>289</v>
      </c>
      <c r="F61" s="144">
        <v>166</v>
      </c>
      <c r="G61" s="353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2713</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2714</v>
      </c>
      <c r="B63" s="124">
        <f t="shared" si="264"/>
        <v>206.31694671589116</v>
      </c>
      <c r="C63" s="124">
        <f t="shared" si="264"/>
        <v>183.61041121036101</v>
      </c>
      <c r="D63" s="124">
        <f t="shared" si="246"/>
        <v>183.61041121036101</v>
      </c>
      <c r="E63" s="124">
        <f t="shared" si="265"/>
        <v>276.66850301795557</v>
      </c>
      <c r="F63" s="124">
        <f t="shared" si="265"/>
        <v>165.1360938278614</v>
      </c>
      <c r="G63" s="352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2715</v>
      </c>
      <c r="B64" s="146">
        <f t="shared" si="264"/>
        <v>196.62341248059772</v>
      </c>
      <c r="C64" s="146">
        <f t="shared" si="264"/>
        <v>170.99125648199012</v>
      </c>
      <c r="D64" s="146">
        <f t="shared" si="246"/>
        <v>170.99125648199012</v>
      </c>
      <c r="E64" s="146">
        <f t="shared" si="265"/>
        <v>266.07857570490052</v>
      </c>
      <c r="F64" s="146">
        <f t="shared" si="265"/>
        <v>154.53499328828505</v>
      </c>
      <c r="G64" s="353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2716</v>
      </c>
      <c r="B65" s="131">
        <v>188</v>
      </c>
      <c r="C65" s="131">
        <v>165</v>
      </c>
      <c r="D65" s="131">
        <f t="shared" si="246"/>
        <v>165</v>
      </c>
      <c r="E65" s="131">
        <v>254</v>
      </c>
      <c r="F65" s="132">
        <v>148</v>
      </c>
      <c r="G65" s="353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2717</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7">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2718</v>
      </c>
      <c r="B67" s="124">
        <f t="shared" si="268"/>
        <v>168.82017748715555</v>
      </c>
      <c r="C67" s="124">
        <f t="shared" si="268"/>
        <v>148.06267029972753</v>
      </c>
      <c r="D67" s="124">
        <f t="shared" si="246"/>
        <v>148.06267029972753</v>
      </c>
      <c r="E67" s="124">
        <f t="shared" si="269"/>
        <v>216.46288379323747</v>
      </c>
      <c r="F67" s="124">
        <f t="shared" si="269"/>
        <v>134.23529411764704</v>
      </c>
      <c r="G67" s="3527">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2719</v>
      </c>
      <c r="B68" s="124">
        <f t="shared" si="268"/>
        <v>163.84913591779542</v>
      </c>
      <c r="C68" s="124">
        <f t="shared" si="268"/>
        <v>145.0283378746594</v>
      </c>
      <c r="D68" s="124">
        <f t="shared" si="246"/>
        <v>145.0283378746594</v>
      </c>
      <c r="E68" s="124">
        <f t="shared" si="269"/>
        <v>204.95180722891567</v>
      </c>
      <c r="F68" s="124">
        <f t="shared" si="269"/>
        <v>125.95920303605313</v>
      </c>
      <c r="G68" s="3530">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2720</v>
      </c>
      <c r="B69" s="136">
        <v>159</v>
      </c>
      <c r="C69" s="136">
        <v>141</v>
      </c>
      <c r="D69" s="136">
        <f t="shared" si="246"/>
        <v>141</v>
      </c>
      <c r="E69" s="136">
        <v>195</v>
      </c>
      <c r="F69" s="137">
        <v>122</v>
      </c>
      <c r="G69" s="353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2721</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7">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2722</v>
      </c>
      <c r="B71" s="124">
        <f t="shared" si="272"/>
        <v>146.57412060301507</v>
      </c>
      <c r="C71" s="124">
        <f t="shared" si="272"/>
        <v>136.46831955922866</v>
      </c>
      <c r="D71" s="124">
        <f t="shared" si="246"/>
        <v>136.46831955922866</v>
      </c>
      <c r="E71" s="124">
        <f t="shared" si="273"/>
        <v>166.73864894795128</v>
      </c>
      <c r="F71" s="124">
        <f t="shared" si="273"/>
        <v>115.05882352941177</v>
      </c>
      <c r="G71" s="3527">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2723</v>
      </c>
      <c r="B72" s="124">
        <f t="shared" si="272"/>
        <v>144.04145728643215</v>
      </c>
      <c r="C72" s="124">
        <f t="shared" si="272"/>
        <v>136.12396694214877</v>
      </c>
      <c r="D72" s="124">
        <f t="shared" si="246"/>
        <v>136.12396694214877</v>
      </c>
      <c r="E72" s="124">
        <f t="shared" si="273"/>
        <v>158.32225913621264</v>
      </c>
      <c r="F72" s="124">
        <f t="shared" si="273"/>
        <v>114.04278074866311</v>
      </c>
      <c r="G72" s="3530">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2724</v>
      </c>
      <c r="B73" s="136">
        <v>138</v>
      </c>
      <c r="C73" s="136">
        <v>131</v>
      </c>
      <c r="D73" s="136">
        <f t="shared" si="246"/>
        <v>131</v>
      </c>
      <c r="E73" s="136">
        <v>155</v>
      </c>
      <c r="F73" s="137">
        <v>114</v>
      </c>
      <c r="G73" s="353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2725</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7">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2726</v>
      </c>
      <c r="B75" s="124">
        <f t="shared" si="276"/>
        <v>124.29032258064517</v>
      </c>
      <c r="C75" s="124">
        <f t="shared" si="276"/>
        <v>123.8968609865471</v>
      </c>
      <c r="D75" s="124">
        <f t="shared" si="246"/>
        <v>123.8968609865471</v>
      </c>
      <c r="E75" s="124">
        <f t="shared" si="277"/>
        <v>138.00507614213197</v>
      </c>
      <c r="F75" s="124">
        <f t="shared" si="277"/>
        <v>107.96106557377048</v>
      </c>
      <c r="G75" s="3527">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2727</v>
      </c>
      <c r="B76" s="124">
        <f t="shared" si="276"/>
        <v>122.57204301075269</v>
      </c>
      <c r="C76" s="124">
        <f t="shared" si="276"/>
        <v>123.4932735426009</v>
      </c>
      <c r="D76" s="124">
        <f t="shared" si="246"/>
        <v>123.4932735426009</v>
      </c>
      <c r="E76" s="124">
        <f t="shared" si="277"/>
        <v>129.82233502538071</v>
      </c>
      <c r="F76" s="124">
        <f t="shared" si="277"/>
        <v>107.39446721311475</v>
      </c>
      <c r="G76" s="3530">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2728</v>
      </c>
      <c r="B77" s="143">
        <v>121</v>
      </c>
      <c r="C77" s="143">
        <v>122</v>
      </c>
      <c r="D77" s="143">
        <f t="shared" si="246"/>
        <v>122</v>
      </c>
      <c r="E77" s="143">
        <v>124</v>
      </c>
      <c r="F77" s="144">
        <v>107</v>
      </c>
      <c r="G77" s="353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2729</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7">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2730</v>
      </c>
      <c r="B79" s="124">
        <f t="shared" si="280"/>
        <v>116.99099099099099</v>
      </c>
      <c r="C79" s="124">
        <f t="shared" si="280"/>
        <v>118.84848484848486</v>
      </c>
      <c r="D79" s="124">
        <f t="shared" si="246"/>
        <v>118.84848484848486</v>
      </c>
      <c r="E79" s="124">
        <f t="shared" si="281"/>
        <v>117.60960960960961</v>
      </c>
      <c r="F79" s="124">
        <f t="shared" si="281"/>
        <v>104</v>
      </c>
      <c r="G79" s="3527">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2731</v>
      </c>
      <c r="B80" s="146">
        <f t="shared" si="280"/>
        <v>112.48648648648648</v>
      </c>
      <c r="C80" s="146">
        <f t="shared" si="280"/>
        <v>115.21212121212122</v>
      </c>
      <c r="D80" s="146">
        <f t="shared" si="246"/>
        <v>115.21212121212122</v>
      </c>
      <c r="E80" s="146">
        <f t="shared" si="281"/>
        <v>110.4024024024024</v>
      </c>
      <c r="F80" s="146">
        <f t="shared" si="281"/>
        <v>104</v>
      </c>
      <c r="G80" s="3530">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2732</v>
      </c>
      <c r="B81" s="191">
        <v>111</v>
      </c>
      <c r="C81" s="191">
        <v>114</v>
      </c>
      <c r="D81" s="191">
        <f t="shared" si="246"/>
        <v>114</v>
      </c>
      <c r="E81" s="191">
        <v>108</v>
      </c>
      <c r="F81" s="192">
        <v>104</v>
      </c>
      <c r="G81" s="3531">
        <v>2003</v>
      </c>
      <c r="H81" s="190">
        <v>4</v>
      </c>
      <c r="I81" s="210"/>
      <c r="J81" s="210"/>
      <c r="K81" s="210"/>
      <c r="L81" s="210"/>
      <c r="N81" s="211"/>
      <c r="O81" s="210"/>
      <c r="P81" s="210"/>
      <c r="Q81" s="210"/>
      <c r="S81" s="211"/>
      <c r="T81" s="210"/>
      <c r="U81" s="210"/>
      <c r="V81" s="210"/>
      <c r="X81" s="216"/>
      <c r="Y81" s="216"/>
      <c r="Z81" s="216"/>
    </row>
    <row r="82" spans="1:26">
      <c r="A82" s="123" t="s">
        <v>2733</v>
      </c>
      <c r="B82" s="193">
        <f t="shared" ref="B82:C84" si="282">B83+(B$81-B$85)/4</f>
        <v>109.75</v>
      </c>
      <c r="C82" s="193">
        <f t="shared" si="282"/>
        <v>112.25</v>
      </c>
      <c r="D82" s="193">
        <f t="shared" si="246"/>
        <v>112.25</v>
      </c>
      <c r="E82" s="193">
        <f t="shared" ref="E82:F84" si="283">E83+(E$81-E$85)/4</f>
        <v>107.25</v>
      </c>
      <c r="F82" s="193">
        <f t="shared" si="283"/>
        <v>103.5</v>
      </c>
      <c r="G82" s="3527">
        <v>2003</v>
      </c>
      <c r="H82" s="135">
        <v>3</v>
      </c>
      <c r="I82" s="210"/>
      <c r="J82" s="210"/>
      <c r="K82" s="210"/>
      <c r="L82" s="210"/>
      <c r="X82" s="216"/>
      <c r="Y82" s="216"/>
      <c r="Z82" s="216"/>
    </row>
    <row r="83" spans="1:26">
      <c r="A83" s="123" t="s">
        <v>2734</v>
      </c>
      <c r="B83" s="193">
        <f t="shared" si="282"/>
        <v>108.5</v>
      </c>
      <c r="C83" s="193">
        <f t="shared" si="282"/>
        <v>110.5</v>
      </c>
      <c r="D83" s="193">
        <f t="shared" si="246"/>
        <v>110.5</v>
      </c>
      <c r="E83" s="193">
        <f t="shared" si="283"/>
        <v>106.5</v>
      </c>
      <c r="F83" s="193">
        <f t="shared" si="283"/>
        <v>103</v>
      </c>
      <c r="G83" s="3527">
        <v>2003</v>
      </c>
      <c r="H83" s="133">
        <v>2</v>
      </c>
      <c r="I83" s="210"/>
      <c r="J83" s="210"/>
      <c r="K83" s="210"/>
      <c r="L83" s="210"/>
      <c r="X83" s="216"/>
      <c r="Y83" s="216"/>
      <c r="Z83" s="216"/>
    </row>
    <row r="84" spans="1:26">
      <c r="A84" s="123" t="s">
        <v>2735</v>
      </c>
      <c r="B84" s="193">
        <f t="shared" si="282"/>
        <v>107.25</v>
      </c>
      <c r="C84" s="193">
        <f t="shared" si="282"/>
        <v>108.75</v>
      </c>
      <c r="D84" s="193">
        <f t="shared" si="246"/>
        <v>108.75</v>
      </c>
      <c r="E84" s="193">
        <f t="shared" si="283"/>
        <v>105.75</v>
      </c>
      <c r="F84" s="193">
        <f t="shared" si="283"/>
        <v>102.5</v>
      </c>
      <c r="G84" s="3530">
        <v>2003</v>
      </c>
      <c r="H84" s="194">
        <v>1</v>
      </c>
      <c r="I84" s="210"/>
      <c r="J84" s="210"/>
      <c r="K84" s="210"/>
      <c r="L84" s="210"/>
      <c r="S84" s="152"/>
      <c r="T84" s="153"/>
      <c r="U84" s="153"/>
      <c r="X84" s="216"/>
      <c r="Y84" s="216"/>
      <c r="Z84" s="216"/>
    </row>
    <row r="85" spans="1:26">
      <c r="A85" s="123" t="s">
        <v>2736</v>
      </c>
      <c r="B85" s="195">
        <v>106</v>
      </c>
      <c r="C85" s="195">
        <v>107</v>
      </c>
      <c r="D85" s="195">
        <f t="shared" si="246"/>
        <v>107</v>
      </c>
      <c r="E85" s="195">
        <v>105</v>
      </c>
      <c r="F85" s="196">
        <v>102</v>
      </c>
      <c r="G85" s="3531">
        <v>2002</v>
      </c>
      <c r="H85" s="134">
        <v>4</v>
      </c>
      <c r="I85" s="210"/>
      <c r="J85" s="210"/>
      <c r="K85" s="210"/>
      <c r="L85" s="210"/>
      <c r="N85" s="211"/>
      <c r="O85" s="210"/>
      <c r="P85" s="210"/>
      <c r="Q85" s="210"/>
      <c r="S85" s="211"/>
      <c r="T85" s="210"/>
      <c r="U85" s="210"/>
      <c r="V85" s="210"/>
      <c r="X85" s="216"/>
      <c r="Y85" s="216"/>
      <c r="Z85" s="216"/>
    </row>
    <row r="86" spans="1:26">
      <c r="A86" s="123" t="s">
        <v>2737</v>
      </c>
      <c r="B86" s="193">
        <f t="shared" ref="B86:C88" si="284">B87+(B$85-B$89)/4</f>
        <v>105</v>
      </c>
      <c r="C86" s="193">
        <f t="shared" si="284"/>
        <v>106</v>
      </c>
      <c r="D86" s="193">
        <f t="shared" si="246"/>
        <v>106</v>
      </c>
      <c r="E86" s="193">
        <f t="shared" ref="E86:F88" si="285">E87+(E$85-E$89)/4</f>
        <v>104.5</v>
      </c>
      <c r="F86" s="193">
        <f t="shared" si="285"/>
        <v>101.5</v>
      </c>
      <c r="G86" s="3527">
        <v>2002</v>
      </c>
      <c r="H86" s="135">
        <v>3</v>
      </c>
      <c r="I86" s="210"/>
      <c r="J86" s="210"/>
      <c r="K86" s="210"/>
      <c r="L86" s="210"/>
      <c r="X86" s="216"/>
      <c r="Y86" s="216"/>
      <c r="Z86" s="216"/>
    </row>
    <row r="87" spans="1:26">
      <c r="A87" s="123" t="s">
        <v>2738</v>
      </c>
      <c r="B87" s="193">
        <f t="shared" si="284"/>
        <v>104</v>
      </c>
      <c r="C87" s="193">
        <f t="shared" si="284"/>
        <v>105</v>
      </c>
      <c r="D87" s="193">
        <f t="shared" si="246"/>
        <v>105</v>
      </c>
      <c r="E87" s="193">
        <f t="shared" si="285"/>
        <v>104</v>
      </c>
      <c r="F87" s="193">
        <f t="shared" si="285"/>
        <v>101</v>
      </c>
      <c r="G87" s="3527">
        <v>2002</v>
      </c>
      <c r="H87" s="133">
        <v>2</v>
      </c>
      <c r="I87" s="210"/>
      <c r="J87" s="210"/>
      <c r="K87" s="210"/>
      <c r="L87" s="210"/>
      <c r="X87" s="216"/>
      <c r="Y87" s="216"/>
      <c r="Z87" s="216"/>
    </row>
    <row r="88" spans="1:26" s="108" customFormat="1">
      <c r="A88" s="139" t="s">
        <v>2739</v>
      </c>
      <c r="B88" s="181">
        <f t="shared" si="284"/>
        <v>103</v>
      </c>
      <c r="C88" s="181">
        <f t="shared" si="284"/>
        <v>104</v>
      </c>
      <c r="D88" s="181">
        <f t="shared" si="246"/>
        <v>104</v>
      </c>
      <c r="E88" s="181">
        <f t="shared" si="285"/>
        <v>103.5</v>
      </c>
      <c r="F88" s="181">
        <f t="shared" si="285"/>
        <v>100.5</v>
      </c>
      <c r="G88" s="353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2740</v>
      </c>
      <c r="G91" s="202"/>
      <c r="N91" s="202"/>
      <c r="S91" s="202"/>
    </row>
    <row r="92" spans="1:26" s="110" customFormat="1">
      <c r="A92" s="110" t="s">
        <v>2741</v>
      </c>
      <c r="G92" s="202"/>
      <c r="N92" s="202"/>
      <c r="S92" s="202"/>
    </row>
    <row r="93" spans="1:26" s="110" customFormat="1">
      <c r="A93" s="110" t="s">
        <v>2742</v>
      </c>
      <c r="G93" s="202"/>
      <c r="I93" s="214"/>
      <c r="J93" s="214"/>
      <c r="K93" s="214"/>
      <c r="L93" s="214"/>
      <c r="N93" s="215"/>
      <c r="O93" s="214"/>
      <c r="P93" s="214"/>
      <c r="Q93" s="214"/>
      <c r="S93" s="215"/>
      <c r="T93" s="214"/>
      <c r="U93" s="214"/>
      <c r="V93" s="214"/>
    </row>
    <row r="94" spans="1:26" s="110" customFormat="1">
      <c r="A94" s="110" t="s">
        <v>2743</v>
      </c>
      <c r="G94" s="202"/>
      <c r="N94" s="202"/>
      <c r="S94" s="202"/>
    </row>
    <row r="102" spans="7:22">
      <c r="G102" s="111"/>
      <c r="S102" s="219" t="s">
        <v>2744</v>
      </c>
      <c r="T102" s="135" t="s">
        <v>2745</v>
      </c>
      <c r="U102" s="135" t="s">
        <v>2746</v>
      </c>
      <c r="V102" s="135" t="s">
        <v>2747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5" t="s">
        <v>2748</v>
      </c>
      <c r="B1" s="3535"/>
      <c r="C1" s="3535"/>
      <c r="D1" s="3535"/>
      <c r="E1" s="3535"/>
      <c r="F1" s="3535"/>
      <c r="G1" s="3536"/>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2749</v>
      </c>
      <c r="B2" s="75"/>
      <c r="C2" s="75"/>
      <c r="D2" s="75"/>
      <c r="E2" s="75"/>
      <c r="F2" s="75"/>
      <c r="G2" s="76" t="s">
        <v>2750</v>
      </c>
      <c r="I2" s="83" t="s">
        <v>2244</v>
      </c>
      <c r="J2" s="83" t="s">
        <v>2249</v>
      </c>
      <c r="K2" s="83" t="s">
        <v>2269</v>
      </c>
      <c r="L2" s="83" t="s">
        <v>2294</v>
      </c>
      <c r="M2" s="83" t="s">
        <v>2326</v>
      </c>
      <c r="N2" s="83" t="s">
        <v>2366</v>
      </c>
      <c r="O2" s="83" t="s">
        <v>2429</v>
      </c>
      <c r="P2" s="83" t="s">
        <v>2472</v>
      </c>
      <c r="Q2" s="83" t="s">
        <v>2515</v>
      </c>
      <c r="R2" s="83" t="s">
        <v>2565</v>
      </c>
      <c r="S2" s="83" t="s">
        <v>2596</v>
      </c>
      <c r="T2" s="83" t="s">
        <v>2616</v>
      </c>
    </row>
    <row r="3" spans="1:20" s="72" customFormat="1">
      <c r="A3" s="3537" t="s">
        <v>2242</v>
      </c>
      <c r="B3" s="77"/>
      <c r="C3" s="78" t="s">
        <v>1920</v>
      </c>
      <c r="D3" s="78" t="s">
        <v>562</v>
      </c>
      <c r="E3" s="78" t="s">
        <v>412</v>
      </c>
      <c r="F3" s="78" t="s">
        <v>408</v>
      </c>
      <c r="G3" s="78" t="s">
        <v>280</v>
      </c>
      <c r="H3" s="79"/>
      <c r="I3" s="84" t="s">
        <v>2245</v>
      </c>
      <c r="J3" s="85" t="s">
        <v>2250</v>
      </c>
      <c r="K3" s="85" t="s">
        <v>2270</v>
      </c>
      <c r="L3" s="84" t="s">
        <v>2295</v>
      </c>
      <c r="M3" s="84" t="s">
        <v>2327</v>
      </c>
      <c r="N3" s="84" t="s">
        <v>2367</v>
      </c>
      <c r="O3" s="84" t="s">
        <v>2430</v>
      </c>
      <c r="P3" s="84" t="s">
        <v>2473</v>
      </c>
      <c r="Q3" s="84" t="s">
        <v>2516</v>
      </c>
      <c r="R3" s="84" t="s">
        <v>2566</v>
      </c>
      <c r="S3" s="84" t="s">
        <v>2597</v>
      </c>
      <c r="T3" s="84" t="s">
        <v>2617</v>
      </c>
    </row>
    <row r="4" spans="1:20" s="72" customFormat="1">
      <c r="A4" s="3538"/>
      <c r="B4" s="80" t="s">
        <v>2243</v>
      </c>
      <c r="C4" s="80" t="s">
        <v>2751</v>
      </c>
      <c r="D4" s="80" t="s">
        <v>2751</v>
      </c>
      <c r="E4" s="80" t="s">
        <v>2751</v>
      </c>
      <c r="F4" s="81" t="s">
        <v>2751</v>
      </c>
      <c r="G4" s="81" t="s">
        <v>2751</v>
      </c>
      <c r="H4" s="79"/>
      <c r="I4" s="85" t="s">
        <v>2246</v>
      </c>
      <c r="J4" s="85" t="s">
        <v>2251</v>
      </c>
      <c r="K4" s="85" t="s">
        <v>2271</v>
      </c>
      <c r="L4" s="84" t="s">
        <v>2296</v>
      </c>
      <c r="M4" s="84" t="s">
        <v>2328</v>
      </c>
      <c r="N4" s="84" t="s">
        <v>2368</v>
      </c>
      <c r="O4" s="84" t="s">
        <v>2431</v>
      </c>
      <c r="P4" s="84" t="s">
        <v>2474</v>
      </c>
      <c r="Q4" s="84" t="s">
        <v>2517</v>
      </c>
      <c r="R4" s="84" t="s">
        <v>2567</v>
      </c>
      <c r="S4" s="84" t="s">
        <v>2598</v>
      </c>
      <c r="T4" s="84" t="s">
        <v>2618</v>
      </c>
    </row>
    <row r="5" spans="1:20">
      <c r="A5" s="82" t="s">
        <v>230</v>
      </c>
      <c r="B5" s="83" t="s">
        <v>2244</v>
      </c>
      <c r="C5" s="83">
        <v>34550</v>
      </c>
      <c r="D5" s="83">
        <v>34470</v>
      </c>
      <c r="E5" s="83">
        <v>34330</v>
      </c>
      <c r="F5" s="83">
        <v>13400</v>
      </c>
      <c r="G5" s="83">
        <v>25450</v>
      </c>
      <c r="H5" s="79"/>
      <c r="I5" s="84" t="s">
        <v>2247</v>
      </c>
      <c r="J5" s="85" t="s">
        <v>2252</v>
      </c>
      <c r="K5" s="85" t="s">
        <v>2272</v>
      </c>
      <c r="L5" s="84" t="s">
        <v>2297</v>
      </c>
      <c r="M5" s="84" t="s">
        <v>2329</v>
      </c>
      <c r="N5" s="84" t="s">
        <v>2369</v>
      </c>
      <c r="O5" s="84" t="s">
        <v>2432</v>
      </c>
      <c r="P5" s="84" t="s">
        <v>2475</v>
      </c>
      <c r="Q5" s="84" t="s">
        <v>2518</v>
      </c>
      <c r="R5" s="84" t="s">
        <v>2568</v>
      </c>
      <c r="S5" s="84" t="s">
        <v>2599</v>
      </c>
      <c r="T5" s="84" t="s">
        <v>2619</v>
      </c>
    </row>
    <row r="6" spans="1:20">
      <c r="A6" s="84" t="s">
        <v>230</v>
      </c>
      <c r="B6" s="84" t="s">
        <v>2245</v>
      </c>
      <c r="C6" s="84">
        <v>36990</v>
      </c>
      <c r="D6" s="84">
        <v>36850</v>
      </c>
      <c r="E6" s="84">
        <v>36700</v>
      </c>
      <c r="F6" s="84">
        <v>14590</v>
      </c>
      <c r="G6" s="84">
        <v>27450</v>
      </c>
      <c r="H6" s="79"/>
      <c r="I6" s="87" t="s">
        <v>2248</v>
      </c>
      <c r="J6" s="85" t="s">
        <v>2253</v>
      </c>
      <c r="K6" s="85" t="s">
        <v>2273</v>
      </c>
      <c r="L6" s="84" t="s">
        <v>2298</v>
      </c>
      <c r="M6" s="84" t="s">
        <v>2330</v>
      </c>
      <c r="N6" s="84" t="s">
        <v>2370</v>
      </c>
      <c r="O6" s="84" t="s">
        <v>2433</v>
      </c>
      <c r="P6" s="84" t="s">
        <v>2476</v>
      </c>
      <c r="Q6" s="84" t="s">
        <v>2519</v>
      </c>
      <c r="R6" s="84" t="s">
        <v>2569</v>
      </c>
      <c r="S6" s="84" t="s">
        <v>2600</v>
      </c>
      <c r="T6" s="84" t="s">
        <v>2620</v>
      </c>
    </row>
    <row r="7" spans="1:20">
      <c r="A7" s="84" t="s">
        <v>230</v>
      </c>
      <c r="B7" s="85" t="s">
        <v>2246</v>
      </c>
      <c r="C7" s="84">
        <v>34850</v>
      </c>
      <c r="D7" s="84">
        <v>34690</v>
      </c>
      <c r="E7" s="84">
        <v>34550</v>
      </c>
      <c r="F7" s="84">
        <v>14360</v>
      </c>
      <c r="G7" s="84">
        <v>25620</v>
      </c>
      <c r="H7" s="79"/>
      <c r="J7" s="85" t="s">
        <v>2254</v>
      </c>
      <c r="K7" s="85" t="s">
        <v>2274</v>
      </c>
      <c r="L7" s="84" t="s">
        <v>2299</v>
      </c>
      <c r="M7" s="84" t="s">
        <v>2331</v>
      </c>
      <c r="N7" s="84" t="s">
        <v>2371</v>
      </c>
      <c r="O7" s="84" t="s">
        <v>2434</v>
      </c>
      <c r="P7" s="84" t="s">
        <v>2477</v>
      </c>
      <c r="Q7" s="84" t="s">
        <v>2520</v>
      </c>
      <c r="R7" s="84" t="s">
        <v>2570</v>
      </c>
      <c r="S7" s="84" t="s">
        <v>2601</v>
      </c>
      <c r="T7" s="84" t="s">
        <v>2621</v>
      </c>
    </row>
    <row r="8" spans="1:20">
      <c r="A8" s="84" t="s">
        <v>230</v>
      </c>
      <c r="B8" s="84" t="s">
        <v>2247</v>
      </c>
      <c r="C8" s="84">
        <v>32630</v>
      </c>
      <c r="D8" s="84">
        <v>32510</v>
      </c>
      <c r="E8" s="84">
        <v>32420</v>
      </c>
      <c r="F8" s="84">
        <v>13300</v>
      </c>
      <c r="G8" s="84">
        <v>24010</v>
      </c>
      <c r="H8" s="79"/>
      <c r="J8" s="85" t="s">
        <v>2255</v>
      </c>
      <c r="K8" s="85" t="s">
        <v>2275</v>
      </c>
      <c r="L8" s="84" t="s">
        <v>2300</v>
      </c>
      <c r="M8" s="84" t="s">
        <v>2332</v>
      </c>
      <c r="N8" s="84" t="s">
        <v>2372</v>
      </c>
      <c r="O8" s="84" t="s">
        <v>2435</v>
      </c>
      <c r="P8" s="84" t="s">
        <v>2478</v>
      </c>
      <c r="Q8" s="84" t="s">
        <v>2521</v>
      </c>
      <c r="R8" s="84" t="s">
        <v>2571</v>
      </c>
      <c r="S8" s="84" t="s">
        <v>2602</v>
      </c>
      <c r="T8" s="88" t="s">
        <v>2622</v>
      </c>
    </row>
    <row r="9" spans="1:20">
      <c r="A9" s="86" t="s">
        <v>230</v>
      </c>
      <c r="B9" s="87" t="s">
        <v>2248</v>
      </c>
      <c r="C9" s="88">
        <v>36370</v>
      </c>
      <c r="D9" s="88">
        <v>36210</v>
      </c>
      <c r="E9" s="88">
        <v>36050</v>
      </c>
      <c r="F9" s="88"/>
      <c r="G9" s="88">
        <v>26740</v>
      </c>
      <c r="H9" s="79"/>
      <c r="J9" s="85" t="s">
        <v>2256</v>
      </c>
      <c r="K9" s="85" t="s">
        <v>2276</v>
      </c>
      <c r="L9" s="84" t="s">
        <v>2301</v>
      </c>
      <c r="M9" s="84" t="s">
        <v>2333</v>
      </c>
      <c r="N9" s="84" t="s">
        <v>2373</v>
      </c>
      <c r="O9" s="84" t="s">
        <v>2436</v>
      </c>
      <c r="P9" s="84" t="s">
        <v>2479</v>
      </c>
      <c r="Q9" s="84" t="s">
        <v>2522</v>
      </c>
      <c r="R9" s="84" t="s">
        <v>2572</v>
      </c>
      <c r="S9" s="84" t="s">
        <v>2603</v>
      </c>
    </row>
    <row r="10" spans="1:20">
      <c r="A10" s="82" t="s">
        <v>241</v>
      </c>
      <c r="B10" s="83" t="s">
        <v>2249</v>
      </c>
      <c r="C10" s="84">
        <v>32350</v>
      </c>
      <c r="D10" s="84">
        <v>31430</v>
      </c>
      <c r="E10" s="84">
        <v>31320</v>
      </c>
      <c r="F10" s="84">
        <v>10850</v>
      </c>
      <c r="G10" s="84">
        <v>22860</v>
      </c>
      <c r="H10" s="79"/>
      <c r="J10" s="85" t="s">
        <v>2257</v>
      </c>
      <c r="K10" s="85" t="s">
        <v>2277</v>
      </c>
      <c r="L10" s="84" t="s">
        <v>2302</v>
      </c>
      <c r="M10" s="84" t="s">
        <v>2334</v>
      </c>
      <c r="N10" s="84" t="s">
        <v>2374</v>
      </c>
      <c r="O10" s="84" t="s">
        <v>2437</v>
      </c>
      <c r="P10" s="84" t="s">
        <v>2480</v>
      </c>
      <c r="Q10" s="84" t="s">
        <v>2523</v>
      </c>
      <c r="R10" s="84" t="s">
        <v>2573</v>
      </c>
      <c r="S10" s="84" t="s">
        <v>2604</v>
      </c>
    </row>
    <row r="11" spans="1:20">
      <c r="A11" s="84" t="s">
        <v>241</v>
      </c>
      <c r="B11" s="85" t="s">
        <v>2250</v>
      </c>
      <c r="C11" s="84">
        <v>31590</v>
      </c>
      <c r="D11" s="84">
        <v>29490</v>
      </c>
      <c r="E11" s="84">
        <v>28700</v>
      </c>
      <c r="F11" s="84">
        <v>10410</v>
      </c>
      <c r="G11" s="84">
        <v>21460</v>
      </c>
      <c r="H11" s="79"/>
      <c r="J11" s="85" t="s">
        <v>2258</v>
      </c>
      <c r="K11" s="85" t="s">
        <v>2278</v>
      </c>
      <c r="L11" s="84" t="s">
        <v>2303</v>
      </c>
      <c r="M11" s="84" t="s">
        <v>2335</v>
      </c>
      <c r="N11" s="84" t="s">
        <v>2375</v>
      </c>
      <c r="O11" s="84" t="s">
        <v>2438</v>
      </c>
      <c r="P11" s="84" t="s">
        <v>2481</v>
      </c>
      <c r="Q11" s="84" t="s">
        <v>2524</v>
      </c>
      <c r="R11" s="84" t="s">
        <v>2574</v>
      </c>
      <c r="S11" s="84" t="s">
        <v>2605</v>
      </c>
    </row>
    <row r="12" spans="1:20">
      <c r="A12" s="84" t="s">
        <v>241</v>
      </c>
      <c r="B12" s="85" t="s">
        <v>2251</v>
      </c>
      <c r="C12" s="84">
        <v>29640</v>
      </c>
      <c r="D12" s="84">
        <v>27550</v>
      </c>
      <c r="E12" s="84">
        <v>28010</v>
      </c>
      <c r="F12" s="84">
        <v>8730</v>
      </c>
      <c r="G12" s="84">
        <v>20050</v>
      </c>
      <c r="H12" s="79"/>
      <c r="J12" s="85" t="s">
        <v>2259</v>
      </c>
      <c r="K12" s="85" t="s">
        <v>2279</v>
      </c>
      <c r="L12" s="84" t="s">
        <v>2304</v>
      </c>
      <c r="M12" s="84" t="s">
        <v>2336</v>
      </c>
      <c r="N12" s="84" t="s">
        <v>2376</v>
      </c>
      <c r="O12" s="84" t="s">
        <v>2439</v>
      </c>
      <c r="P12" s="84" t="s">
        <v>2482</v>
      </c>
      <c r="Q12" s="84" t="s">
        <v>2525</v>
      </c>
      <c r="R12" s="84" t="s">
        <v>2575</v>
      </c>
      <c r="S12" s="84" t="s">
        <v>2606</v>
      </c>
    </row>
    <row r="13" spans="1:20">
      <c r="A13" s="84" t="s">
        <v>241</v>
      </c>
      <c r="B13" s="85" t="s">
        <v>2252</v>
      </c>
      <c r="C13" s="84">
        <v>29680</v>
      </c>
      <c r="D13" s="84">
        <v>27660</v>
      </c>
      <c r="E13" s="84">
        <v>28210</v>
      </c>
      <c r="F13" s="84">
        <v>9590</v>
      </c>
      <c r="G13" s="84">
        <v>20120</v>
      </c>
      <c r="H13" s="79"/>
      <c r="J13" s="85" t="s">
        <v>2260</v>
      </c>
      <c r="K13" s="85" t="s">
        <v>2280</v>
      </c>
      <c r="L13" s="84" t="s">
        <v>2305</v>
      </c>
      <c r="M13" s="84" t="s">
        <v>2337</v>
      </c>
      <c r="N13" s="84" t="s">
        <v>2377</v>
      </c>
      <c r="O13" s="84" t="s">
        <v>514</v>
      </c>
      <c r="P13" s="84" t="s">
        <v>2483</v>
      </c>
      <c r="Q13" s="84" t="s">
        <v>2526</v>
      </c>
      <c r="R13" s="84" t="s">
        <v>2576</v>
      </c>
      <c r="S13" s="84" t="s">
        <v>2607</v>
      </c>
    </row>
    <row r="14" spans="1:20">
      <c r="A14" s="84" t="s">
        <v>241</v>
      </c>
      <c r="B14" s="85" t="s">
        <v>2253</v>
      </c>
      <c r="C14" s="84">
        <v>30520</v>
      </c>
      <c r="D14" s="84">
        <v>29510</v>
      </c>
      <c r="E14" s="84">
        <v>29400</v>
      </c>
      <c r="F14" s="84">
        <v>9630</v>
      </c>
      <c r="G14" s="84">
        <v>21480</v>
      </c>
      <c r="H14" s="79"/>
      <c r="J14" s="85" t="s">
        <v>2261</v>
      </c>
      <c r="K14" s="85" t="s">
        <v>2281</v>
      </c>
      <c r="L14" s="84" t="s">
        <v>2306</v>
      </c>
      <c r="M14" s="84" t="s">
        <v>2338</v>
      </c>
      <c r="N14" s="84" t="s">
        <v>2378</v>
      </c>
      <c r="O14" s="84" t="s">
        <v>2440</v>
      </c>
      <c r="P14" s="84" t="s">
        <v>2484</v>
      </c>
      <c r="Q14" s="84" t="s">
        <v>2527</v>
      </c>
      <c r="R14" s="84" t="s">
        <v>2577</v>
      </c>
      <c r="S14" s="84" t="s">
        <v>2608</v>
      </c>
    </row>
    <row r="15" spans="1:20">
      <c r="A15" s="84" t="s">
        <v>241</v>
      </c>
      <c r="B15" s="85" t="s">
        <v>2254</v>
      </c>
      <c r="C15" s="84">
        <v>29090</v>
      </c>
      <c r="D15" s="84">
        <v>27590</v>
      </c>
      <c r="E15" s="84">
        <v>28120</v>
      </c>
      <c r="F15" s="84">
        <v>9110</v>
      </c>
      <c r="G15" s="84">
        <v>20070</v>
      </c>
      <c r="H15" s="79"/>
      <c r="J15" s="85" t="s">
        <v>2262</v>
      </c>
      <c r="K15" s="85" t="s">
        <v>2282</v>
      </c>
      <c r="L15" s="84" t="s">
        <v>2307</v>
      </c>
      <c r="M15" s="84" t="s">
        <v>2339</v>
      </c>
      <c r="N15" s="84" t="s">
        <v>2379</v>
      </c>
      <c r="O15" s="84" t="s">
        <v>2441</v>
      </c>
      <c r="P15" s="84" t="s">
        <v>2485</v>
      </c>
      <c r="Q15" s="84" t="s">
        <v>2528</v>
      </c>
      <c r="R15" s="84" t="s">
        <v>2578</v>
      </c>
      <c r="S15" s="84" t="s">
        <v>2609</v>
      </c>
    </row>
    <row r="16" spans="1:20">
      <c r="A16" s="84" t="s">
        <v>241</v>
      </c>
      <c r="B16" s="85" t="s">
        <v>2255</v>
      </c>
      <c r="C16" s="84">
        <v>26790</v>
      </c>
      <c r="D16" s="84">
        <v>30370</v>
      </c>
      <c r="E16" s="84">
        <v>30240</v>
      </c>
      <c r="F16" s="84">
        <v>11590</v>
      </c>
      <c r="G16" s="84">
        <v>22090</v>
      </c>
      <c r="H16" s="79"/>
      <c r="J16" s="85" t="s">
        <v>2263</v>
      </c>
      <c r="K16" s="85" t="s">
        <v>2283</v>
      </c>
      <c r="L16" s="84" t="s">
        <v>2308</v>
      </c>
      <c r="M16" s="84" t="s">
        <v>2340</v>
      </c>
      <c r="N16" s="84" t="s">
        <v>2380</v>
      </c>
      <c r="O16" s="84" t="s">
        <v>2442</v>
      </c>
      <c r="P16" s="84" t="s">
        <v>2486</v>
      </c>
      <c r="Q16" s="84" t="s">
        <v>2529</v>
      </c>
      <c r="R16" s="84" t="s">
        <v>2579</v>
      </c>
      <c r="S16" s="84" t="s">
        <v>2610</v>
      </c>
    </row>
    <row r="17" spans="1:19" ht="14.25" customHeight="1">
      <c r="A17" s="84" t="s">
        <v>241</v>
      </c>
      <c r="B17" s="85" t="s">
        <v>2256</v>
      </c>
      <c r="C17" s="84">
        <v>29180</v>
      </c>
      <c r="D17" s="84">
        <v>27620</v>
      </c>
      <c r="E17" s="84">
        <v>28180</v>
      </c>
      <c r="F17" s="84">
        <v>10790</v>
      </c>
      <c r="G17" s="84">
        <v>20090</v>
      </c>
      <c r="H17" s="79"/>
      <c r="J17" s="85" t="s">
        <v>2264</v>
      </c>
      <c r="K17" s="85" t="s">
        <v>2284</v>
      </c>
      <c r="L17" s="84" t="s">
        <v>2309</v>
      </c>
      <c r="M17" s="84" t="s">
        <v>2341</v>
      </c>
      <c r="N17" s="84" t="s">
        <v>2381</v>
      </c>
      <c r="O17" s="84" t="s">
        <v>2443</v>
      </c>
      <c r="P17" s="84" t="s">
        <v>2487</v>
      </c>
      <c r="Q17" s="84" t="s">
        <v>2530</v>
      </c>
      <c r="R17" s="84" t="s">
        <v>2580</v>
      </c>
      <c r="S17" s="84" t="s">
        <v>2611</v>
      </c>
    </row>
    <row r="18" spans="1:19" ht="14.25" customHeight="1">
      <c r="A18" s="84" t="s">
        <v>241</v>
      </c>
      <c r="B18" s="85" t="s">
        <v>2257</v>
      </c>
      <c r="C18" s="84">
        <v>26840</v>
      </c>
      <c r="D18" s="84">
        <v>28930</v>
      </c>
      <c r="E18" s="84">
        <v>28820</v>
      </c>
      <c r="F18" s="84"/>
      <c r="G18" s="84">
        <v>21050</v>
      </c>
      <c r="H18" s="79"/>
      <c r="J18" s="85" t="s">
        <v>2265</v>
      </c>
      <c r="K18" s="85" t="s">
        <v>2285</v>
      </c>
      <c r="L18" s="84" t="s">
        <v>2310</v>
      </c>
      <c r="M18" s="84" t="s">
        <v>2342</v>
      </c>
      <c r="N18" s="84" t="s">
        <v>2382</v>
      </c>
      <c r="O18" s="84" t="s">
        <v>2444</v>
      </c>
      <c r="P18" s="84" t="s">
        <v>2488</v>
      </c>
      <c r="Q18" s="84" t="s">
        <v>2531</v>
      </c>
      <c r="R18" s="84" t="s">
        <v>2581</v>
      </c>
      <c r="S18" s="84" t="s">
        <v>2612</v>
      </c>
    </row>
    <row r="19" spans="1:19" ht="14.25" customHeight="1">
      <c r="A19" s="84" t="s">
        <v>241</v>
      </c>
      <c r="B19" s="85" t="s">
        <v>2258</v>
      </c>
      <c r="C19" s="84">
        <v>27750</v>
      </c>
      <c r="D19" s="84">
        <v>26680</v>
      </c>
      <c r="E19" s="84">
        <v>26590</v>
      </c>
      <c r="F19" s="84"/>
      <c r="G19" s="84">
        <v>19420</v>
      </c>
      <c r="H19" s="79"/>
      <c r="J19" s="85" t="s">
        <v>2266</v>
      </c>
      <c r="K19" s="85" t="s">
        <v>2286</v>
      </c>
      <c r="L19" s="84" t="s">
        <v>2311</v>
      </c>
      <c r="M19" s="84" t="s">
        <v>2343</v>
      </c>
      <c r="N19" s="84" t="s">
        <v>2383</v>
      </c>
      <c r="O19" s="84" t="s">
        <v>2445</v>
      </c>
      <c r="P19" s="84" t="s">
        <v>2489</v>
      </c>
      <c r="Q19" s="84" t="s">
        <v>2532</v>
      </c>
      <c r="R19" s="84" t="s">
        <v>2582</v>
      </c>
      <c r="S19" s="84" t="s">
        <v>2613</v>
      </c>
    </row>
    <row r="20" spans="1:19" ht="14.25" customHeight="1">
      <c r="A20" s="84" t="s">
        <v>241</v>
      </c>
      <c r="B20" s="85" t="s">
        <v>2259</v>
      </c>
      <c r="C20" s="84">
        <v>27050</v>
      </c>
      <c r="D20" s="84">
        <v>29010</v>
      </c>
      <c r="E20" s="84">
        <v>28910</v>
      </c>
      <c r="F20" s="84"/>
      <c r="G20" s="84">
        <v>21110</v>
      </c>
      <c r="J20" s="85" t="s">
        <v>2267</v>
      </c>
      <c r="K20" s="85" t="s">
        <v>2287</v>
      </c>
      <c r="L20" s="84" t="s">
        <v>2312</v>
      </c>
      <c r="M20" s="84" t="s">
        <v>2344</v>
      </c>
      <c r="N20" s="84" t="s">
        <v>2384</v>
      </c>
      <c r="O20" s="84" t="s">
        <v>2446</v>
      </c>
      <c r="P20" s="84" t="s">
        <v>2490</v>
      </c>
      <c r="Q20" s="84" t="s">
        <v>2533</v>
      </c>
      <c r="R20" s="84" t="s">
        <v>2583</v>
      </c>
      <c r="S20" s="84" t="s">
        <v>2614</v>
      </c>
    </row>
    <row r="21" spans="1:19" ht="14.25" customHeight="1">
      <c r="A21" s="84" t="s">
        <v>241</v>
      </c>
      <c r="B21" s="85" t="s">
        <v>2260</v>
      </c>
      <c r="C21" s="84">
        <v>32370</v>
      </c>
      <c r="D21" s="84">
        <v>26730</v>
      </c>
      <c r="E21" s="84">
        <v>26640</v>
      </c>
      <c r="F21" s="84"/>
      <c r="G21" s="84">
        <v>19440</v>
      </c>
      <c r="J21" s="88" t="s">
        <v>2268</v>
      </c>
      <c r="K21" s="85" t="s">
        <v>2288</v>
      </c>
      <c r="L21" s="84" t="s">
        <v>2313</v>
      </c>
      <c r="M21" s="84" t="s">
        <v>2345</v>
      </c>
      <c r="N21" s="84" t="s">
        <v>2385</v>
      </c>
      <c r="O21" s="84" t="s">
        <v>2447</v>
      </c>
      <c r="P21" s="84" t="s">
        <v>2491</v>
      </c>
      <c r="Q21" s="84" t="s">
        <v>2534</v>
      </c>
      <c r="R21" s="84" t="s">
        <v>2584</v>
      </c>
      <c r="S21" s="88" t="s">
        <v>2615</v>
      </c>
    </row>
    <row r="22" spans="1:19" ht="14.25" customHeight="1">
      <c r="A22" s="84" t="s">
        <v>241</v>
      </c>
      <c r="B22" s="85" t="s">
        <v>2261</v>
      </c>
      <c r="C22" s="84">
        <v>29830</v>
      </c>
      <c r="D22" s="84">
        <v>27600</v>
      </c>
      <c r="E22" s="84">
        <v>28150</v>
      </c>
      <c r="F22" s="84"/>
      <c r="G22" s="84">
        <v>20080</v>
      </c>
      <c r="K22" s="85" t="s">
        <v>2289</v>
      </c>
      <c r="L22" s="84" t="s">
        <v>2314</v>
      </c>
      <c r="M22" s="84" t="s">
        <v>2346</v>
      </c>
      <c r="N22" s="84" t="s">
        <v>2386</v>
      </c>
      <c r="O22" s="84" t="s">
        <v>2448</v>
      </c>
      <c r="P22" s="84" t="s">
        <v>2492</v>
      </c>
      <c r="Q22" s="84" t="s">
        <v>2535</v>
      </c>
      <c r="R22" s="84" t="s">
        <v>2585</v>
      </c>
    </row>
    <row r="23" spans="1:19" ht="14.25" customHeight="1">
      <c r="A23" s="84" t="s">
        <v>241</v>
      </c>
      <c r="B23" s="85" t="s">
        <v>2262</v>
      </c>
      <c r="C23" s="84">
        <v>27800</v>
      </c>
      <c r="D23" s="84">
        <v>26900</v>
      </c>
      <c r="E23" s="84">
        <v>27170</v>
      </c>
      <c r="F23" s="84"/>
      <c r="G23" s="84">
        <v>19570</v>
      </c>
      <c r="K23" s="85" t="s">
        <v>2290</v>
      </c>
      <c r="L23" s="84" t="s">
        <v>2315</v>
      </c>
      <c r="M23" s="84" t="s">
        <v>2347</v>
      </c>
      <c r="N23" s="84" t="s">
        <v>2387</v>
      </c>
      <c r="O23" s="84" t="s">
        <v>2449</v>
      </c>
      <c r="P23" s="84" t="s">
        <v>2493</v>
      </c>
      <c r="Q23" s="84" t="s">
        <v>2536</v>
      </c>
      <c r="R23" s="84" t="s">
        <v>2586</v>
      </c>
    </row>
    <row r="24" spans="1:19" ht="14.25" customHeight="1">
      <c r="A24" s="84" t="s">
        <v>241</v>
      </c>
      <c r="B24" s="85" t="s">
        <v>2263</v>
      </c>
      <c r="C24" s="84">
        <v>27930</v>
      </c>
      <c r="D24" s="84">
        <v>32260</v>
      </c>
      <c r="E24" s="84">
        <v>32120</v>
      </c>
      <c r="F24" s="84"/>
      <c r="G24" s="84">
        <v>23470</v>
      </c>
      <c r="K24" s="85" t="s">
        <v>2291</v>
      </c>
      <c r="L24" s="84" t="s">
        <v>2316</v>
      </c>
      <c r="M24" s="84" t="s">
        <v>2348</v>
      </c>
      <c r="N24" s="84" t="s">
        <v>2388</v>
      </c>
      <c r="O24" s="84" t="s">
        <v>2450</v>
      </c>
      <c r="P24" s="84" t="s">
        <v>2494</v>
      </c>
      <c r="Q24" s="98" t="s">
        <v>2537</v>
      </c>
      <c r="R24" s="84" t="s">
        <v>2587</v>
      </c>
    </row>
    <row r="25" spans="1:19" ht="14.25" customHeight="1">
      <c r="A25" s="84" t="s">
        <v>241</v>
      </c>
      <c r="B25" s="85" t="s">
        <v>2264</v>
      </c>
      <c r="C25" s="84">
        <v>32230</v>
      </c>
      <c r="D25" s="84">
        <v>29640</v>
      </c>
      <c r="E25" s="84">
        <v>29510</v>
      </c>
      <c r="F25" s="84"/>
      <c r="G25" s="84">
        <v>21560</v>
      </c>
      <c r="K25" s="85" t="s">
        <v>2292</v>
      </c>
      <c r="L25" s="84" t="s">
        <v>2317</v>
      </c>
      <c r="M25" s="84" t="s">
        <v>2349</v>
      </c>
      <c r="N25" s="84" t="s">
        <v>2389</v>
      </c>
      <c r="O25" s="84" t="s">
        <v>2451</v>
      </c>
      <c r="P25" s="84" t="s">
        <v>2495</v>
      </c>
      <c r="Q25" s="98" t="s">
        <v>2538</v>
      </c>
      <c r="R25" s="84" t="s">
        <v>2588</v>
      </c>
    </row>
    <row r="26" spans="1:19" ht="14.25" customHeight="1">
      <c r="A26" s="84" t="s">
        <v>241</v>
      </c>
      <c r="B26" s="85" t="s">
        <v>2265</v>
      </c>
      <c r="C26" s="84">
        <v>31690</v>
      </c>
      <c r="D26" s="84">
        <v>27650</v>
      </c>
      <c r="E26" s="84">
        <v>28200</v>
      </c>
      <c r="F26" s="84"/>
      <c r="G26" s="84">
        <v>20110</v>
      </c>
      <c r="K26" s="87" t="s">
        <v>2293</v>
      </c>
      <c r="L26" s="84" t="s">
        <v>2318</v>
      </c>
      <c r="M26" s="84" t="s">
        <v>2350</v>
      </c>
      <c r="N26" s="84" t="s">
        <v>2390</v>
      </c>
      <c r="O26" s="84" t="s">
        <v>2452</v>
      </c>
      <c r="P26" s="84" t="s">
        <v>2496</v>
      </c>
      <c r="Q26" s="98" t="s">
        <v>2539</v>
      </c>
      <c r="R26" s="84" t="s">
        <v>2589</v>
      </c>
    </row>
    <row r="27" spans="1:19" ht="14.25" customHeight="1">
      <c r="A27" s="84" t="s">
        <v>241</v>
      </c>
      <c r="B27" s="85" t="s">
        <v>2266</v>
      </c>
      <c r="C27" s="84">
        <v>29610</v>
      </c>
      <c r="D27" s="84">
        <v>27770</v>
      </c>
      <c r="E27" s="84">
        <v>28300</v>
      </c>
      <c r="F27" s="84"/>
      <c r="G27" s="84">
        <v>20210</v>
      </c>
      <c r="L27" s="84" t="s">
        <v>2319</v>
      </c>
      <c r="M27" s="84" t="s">
        <v>2351</v>
      </c>
      <c r="N27" s="84" t="s">
        <v>2391</v>
      </c>
      <c r="O27" s="84" t="s">
        <v>2453</v>
      </c>
      <c r="P27" s="84" t="s">
        <v>2497</v>
      </c>
      <c r="Q27" s="84" t="s">
        <v>2540</v>
      </c>
      <c r="R27" s="84" t="s">
        <v>2590</v>
      </c>
    </row>
    <row r="28" spans="1:19" ht="14.25" customHeight="1">
      <c r="A28" s="84" t="s">
        <v>241</v>
      </c>
      <c r="B28" s="85" t="s">
        <v>2267</v>
      </c>
      <c r="C28" s="84"/>
      <c r="D28" s="84">
        <v>31520</v>
      </c>
      <c r="E28" s="84">
        <v>31410</v>
      </c>
      <c r="F28" s="84"/>
      <c r="G28" s="84">
        <v>22940</v>
      </c>
      <c r="L28" s="84" t="s">
        <v>2320</v>
      </c>
      <c r="M28" s="84" t="s">
        <v>2352</v>
      </c>
      <c r="N28" s="84" t="s">
        <v>2392</v>
      </c>
      <c r="O28" s="84" t="s">
        <v>2454</v>
      </c>
      <c r="P28" s="84" t="s">
        <v>2498</v>
      </c>
      <c r="Q28" s="84" t="s">
        <v>2541</v>
      </c>
      <c r="R28" s="84" t="s">
        <v>2591</v>
      </c>
    </row>
    <row r="29" spans="1:19" ht="14.25" customHeight="1">
      <c r="A29" s="86" t="s">
        <v>241</v>
      </c>
      <c r="B29" s="89" t="s">
        <v>2268</v>
      </c>
      <c r="C29" s="90"/>
      <c r="D29" s="90">
        <v>29460</v>
      </c>
      <c r="E29" s="90">
        <v>28640</v>
      </c>
      <c r="F29" s="90"/>
      <c r="G29" s="90">
        <v>21430</v>
      </c>
      <c r="L29" s="84" t="s">
        <v>2321</v>
      </c>
      <c r="M29" s="84" t="s">
        <v>2353</v>
      </c>
      <c r="N29" s="84" t="s">
        <v>2393</v>
      </c>
      <c r="O29" s="84" t="s">
        <v>2455</v>
      </c>
      <c r="P29" s="84" t="s">
        <v>2499</v>
      </c>
      <c r="Q29" s="84" t="s">
        <v>2542</v>
      </c>
      <c r="R29" s="84" t="s">
        <v>2592</v>
      </c>
    </row>
    <row r="30" spans="1:19" ht="14.25" customHeight="1">
      <c r="A30" s="82" t="s">
        <v>251</v>
      </c>
      <c r="B30" s="83" t="s">
        <v>2269</v>
      </c>
      <c r="C30" s="83">
        <v>26890</v>
      </c>
      <c r="D30" s="83">
        <v>26770</v>
      </c>
      <c r="E30" s="83">
        <v>25700</v>
      </c>
      <c r="F30" s="83">
        <v>8180</v>
      </c>
      <c r="G30" s="91">
        <v>18740</v>
      </c>
      <c r="L30" s="84" t="s">
        <v>2322</v>
      </c>
      <c r="M30" s="84" t="s">
        <v>2354</v>
      </c>
      <c r="N30" s="84" t="s">
        <v>2394</v>
      </c>
      <c r="O30" s="84" t="s">
        <v>2456</v>
      </c>
      <c r="P30" s="84" t="s">
        <v>2500</v>
      </c>
      <c r="Q30" s="84" t="s">
        <v>2543</v>
      </c>
      <c r="R30" s="84" t="s">
        <v>2593</v>
      </c>
    </row>
    <row r="31" spans="1:19" ht="14.25" customHeight="1">
      <c r="A31" s="84" t="s">
        <v>251</v>
      </c>
      <c r="B31" s="85" t="s">
        <v>2270</v>
      </c>
      <c r="C31" s="84">
        <v>24550</v>
      </c>
      <c r="D31" s="84">
        <v>23990</v>
      </c>
      <c r="E31" s="84">
        <v>22930</v>
      </c>
      <c r="F31" s="84">
        <v>7470</v>
      </c>
      <c r="G31" s="92">
        <v>16790</v>
      </c>
      <c r="L31" s="84" t="s">
        <v>2323</v>
      </c>
      <c r="M31" s="84" t="s">
        <v>2355</v>
      </c>
      <c r="N31" s="84" t="s">
        <v>2395</v>
      </c>
      <c r="O31" s="84" t="s">
        <v>2457</v>
      </c>
      <c r="P31" s="84" t="s">
        <v>2501</v>
      </c>
      <c r="Q31" s="84" t="s">
        <v>2544</v>
      </c>
      <c r="R31" s="84" t="s">
        <v>2594</v>
      </c>
    </row>
    <row r="32" spans="1:19" ht="14.25" customHeight="1">
      <c r="A32" s="84" t="s">
        <v>251</v>
      </c>
      <c r="B32" s="85" t="s">
        <v>2271</v>
      </c>
      <c r="C32" s="84">
        <v>27210</v>
      </c>
      <c r="D32" s="84">
        <v>23240</v>
      </c>
      <c r="E32" s="84">
        <v>23260</v>
      </c>
      <c r="F32" s="84">
        <v>7130</v>
      </c>
      <c r="G32" s="92">
        <v>16270</v>
      </c>
      <c r="L32" s="84" t="s">
        <v>2324</v>
      </c>
      <c r="M32" s="84" t="s">
        <v>2356</v>
      </c>
      <c r="N32" s="84" t="s">
        <v>2396</v>
      </c>
      <c r="O32" s="84" t="s">
        <v>2458</v>
      </c>
      <c r="P32" s="84" t="s">
        <v>2502</v>
      </c>
      <c r="Q32" s="84" t="s">
        <v>2545</v>
      </c>
      <c r="R32" s="88" t="s">
        <v>2595</v>
      </c>
    </row>
    <row r="33" spans="1:17" ht="14.25" customHeight="1">
      <c r="A33" s="84" t="s">
        <v>251</v>
      </c>
      <c r="B33" s="85" t="s">
        <v>2272</v>
      </c>
      <c r="C33" s="84">
        <v>27300</v>
      </c>
      <c r="D33" s="84">
        <v>22980</v>
      </c>
      <c r="E33" s="84">
        <v>24260</v>
      </c>
      <c r="F33" s="84">
        <v>5860</v>
      </c>
      <c r="G33" s="92">
        <v>16090</v>
      </c>
      <c r="L33" s="88" t="s">
        <v>2325</v>
      </c>
      <c r="M33" s="84" t="s">
        <v>2357</v>
      </c>
      <c r="N33" s="84" t="s">
        <v>2397</v>
      </c>
      <c r="O33" s="84" t="s">
        <v>2459</v>
      </c>
      <c r="P33" s="84" t="s">
        <v>2503</v>
      </c>
      <c r="Q33" s="84" t="s">
        <v>2546</v>
      </c>
    </row>
    <row r="34" spans="1:17" ht="14.25" customHeight="1">
      <c r="A34" s="84" t="s">
        <v>251</v>
      </c>
      <c r="B34" s="85" t="s">
        <v>2273</v>
      </c>
      <c r="C34" s="84">
        <v>23090</v>
      </c>
      <c r="D34" s="84">
        <v>23390</v>
      </c>
      <c r="E34" s="84">
        <v>23510</v>
      </c>
      <c r="F34" s="84">
        <v>6700</v>
      </c>
      <c r="G34" s="92">
        <v>16370</v>
      </c>
      <c r="M34" s="84" t="s">
        <v>2358</v>
      </c>
      <c r="N34" s="84" t="s">
        <v>2398</v>
      </c>
      <c r="O34" s="84" t="s">
        <v>2460</v>
      </c>
      <c r="P34" s="84" t="s">
        <v>2504</v>
      </c>
      <c r="Q34" s="84" t="s">
        <v>2547</v>
      </c>
    </row>
    <row r="35" spans="1:17" ht="14.25" customHeight="1">
      <c r="A35" s="84" t="s">
        <v>251</v>
      </c>
      <c r="B35" s="85" t="s">
        <v>2274</v>
      </c>
      <c r="C35" s="84">
        <v>27270</v>
      </c>
      <c r="D35" s="84">
        <v>24270</v>
      </c>
      <c r="E35" s="84">
        <v>24950</v>
      </c>
      <c r="F35" s="84">
        <v>6600</v>
      </c>
      <c r="G35" s="92">
        <v>16990</v>
      </c>
      <c r="M35" s="84" t="s">
        <v>2359</v>
      </c>
      <c r="N35" s="84" t="s">
        <v>2399</v>
      </c>
      <c r="O35" s="84" t="s">
        <v>2461</v>
      </c>
      <c r="P35" s="84" t="s">
        <v>2505</v>
      </c>
      <c r="Q35" s="84" t="s">
        <v>2548</v>
      </c>
    </row>
    <row r="36" spans="1:17" ht="14.25" customHeight="1">
      <c r="A36" s="84" t="s">
        <v>251</v>
      </c>
      <c r="B36" s="85" t="s">
        <v>2275</v>
      </c>
      <c r="C36" s="84">
        <v>23490</v>
      </c>
      <c r="D36" s="84">
        <v>23020</v>
      </c>
      <c r="E36" s="84">
        <v>25230</v>
      </c>
      <c r="F36" s="84">
        <v>6780</v>
      </c>
      <c r="G36" s="92">
        <v>16120</v>
      </c>
      <c r="M36" s="84" t="s">
        <v>2360</v>
      </c>
      <c r="N36" s="84" t="s">
        <v>2400</v>
      </c>
      <c r="O36" s="84" t="s">
        <v>2462</v>
      </c>
      <c r="P36" s="84" t="s">
        <v>2506</v>
      </c>
      <c r="Q36" s="84" t="s">
        <v>2549</v>
      </c>
    </row>
    <row r="37" spans="1:17" ht="14.25" customHeight="1">
      <c r="A37" s="84" t="s">
        <v>251</v>
      </c>
      <c r="B37" s="85" t="s">
        <v>2276</v>
      </c>
      <c r="C37" s="84">
        <v>24380</v>
      </c>
      <c r="D37" s="84">
        <v>22240</v>
      </c>
      <c r="E37" s="84">
        <v>25980</v>
      </c>
      <c r="F37" s="84">
        <v>8160</v>
      </c>
      <c r="G37" s="92">
        <v>15570</v>
      </c>
      <c r="M37" s="84" t="s">
        <v>2361</v>
      </c>
      <c r="N37" s="84" t="s">
        <v>2401</v>
      </c>
      <c r="O37" s="84" t="s">
        <v>2463</v>
      </c>
      <c r="P37" s="84" t="s">
        <v>2507</v>
      </c>
      <c r="Q37" s="84" t="s">
        <v>2550</v>
      </c>
    </row>
    <row r="38" spans="1:17" ht="14.25" customHeight="1">
      <c r="A38" s="84" t="s">
        <v>251</v>
      </c>
      <c r="B38" s="85" t="s">
        <v>2277</v>
      </c>
      <c r="C38" s="84">
        <v>23120</v>
      </c>
      <c r="D38" s="84">
        <v>24630</v>
      </c>
      <c r="E38" s="84">
        <v>25030</v>
      </c>
      <c r="F38" s="84">
        <v>7710</v>
      </c>
      <c r="G38" s="92">
        <v>17240</v>
      </c>
      <c r="M38" s="84" t="s">
        <v>2362</v>
      </c>
      <c r="N38" s="84" t="s">
        <v>2402</v>
      </c>
      <c r="O38" s="84" t="s">
        <v>2464</v>
      </c>
      <c r="P38" s="84" t="s">
        <v>2508</v>
      </c>
      <c r="Q38" s="84" t="s">
        <v>2551</v>
      </c>
    </row>
    <row r="39" spans="1:17" ht="14.25" customHeight="1">
      <c r="A39" s="84" t="s">
        <v>251</v>
      </c>
      <c r="B39" s="85" t="s">
        <v>2278</v>
      </c>
      <c r="C39" s="84">
        <v>22330</v>
      </c>
      <c r="D39" s="84">
        <v>21140</v>
      </c>
      <c r="E39" s="84">
        <v>23970</v>
      </c>
      <c r="F39" s="84">
        <v>7940</v>
      </c>
      <c r="G39" s="92">
        <v>14790</v>
      </c>
      <c r="M39" s="84" t="s">
        <v>2363</v>
      </c>
      <c r="N39" s="84" t="s">
        <v>2403</v>
      </c>
      <c r="O39" s="84" t="s">
        <v>2752</v>
      </c>
      <c r="P39" s="84" t="s">
        <v>2509</v>
      </c>
      <c r="Q39" s="84" t="s">
        <v>2552</v>
      </c>
    </row>
    <row r="40" spans="1:17" ht="14.25" customHeight="1">
      <c r="A40" s="84" t="s">
        <v>251</v>
      </c>
      <c r="B40" s="85" t="s">
        <v>2279</v>
      </c>
      <c r="C40" s="84">
        <v>24740</v>
      </c>
      <c r="D40" s="84">
        <v>24690</v>
      </c>
      <c r="E40" s="84">
        <v>22610</v>
      </c>
      <c r="F40" s="84"/>
      <c r="G40" s="92">
        <v>17280</v>
      </c>
      <c r="M40" s="84" t="s">
        <v>2364</v>
      </c>
      <c r="N40" s="84" t="s">
        <v>2404</v>
      </c>
      <c r="O40" s="84" t="s">
        <v>2753</v>
      </c>
      <c r="P40" s="84" t="s">
        <v>2510</v>
      </c>
      <c r="Q40" s="84" t="s">
        <v>2553</v>
      </c>
    </row>
    <row r="41" spans="1:17" ht="14.25" customHeight="1">
      <c r="A41" s="84" t="s">
        <v>251</v>
      </c>
      <c r="B41" s="85" t="s">
        <v>2280</v>
      </c>
      <c r="C41" s="84">
        <v>21220</v>
      </c>
      <c r="D41" s="84">
        <v>21120</v>
      </c>
      <c r="E41" s="84">
        <v>22590</v>
      </c>
      <c r="F41" s="84"/>
      <c r="G41" s="92">
        <v>14780</v>
      </c>
      <c r="M41" s="88" t="s">
        <v>2365</v>
      </c>
      <c r="N41" s="84" t="s">
        <v>2405</v>
      </c>
      <c r="O41" s="84" t="s">
        <v>2754</v>
      </c>
      <c r="P41" s="84" t="s">
        <v>2511</v>
      </c>
      <c r="Q41" s="84" t="s">
        <v>2554</v>
      </c>
    </row>
    <row r="42" spans="1:17" ht="14.25" customHeight="1">
      <c r="A42" s="84" t="s">
        <v>251</v>
      </c>
      <c r="B42" s="85" t="s">
        <v>2281</v>
      </c>
      <c r="C42" s="84">
        <v>24800</v>
      </c>
      <c r="D42" s="84">
        <v>22280</v>
      </c>
      <c r="E42" s="84">
        <v>24350</v>
      </c>
      <c r="F42" s="84"/>
      <c r="G42" s="92">
        <v>15590</v>
      </c>
      <c r="N42" s="84" t="s">
        <v>2406</v>
      </c>
      <c r="O42" s="84" t="s">
        <v>2468</v>
      </c>
      <c r="P42" s="84" t="s">
        <v>2512</v>
      </c>
      <c r="Q42" s="84" t="s">
        <v>2555</v>
      </c>
    </row>
    <row r="43" spans="1:17" ht="14.25" customHeight="1">
      <c r="A43" s="84" t="s">
        <v>251</v>
      </c>
      <c r="B43" s="85" t="s">
        <v>2282</v>
      </c>
      <c r="C43" s="84">
        <v>21210</v>
      </c>
      <c r="D43" s="84">
        <v>21160</v>
      </c>
      <c r="E43" s="84">
        <v>22650</v>
      </c>
      <c r="F43" s="84"/>
      <c r="G43" s="92">
        <v>14800</v>
      </c>
      <c r="N43" s="84" t="s">
        <v>2407</v>
      </c>
      <c r="O43" s="84" t="s">
        <v>2469</v>
      </c>
      <c r="P43" s="84" t="s">
        <v>2513</v>
      </c>
      <c r="Q43" s="84" t="s">
        <v>2556</v>
      </c>
    </row>
    <row r="44" spans="1:17" ht="14.25" customHeight="1">
      <c r="A44" s="84" t="s">
        <v>251</v>
      </c>
      <c r="B44" s="85" t="s">
        <v>2283</v>
      </c>
      <c r="C44" s="84">
        <v>22370</v>
      </c>
      <c r="D44" s="84">
        <v>23140</v>
      </c>
      <c r="E44" s="84">
        <v>25090</v>
      </c>
      <c r="F44" s="84"/>
      <c r="G44" s="92">
        <v>16190</v>
      </c>
      <c r="N44" s="84" t="s">
        <v>2408</v>
      </c>
      <c r="O44" s="84" t="s">
        <v>2755</v>
      </c>
      <c r="P44" s="88" t="s">
        <v>2514</v>
      </c>
      <c r="Q44" s="84" t="s">
        <v>2557</v>
      </c>
    </row>
    <row r="45" spans="1:17" ht="14.25" customHeight="1">
      <c r="A45" s="84" t="s">
        <v>251</v>
      </c>
      <c r="B45" s="85" t="s">
        <v>2284</v>
      </c>
      <c r="C45" s="84">
        <v>21240</v>
      </c>
      <c r="D45" s="84">
        <v>27050</v>
      </c>
      <c r="E45" s="84">
        <v>28000</v>
      </c>
      <c r="F45" s="84"/>
      <c r="G45" s="92">
        <v>18940</v>
      </c>
      <c r="N45" s="84" t="s">
        <v>2409</v>
      </c>
      <c r="O45" s="88" t="s">
        <v>2471</v>
      </c>
      <c r="Q45" s="84" t="s">
        <v>2558</v>
      </c>
    </row>
    <row r="46" spans="1:17" ht="14.25" customHeight="1">
      <c r="A46" s="84" t="s">
        <v>251</v>
      </c>
      <c r="B46" s="85" t="s">
        <v>2285</v>
      </c>
      <c r="C46" s="84">
        <v>23240</v>
      </c>
      <c r="D46" s="84">
        <v>23000</v>
      </c>
      <c r="E46" s="84">
        <v>24980</v>
      </c>
      <c r="F46" s="84"/>
      <c r="G46" s="92">
        <v>16100</v>
      </c>
      <c r="N46" s="84" t="s">
        <v>2410</v>
      </c>
      <c r="Q46" s="84" t="s">
        <v>2559</v>
      </c>
    </row>
    <row r="47" spans="1:17" ht="14.25" customHeight="1">
      <c r="A47" s="84" t="s">
        <v>251</v>
      </c>
      <c r="B47" s="85" t="s">
        <v>2286</v>
      </c>
      <c r="C47" s="84">
        <v>27150</v>
      </c>
      <c r="D47" s="84">
        <v>23310</v>
      </c>
      <c r="E47" s="84">
        <v>25150</v>
      </c>
      <c r="F47" s="84"/>
      <c r="G47" s="92">
        <v>16310</v>
      </c>
      <c r="N47" s="84" t="s">
        <v>2411</v>
      </c>
      <c r="Q47" s="84" t="s">
        <v>2560</v>
      </c>
    </row>
    <row r="48" spans="1:17" ht="14.25" customHeight="1">
      <c r="A48" s="84" t="s">
        <v>251</v>
      </c>
      <c r="B48" s="85" t="s">
        <v>2287</v>
      </c>
      <c r="C48" s="84">
        <v>23100</v>
      </c>
      <c r="D48" s="84">
        <v>21110</v>
      </c>
      <c r="E48" s="84">
        <v>23080</v>
      </c>
      <c r="F48" s="84"/>
      <c r="G48" s="92">
        <v>14780</v>
      </c>
      <c r="N48" s="84" t="s">
        <v>2412</v>
      </c>
      <c r="Q48" s="84" t="s">
        <v>2561</v>
      </c>
    </row>
    <row r="49" spans="1:17" ht="14.25" customHeight="1">
      <c r="A49" s="84" t="s">
        <v>251</v>
      </c>
      <c r="B49" s="85" t="s">
        <v>2288</v>
      </c>
      <c r="C49" s="84">
        <v>23400</v>
      </c>
      <c r="D49" s="84">
        <v>22920</v>
      </c>
      <c r="E49" s="84">
        <v>24900</v>
      </c>
      <c r="F49" s="84"/>
      <c r="G49" s="92">
        <v>16040</v>
      </c>
      <c r="N49" s="84" t="s">
        <v>2413</v>
      </c>
      <c r="Q49" s="84" t="s">
        <v>2562</v>
      </c>
    </row>
    <row r="50" spans="1:17" ht="14.25" customHeight="1">
      <c r="A50" s="84" t="s">
        <v>251</v>
      </c>
      <c r="B50" s="85" t="s">
        <v>2289</v>
      </c>
      <c r="C50" s="84">
        <v>21200</v>
      </c>
      <c r="D50" s="84">
        <v>26540</v>
      </c>
      <c r="E50" s="84">
        <v>23200</v>
      </c>
      <c r="F50" s="84"/>
      <c r="G50" s="92">
        <v>18580</v>
      </c>
      <c r="N50" s="84" t="s">
        <v>2414</v>
      </c>
      <c r="Q50" s="85" t="s">
        <v>2563</v>
      </c>
    </row>
    <row r="51" spans="1:17" ht="14.25" customHeight="1">
      <c r="A51" s="84" t="s">
        <v>251</v>
      </c>
      <c r="B51" s="85" t="s">
        <v>2290</v>
      </c>
      <c r="C51" s="84">
        <v>23000</v>
      </c>
      <c r="D51" s="84">
        <v>23460</v>
      </c>
      <c r="E51" s="84">
        <v>25290</v>
      </c>
      <c r="F51" s="84"/>
      <c r="G51" s="92">
        <v>16420</v>
      </c>
      <c r="N51" s="84" t="s">
        <v>2415</v>
      </c>
      <c r="Q51" s="88" t="s">
        <v>2564</v>
      </c>
    </row>
    <row r="52" spans="1:17" ht="14.25" customHeight="1">
      <c r="A52" s="84" t="s">
        <v>251</v>
      </c>
      <c r="B52" s="85" t="s">
        <v>2291</v>
      </c>
      <c r="C52" s="84">
        <v>26660</v>
      </c>
      <c r="D52" s="84">
        <v>22350</v>
      </c>
      <c r="E52" s="84">
        <v>22920</v>
      </c>
      <c r="F52" s="84"/>
      <c r="G52" s="92">
        <v>15640</v>
      </c>
      <c r="N52" s="84" t="s">
        <v>2416</v>
      </c>
    </row>
    <row r="53" spans="1:17" ht="14.25" customHeight="1">
      <c r="A53" s="84" t="s">
        <v>251</v>
      </c>
      <c r="B53" s="85" t="s">
        <v>2292</v>
      </c>
      <c r="C53" s="84">
        <v>23580</v>
      </c>
      <c r="D53" s="84"/>
      <c r="E53" s="84">
        <v>24280</v>
      </c>
      <c r="F53" s="84"/>
      <c r="G53" s="92"/>
      <c r="N53" s="84" t="s">
        <v>2417</v>
      </c>
    </row>
    <row r="54" spans="1:17" ht="14.25" customHeight="1">
      <c r="A54" s="93" t="s">
        <v>251</v>
      </c>
      <c r="B54" s="87" t="s">
        <v>2293</v>
      </c>
      <c r="C54" s="88">
        <v>22460</v>
      </c>
      <c r="D54" s="88"/>
      <c r="E54" s="88"/>
      <c r="F54" s="88"/>
      <c r="G54" s="94"/>
      <c r="N54" s="84" t="s">
        <v>2418</v>
      </c>
    </row>
    <row r="55" spans="1:17" ht="14.25" customHeight="1">
      <c r="A55" s="82" t="s">
        <v>259</v>
      </c>
      <c r="B55" s="83" t="s">
        <v>2294</v>
      </c>
      <c r="C55" s="84">
        <v>21970</v>
      </c>
      <c r="D55" s="84">
        <v>20370</v>
      </c>
      <c r="E55" s="84">
        <v>20180</v>
      </c>
      <c r="F55" s="84">
        <v>5730</v>
      </c>
      <c r="G55" s="84">
        <v>13820</v>
      </c>
      <c r="N55" s="84" t="s">
        <v>2419</v>
      </c>
    </row>
    <row r="56" spans="1:17" ht="14.25" customHeight="1">
      <c r="A56" s="84" t="s">
        <v>259</v>
      </c>
      <c r="B56" s="84" t="s">
        <v>2295</v>
      </c>
      <c r="C56" s="84">
        <v>20470</v>
      </c>
      <c r="D56" s="84">
        <v>20700</v>
      </c>
      <c r="E56" s="84">
        <v>20380</v>
      </c>
      <c r="F56" s="84">
        <v>4760</v>
      </c>
      <c r="G56" s="84">
        <v>14050</v>
      </c>
      <c r="N56" s="84" t="s">
        <v>2420</v>
      </c>
    </row>
    <row r="57" spans="1:17" ht="14.25" customHeight="1">
      <c r="A57" s="84" t="s">
        <v>259</v>
      </c>
      <c r="B57" s="84" t="s">
        <v>2296</v>
      </c>
      <c r="C57" s="84">
        <v>20790</v>
      </c>
      <c r="D57" s="84">
        <v>21370</v>
      </c>
      <c r="E57" s="84">
        <v>20890</v>
      </c>
      <c r="F57" s="84">
        <v>4910</v>
      </c>
      <c r="G57" s="84">
        <v>14510</v>
      </c>
      <c r="N57" s="84" t="s">
        <v>2421</v>
      </c>
    </row>
    <row r="58" spans="1:17" ht="14.25" customHeight="1">
      <c r="A58" s="84" t="s">
        <v>259</v>
      </c>
      <c r="B58" s="84" t="s">
        <v>2297</v>
      </c>
      <c r="C58" s="84">
        <v>21460</v>
      </c>
      <c r="D58" s="84">
        <v>20920</v>
      </c>
      <c r="E58" s="84">
        <v>23410</v>
      </c>
      <c r="F58" s="84">
        <v>5100</v>
      </c>
      <c r="G58" s="84">
        <v>14200</v>
      </c>
      <c r="N58" s="84" t="s">
        <v>2422</v>
      </c>
    </row>
    <row r="59" spans="1:17" ht="14.25" customHeight="1">
      <c r="A59" s="84" t="s">
        <v>259</v>
      </c>
      <c r="B59" s="84" t="s">
        <v>2298</v>
      </c>
      <c r="C59" s="84">
        <v>21000</v>
      </c>
      <c r="D59" s="84">
        <v>21550</v>
      </c>
      <c r="E59" s="84">
        <v>21150</v>
      </c>
      <c r="F59" s="84">
        <v>5250</v>
      </c>
      <c r="G59" s="84">
        <v>14630</v>
      </c>
      <c r="N59" s="84" t="s">
        <v>2423</v>
      </c>
    </row>
    <row r="60" spans="1:17" ht="14.25" customHeight="1">
      <c r="A60" s="84" t="s">
        <v>259</v>
      </c>
      <c r="B60" s="84" t="s">
        <v>2299</v>
      </c>
      <c r="C60" s="84">
        <v>21640</v>
      </c>
      <c r="D60" s="84">
        <v>21260</v>
      </c>
      <c r="E60" s="84">
        <v>24040</v>
      </c>
      <c r="F60" s="84">
        <v>4470</v>
      </c>
      <c r="G60" s="84">
        <v>14430</v>
      </c>
      <c r="N60" s="84" t="s">
        <v>2424</v>
      </c>
    </row>
    <row r="61" spans="1:17" ht="14.25" customHeight="1">
      <c r="A61" s="84" t="s">
        <v>259</v>
      </c>
      <c r="B61" s="84" t="s">
        <v>2300</v>
      </c>
      <c r="C61" s="84">
        <v>21330</v>
      </c>
      <c r="D61" s="84">
        <v>18640</v>
      </c>
      <c r="E61" s="84">
        <v>21190</v>
      </c>
      <c r="F61" s="84">
        <v>4180</v>
      </c>
      <c r="G61" s="84">
        <v>12650</v>
      </c>
      <c r="N61" s="84" t="s">
        <v>2425</v>
      </c>
    </row>
    <row r="62" spans="1:17" ht="14.25" customHeight="1">
      <c r="A62" s="84" t="s">
        <v>259</v>
      </c>
      <c r="B62" s="84" t="s">
        <v>2301</v>
      </c>
      <c r="C62" s="84">
        <v>18710</v>
      </c>
      <c r="D62" s="84">
        <v>19400</v>
      </c>
      <c r="E62" s="84">
        <v>23750</v>
      </c>
      <c r="F62" s="84">
        <v>4860</v>
      </c>
      <c r="G62" s="84">
        <v>13170</v>
      </c>
      <c r="N62" s="84" t="s">
        <v>2426</v>
      </c>
    </row>
    <row r="63" spans="1:17" ht="14.25" customHeight="1">
      <c r="A63" s="84" t="s">
        <v>259</v>
      </c>
      <c r="B63" s="84" t="s">
        <v>2302</v>
      </c>
      <c r="C63" s="84">
        <v>19480</v>
      </c>
      <c r="D63" s="84">
        <v>16830</v>
      </c>
      <c r="E63" s="84">
        <v>21590</v>
      </c>
      <c r="F63" s="84">
        <v>4560</v>
      </c>
      <c r="G63" s="84">
        <v>11420</v>
      </c>
      <c r="N63" s="84" t="s">
        <v>2427</v>
      </c>
    </row>
    <row r="64" spans="1:17" ht="14.25" customHeight="1">
      <c r="A64" s="84" t="s">
        <v>259</v>
      </c>
      <c r="B64" s="84" t="s">
        <v>2303</v>
      </c>
      <c r="C64" s="84">
        <v>16920</v>
      </c>
      <c r="D64" s="84">
        <v>19190</v>
      </c>
      <c r="E64" s="84">
        <v>22200</v>
      </c>
      <c r="F64" s="84">
        <v>4390</v>
      </c>
      <c r="G64" s="84">
        <v>13030</v>
      </c>
      <c r="N64" s="88" t="s">
        <v>2428</v>
      </c>
    </row>
    <row r="65" spans="1:7" s="73" customFormat="1" ht="14.25" customHeight="1">
      <c r="A65" s="84" t="s">
        <v>259</v>
      </c>
      <c r="B65" s="84" t="s">
        <v>2304</v>
      </c>
      <c r="C65" s="84">
        <v>19290</v>
      </c>
      <c r="D65" s="84">
        <v>17020</v>
      </c>
      <c r="E65" s="84">
        <v>19880</v>
      </c>
      <c r="F65" s="84">
        <v>4070</v>
      </c>
      <c r="G65" s="84">
        <v>11550</v>
      </c>
    </row>
    <row r="66" spans="1:7" s="73" customFormat="1" ht="14.25" customHeight="1">
      <c r="A66" s="84" t="s">
        <v>259</v>
      </c>
      <c r="B66" s="84" t="s">
        <v>2305</v>
      </c>
      <c r="C66" s="84">
        <v>17090</v>
      </c>
      <c r="D66" s="84">
        <v>18340</v>
      </c>
      <c r="E66" s="84">
        <v>21830</v>
      </c>
      <c r="F66" s="84">
        <v>4690</v>
      </c>
      <c r="G66" s="84">
        <v>12450</v>
      </c>
    </row>
    <row r="67" spans="1:7" s="73" customFormat="1" ht="14.25" customHeight="1">
      <c r="A67" s="84" t="s">
        <v>259</v>
      </c>
      <c r="B67" s="84" t="s">
        <v>2306</v>
      </c>
      <c r="C67" s="84">
        <v>18420</v>
      </c>
      <c r="D67" s="84">
        <v>16360</v>
      </c>
      <c r="E67" s="84">
        <v>20020</v>
      </c>
      <c r="F67" s="84">
        <v>5150</v>
      </c>
      <c r="G67" s="84">
        <v>11110</v>
      </c>
    </row>
    <row r="68" spans="1:7" s="73" customFormat="1" ht="14.25" customHeight="1">
      <c r="A68" s="84" t="s">
        <v>259</v>
      </c>
      <c r="B68" s="84" t="s">
        <v>2307</v>
      </c>
      <c r="C68" s="84">
        <v>16450</v>
      </c>
      <c r="D68" s="84">
        <v>18430</v>
      </c>
      <c r="E68" s="84">
        <v>21010</v>
      </c>
      <c r="F68" s="84">
        <v>4720</v>
      </c>
      <c r="G68" s="84">
        <v>12510</v>
      </c>
    </row>
    <row r="69" spans="1:7" s="73" customFormat="1" ht="14.25" customHeight="1">
      <c r="A69" s="84" t="s">
        <v>259</v>
      </c>
      <c r="B69" s="84" t="s">
        <v>2308</v>
      </c>
      <c r="C69" s="84">
        <v>18510</v>
      </c>
      <c r="D69" s="84">
        <v>16300</v>
      </c>
      <c r="E69" s="84">
        <v>18830</v>
      </c>
      <c r="F69" s="84">
        <v>5400</v>
      </c>
      <c r="G69" s="84">
        <v>11070</v>
      </c>
    </row>
    <row r="70" spans="1:7" s="73" customFormat="1" ht="14.25" customHeight="1">
      <c r="A70" s="84" t="s">
        <v>259</v>
      </c>
      <c r="B70" s="84" t="s">
        <v>2309</v>
      </c>
      <c r="C70" s="84">
        <v>16370</v>
      </c>
      <c r="D70" s="84">
        <v>18620</v>
      </c>
      <c r="E70" s="84">
        <v>21100</v>
      </c>
      <c r="F70" s="84">
        <v>5700</v>
      </c>
      <c r="G70" s="84">
        <v>12640</v>
      </c>
    </row>
    <row r="71" spans="1:7" s="73" customFormat="1" ht="14.25" customHeight="1">
      <c r="A71" s="84" t="s">
        <v>259</v>
      </c>
      <c r="B71" s="84" t="s">
        <v>2310</v>
      </c>
      <c r="C71" s="84">
        <v>18700</v>
      </c>
      <c r="D71" s="84">
        <v>16290</v>
      </c>
      <c r="E71" s="84">
        <v>18760</v>
      </c>
      <c r="F71" s="84">
        <v>4780</v>
      </c>
      <c r="G71" s="84">
        <v>11050</v>
      </c>
    </row>
    <row r="72" spans="1:7" s="73" customFormat="1" ht="14.25" customHeight="1">
      <c r="A72" s="84" t="s">
        <v>259</v>
      </c>
      <c r="B72" s="84" t="s">
        <v>2311</v>
      </c>
      <c r="C72" s="84">
        <v>16340</v>
      </c>
      <c r="D72" s="84">
        <v>17520</v>
      </c>
      <c r="E72" s="84">
        <v>21170</v>
      </c>
      <c r="F72" s="84"/>
      <c r="G72" s="84">
        <v>11900</v>
      </c>
    </row>
    <row r="73" spans="1:7" s="73" customFormat="1" ht="14.25" customHeight="1">
      <c r="A73" s="84" t="s">
        <v>259</v>
      </c>
      <c r="B73" s="84" t="s">
        <v>2312</v>
      </c>
      <c r="C73" s="84">
        <v>17610</v>
      </c>
      <c r="D73" s="84">
        <v>18520</v>
      </c>
      <c r="E73" s="84">
        <v>18720</v>
      </c>
      <c r="F73" s="84"/>
      <c r="G73" s="84">
        <v>12570</v>
      </c>
    </row>
    <row r="74" spans="1:7" s="73" customFormat="1" ht="14.25" customHeight="1">
      <c r="A74" s="84" t="s">
        <v>259</v>
      </c>
      <c r="B74" s="84" t="s">
        <v>2313</v>
      </c>
      <c r="C74" s="84">
        <v>18600</v>
      </c>
      <c r="D74" s="84">
        <v>16480</v>
      </c>
      <c r="E74" s="84">
        <v>20100</v>
      </c>
      <c r="F74" s="84"/>
      <c r="G74" s="84">
        <v>11190</v>
      </c>
    </row>
    <row r="75" spans="1:7" s="73" customFormat="1" ht="14.25" customHeight="1">
      <c r="A75" s="84" t="s">
        <v>259</v>
      </c>
      <c r="B75" s="84" t="s">
        <v>2314</v>
      </c>
      <c r="C75" s="84">
        <v>16570</v>
      </c>
      <c r="D75" s="84">
        <v>17530</v>
      </c>
      <c r="E75" s="84">
        <v>21030</v>
      </c>
      <c r="F75" s="84"/>
      <c r="G75" s="84">
        <v>11900</v>
      </c>
    </row>
    <row r="76" spans="1:7" s="73" customFormat="1" ht="14.25" customHeight="1">
      <c r="A76" s="84" t="s">
        <v>259</v>
      </c>
      <c r="B76" s="84" t="s">
        <v>2315</v>
      </c>
      <c r="C76" s="84">
        <v>17610</v>
      </c>
      <c r="D76" s="84">
        <v>20800</v>
      </c>
      <c r="E76" s="84">
        <v>18920</v>
      </c>
      <c r="F76" s="84"/>
      <c r="G76" s="84">
        <v>14120</v>
      </c>
    </row>
    <row r="77" spans="1:7" s="73" customFormat="1" ht="14.25" customHeight="1">
      <c r="A77" s="84" t="s">
        <v>259</v>
      </c>
      <c r="B77" s="84" t="s">
        <v>2316</v>
      </c>
      <c r="C77" s="84">
        <v>20890</v>
      </c>
      <c r="D77" s="84">
        <v>19740</v>
      </c>
      <c r="E77" s="84">
        <v>20110</v>
      </c>
      <c r="F77" s="84"/>
      <c r="G77" s="84">
        <v>13400</v>
      </c>
    </row>
    <row r="78" spans="1:7" s="73" customFormat="1" ht="14.25" customHeight="1">
      <c r="A78" s="84" t="s">
        <v>259</v>
      </c>
      <c r="B78" s="84" t="s">
        <v>2317</v>
      </c>
      <c r="C78" s="84">
        <v>19820</v>
      </c>
      <c r="D78" s="84">
        <v>19780</v>
      </c>
      <c r="E78" s="84">
        <v>18560</v>
      </c>
      <c r="F78" s="84"/>
      <c r="G78" s="84">
        <v>13430</v>
      </c>
    </row>
    <row r="79" spans="1:7" s="73" customFormat="1" ht="14.25" customHeight="1">
      <c r="A79" s="84" t="s">
        <v>259</v>
      </c>
      <c r="B79" s="84" t="s">
        <v>2318</v>
      </c>
      <c r="C79" s="84">
        <v>21660</v>
      </c>
      <c r="D79" s="84">
        <v>18000</v>
      </c>
      <c r="E79" s="84">
        <v>22570</v>
      </c>
      <c r="F79" s="84"/>
      <c r="G79" s="84">
        <v>12220</v>
      </c>
    </row>
    <row r="80" spans="1:7" s="73" customFormat="1" ht="14.25" customHeight="1">
      <c r="A80" s="84" t="s">
        <v>259</v>
      </c>
      <c r="B80" s="84" t="s">
        <v>2319</v>
      </c>
      <c r="C80" s="84">
        <v>19850</v>
      </c>
      <c r="D80" s="84"/>
      <c r="E80" s="84">
        <v>21700</v>
      </c>
      <c r="F80" s="84"/>
      <c r="G80" s="84"/>
    </row>
    <row r="81" spans="1:7" s="73" customFormat="1" ht="14.25" customHeight="1">
      <c r="A81" s="84" t="s">
        <v>259</v>
      </c>
      <c r="B81" s="84" t="s">
        <v>2320</v>
      </c>
      <c r="C81" s="84">
        <v>18080</v>
      </c>
      <c r="D81" s="84"/>
      <c r="E81" s="84">
        <v>20900</v>
      </c>
      <c r="F81" s="84"/>
      <c r="G81" s="84"/>
    </row>
    <row r="82" spans="1:7" s="73" customFormat="1" ht="14.25" customHeight="1">
      <c r="A82" s="84" t="s">
        <v>259</v>
      </c>
      <c r="B82" s="84" t="s">
        <v>2321</v>
      </c>
      <c r="C82" s="84"/>
      <c r="D82" s="84"/>
      <c r="E82" s="84">
        <v>20840</v>
      </c>
      <c r="F82" s="84"/>
      <c r="G82" s="84"/>
    </row>
    <row r="83" spans="1:7" s="73" customFormat="1" ht="14.25" customHeight="1">
      <c r="A83" s="84" t="s">
        <v>259</v>
      </c>
      <c r="B83" s="84" t="s">
        <v>2322</v>
      </c>
      <c r="C83" s="84"/>
      <c r="D83" s="84"/>
      <c r="E83" s="84"/>
      <c r="F83" s="84">
        <v>4770</v>
      </c>
      <c r="G83" s="84"/>
    </row>
    <row r="84" spans="1:7" s="73" customFormat="1" ht="14.25" customHeight="1">
      <c r="A84" s="84" t="s">
        <v>259</v>
      </c>
      <c r="B84" s="84" t="s">
        <v>2323</v>
      </c>
      <c r="C84" s="84"/>
      <c r="D84" s="84"/>
      <c r="E84" s="84"/>
      <c r="F84" s="84">
        <v>4600</v>
      </c>
      <c r="G84" s="84"/>
    </row>
    <row r="85" spans="1:7" s="73" customFormat="1" ht="14.25" customHeight="1">
      <c r="A85" s="84" t="s">
        <v>259</v>
      </c>
      <c r="B85" s="84" t="s">
        <v>2324</v>
      </c>
      <c r="C85" s="84"/>
      <c r="D85" s="84"/>
      <c r="E85" s="84"/>
      <c r="F85" s="84">
        <v>4680</v>
      </c>
      <c r="G85" s="84"/>
    </row>
    <row r="86" spans="1:7" s="73" customFormat="1" ht="14.25" customHeight="1">
      <c r="A86" s="86" t="s">
        <v>259</v>
      </c>
      <c r="B86" s="89" t="s">
        <v>2325</v>
      </c>
      <c r="C86" s="90">
        <v>16610</v>
      </c>
      <c r="D86" s="90">
        <v>16540</v>
      </c>
      <c r="E86" s="90">
        <v>18850</v>
      </c>
      <c r="F86" s="90"/>
      <c r="G86" s="90">
        <v>11220</v>
      </c>
    </row>
    <row r="87" spans="1:7" s="73" customFormat="1" ht="14.25" customHeight="1">
      <c r="A87" s="82" t="s">
        <v>267</v>
      </c>
      <c r="B87" s="83" t="s">
        <v>2326</v>
      </c>
      <c r="C87" s="83">
        <v>15240</v>
      </c>
      <c r="D87" s="83">
        <v>15170</v>
      </c>
      <c r="E87" s="83">
        <v>18260</v>
      </c>
      <c r="F87" s="83">
        <v>3830</v>
      </c>
      <c r="G87" s="91">
        <v>10020</v>
      </c>
    </row>
    <row r="88" spans="1:7" s="73" customFormat="1" ht="14.25" customHeight="1">
      <c r="A88" s="84" t="s">
        <v>267</v>
      </c>
      <c r="B88" s="84" t="s">
        <v>2327</v>
      </c>
      <c r="C88" s="84">
        <v>17310</v>
      </c>
      <c r="D88" s="84">
        <v>17220</v>
      </c>
      <c r="E88" s="84">
        <v>18610</v>
      </c>
      <c r="F88" s="84">
        <v>3990</v>
      </c>
      <c r="G88" s="92">
        <v>11380</v>
      </c>
    </row>
    <row r="89" spans="1:7" s="73" customFormat="1" ht="14.25" customHeight="1">
      <c r="A89" s="84" t="s">
        <v>267</v>
      </c>
      <c r="B89" s="84" t="s">
        <v>2328</v>
      </c>
      <c r="C89" s="84">
        <v>15600</v>
      </c>
      <c r="D89" s="84">
        <v>15550</v>
      </c>
      <c r="E89" s="84">
        <v>19200</v>
      </c>
      <c r="F89" s="84">
        <v>4110</v>
      </c>
      <c r="G89" s="92">
        <v>10270</v>
      </c>
    </row>
    <row r="90" spans="1:7" s="73" customFormat="1" ht="14.25" customHeight="1">
      <c r="A90" s="84" t="s">
        <v>267</v>
      </c>
      <c r="B90" s="84" t="s">
        <v>2329</v>
      </c>
      <c r="C90" s="84">
        <v>17330</v>
      </c>
      <c r="D90" s="84">
        <v>17240</v>
      </c>
      <c r="E90" s="84">
        <v>18570</v>
      </c>
      <c r="F90" s="84">
        <v>4070</v>
      </c>
      <c r="G90" s="92">
        <v>11390</v>
      </c>
    </row>
    <row r="91" spans="1:7" s="73" customFormat="1" ht="14.25" customHeight="1">
      <c r="A91" s="84" t="s">
        <v>267</v>
      </c>
      <c r="B91" s="84" t="s">
        <v>2330</v>
      </c>
      <c r="C91" s="84">
        <v>16330</v>
      </c>
      <c r="D91" s="84">
        <v>16260</v>
      </c>
      <c r="E91" s="84">
        <v>16800</v>
      </c>
      <c r="F91" s="84">
        <v>3410</v>
      </c>
      <c r="G91" s="92">
        <v>10740</v>
      </c>
    </row>
    <row r="92" spans="1:7" s="73" customFormat="1" ht="14.25" customHeight="1">
      <c r="A92" s="84" t="s">
        <v>267</v>
      </c>
      <c r="B92" s="84" t="s">
        <v>2331</v>
      </c>
      <c r="C92" s="84">
        <v>15570</v>
      </c>
      <c r="D92" s="84">
        <v>15500</v>
      </c>
      <c r="E92" s="84">
        <v>17360</v>
      </c>
      <c r="F92" s="84">
        <v>3510</v>
      </c>
      <c r="G92" s="92">
        <v>10240</v>
      </c>
    </row>
    <row r="93" spans="1:7" s="73" customFormat="1" ht="14.25" customHeight="1">
      <c r="A93" s="84" t="s">
        <v>267</v>
      </c>
      <c r="B93" s="84" t="s">
        <v>2332</v>
      </c>
      <c r="C93" s="84">
        <v>14000</v>
      </c>
      <c r="D93" s="84">
        <v>13930</v>
      </c>
      <c r="E93" s="84">
        <v>18200</v>
      </c>
      <c r="F93" s="84">
        <v>3640</v>
      </c>
      <c r="G93" s="92">
        <v>9210</v>
      </c>
    </row>
    <row r="94" spans="1:7" s="73" customFormat="1" ht="14.25" customHeight="1">
      <c r="A94" s="84" t="s">
        <v>267</v>
      </c>
      <c r="B94" s="84" t="s">
        <v>2333</v>
      </c>
      <c r="C94" s="84">
        <v>14530</v>
      </c>
      <c r="D94" s="84">
        <v>14470</v>
      </c>
      <c r="E94" s="84">
        <v>18240</v>
      </c>
      <c r="F94" s="84">
        <v>3180</v>
      </c>
      <c r="G94" s="92">
        <v>9560</v>
      </c>
    </row>
    <row r="95" spans="1:7" s="73" customFormat="1" ht="14.25" customHeight="1">
      <c r="A95" s="84" t="s">
        <v>267</v>
      </c>
      <c r="B95" s="84" t="s">
        <v>2334</v>
      </c>
      <c r="C95" s="84">
        <v>17330</v>
      </c>
      <c r="D95" s="84">
        <v>17260</v>
      </c>
      <c r="E95" s="84">
        <v>18420</v>
      </c>
      <c r="F95" s="84">
        <v>3060</v>
      </c>
      <c r="G95" s="92">
        <v>11410</v>
      </c>
    </row>
    <row r="96" spans="1:7" s="73" customFormat="1" ht="14.25" customHeight="1">
      <c r="A96" s="84" t="s">
        <v>267</v>
      </c>
      <c r="B96" s="84" t="s">
        <v>2335</v>
      </c>
      <c r="C96" s="84">
        <v>15030</v>
      </c>
      <c r="D96" s="84">
        <v>14970</v>
      </c>
      <c r="E96" s="84">
        <v>17580</v>
      </c>
      <c r="F96" s="84">
        <v>2970</v>
      </c>
      <c r="G96" s="92">
        <v>9890</v>
      </c>
    </row>
    <row r="97" spans="1:7" s="73" customFormat="1" ht="14.25" customHeight="1">
      <c r="A97" s="84" t="s">
        <v>267</v>
      </c>
      <c r="B97" s="84" t="s">
        <v>2336</v>
      </c>
      <c r="C97" s="84">
        <v>17400</v>
      </c>
      <c r="D97" s="84">
        <v>17330</v>
      </c>
      <c r="E97" s="84">
        <v>16430</v>
      </c>
      <c r="F97" s="84">
        <v>2950</v>
      </c>
      <c r="G97" s="92">
        <v>11450</v>
      </c>
    </row>
    <row r="98" spans="1:7" s="73" customFormat="1" ht="14.25" customHeight="1">
      <c r="A98" s="84" t="s">
        <v>267</v>
      </c>
      <c r="B98" s="84" t="s">
        <v>2337</v>
      </c>
      <c r="C98" s="84">
        <v>15200</v>
      </c>
      <c r="D98" s="84">
        <v>15120</v>
      </c>
      <c r="E98" s="84">
        <v>17550</v>
      </c>
      <c r="F98" s="84">
        <v>3080</v>
      </c>
      <c r="G98" s="92">
        <v>9990</v>
      </c>
    </row>
    <row r="99" spans="1:7" s="73" customFormat="1" ht="14.25" customHeight="1">
      <c r="A99" s="84" t="s">
        <v>267</v>
      </c>
      <c r="B99" s="84" t="s">
        <v>2338</v>
      </c>
      <c r="C99" s="84">
        <v>17520</v>
      </c>
      <c r="D99" s="84">
        <v>17430</v>
      </c>
      <c r="E99" s="84">
        <v>16350</v>
      </c>
      <c r="F99" s="84">
        <v>3260</v>
      </c>
      <c r="G99" s="92">
        <v>11510</v>
      </c>
    </row>
    <row r="100" spans="1:7" s="73" customFormat="1" ht="14.25" customHeight="1">
      <c r="A100" s="84" t="s">
        <v>267</v>
      </c>
      <c r="B100" s="84" t="s">
        <v>2339</v>
      </c>
      <c r="C100" s="84">
        <v>15340</v>
      </c>
      <c r="D100" s="84">
        <v>15260</v>
      </c>
      <c r="E100" s="84">
        <v>15930</v>
      </c>
      <c r="F100" s="84">
        <v>2740</v>
      </c>
      <c r="G100" s="92">
        <v>10080</v>
      </c>
    </row>
    <row r="101" spans="1:7" s="73" customFormat="1" ht="14.25" customHeight="1">
      <c r="A101" s="84" t="s">
        <v>267</v>
      </c>
      <c r="B101" s="84" t="s">
        <v>2340</v>
      </c>
      <c r="C101" s="84">
        <v>14620</v>
      </c>
      <c r="D101" s="84">
        <v>14560</v>
      </c>
      <c r="E101" s="84">
        <v>15570</v>
      </c>
      <c r="F101" s="84">
        <v>3500</v>
      </c>
      <c r="G101" s="92">
        <v>9630</v>
      </c>
    </row>
    <row r="102" spans="1:7" s="73" customFormat="1" ht="14.25" customHeight="1">
      <c r="A102" s="84" t="s">
        <v>267</v>
      </c>
      <c r="B102" s="84" t="s">
        <v>2341</v>
      </c>
      <c r="C102" s="84">
        <v>13680</v>
      </c>
      <c r="D102" s="84">
        <v>13610</v>
      </c>
      <c r="E102" s="84">
        <v>15690</v>
      </c>
      <c r="F102" s="84">
        <v>2870</v>
      </c>
      <c r="G102" s="92">
        <v>8990</v>
      </c>
    </row>
    <row r="103" spans="1:7" s="73" customFormat="1" ht="14.25" customHeight="1">
      <c r="A103" s="84" t="s">
        <v>267</v>
      </c>
      <c r="B103" s="84" t="s">
        <v>2342</v>
      </c>
      <c r="C103" s="84">
        <v>14620</v>
      </c>
      <c r="D103" s="84">
        <v>14540</v>
      </c>
      <c r="E103" s="84">
        <v>15240</v>
      </c>
      <c r="F103" s="84">
        <v>2840</v>
      </c>
      <c r="G103" s="92">
        <v>9610</v>
      </c>
    </row>
    <row r="104" spans="1:7" s="73" customFormat="1" ht="14.25" customHeight="1">
      <c r="A104" s="84" t="s">
        <v>267</v>
      </c>
      <c r="B104" s="84" t="s">
        <v>2343</v>
      </c>
      <c r="C104" s="84">
        <v>13610</v>
      </c>
      <c r="D104" s="84">
        <v>13540</v>
      </c>
      <c r="E104" s="84">
        <v>15750</v>
      </c>
      <c r="F104" s="84">
        <v>2770</v>
      </c>
      <c r="G104" s="92">
        <v>8940</v>
      </c>
    </row>
    <row r="105" spans="1:7" s="73" customFormat="1" ht="14.25" customHeight="1">
      <c r="A105" s="84" t="s">
        <v>267</v>
      </c>
      <c r="B105" s="84" t="s">
        <v>2344</v>
      </c>
      <c r="C105" s="84">
        <v>13310</v>
      </c>
      <c r="D105" s="84">
        <v>13240</v>
      </c>
      <c r="E105" s="84">
        <v>16280</v>
      </c>
      <c r="F105" s="84">
        <v>3210</v>
      </c>
      <c r="G105" s="92">
        <v>8750</v>
      </c>
    </row>
    <row r="106" spans="1:7" s="73" customFormat="1" ht="14.25" customHeight="1">
      <c r="A106" s="84" t="s">
        <v>267</v>
      </c>
      <c r="B106" s="84" t="s">
        <v>2345</v>
      </c>
      <c r="C106" s="84">
        <v>13010</v>
      </c>
      <c r="D106" s="84">
        <v>12930</v>
      </c>
      <c r="E106" s="84">
        <v>14960</v>
      </c>
      <c r="F106" s="84">
        <v>3530</v>
      </c>
      <c r="G106" s="92">
        <v>8550</v>
      </c>
    </row>
    <row r="107" spans="1:7" s="73" customFormat="1" ht="14.25" customHeight="1">
      <c r="A107" s="84" t="s">
        <v>267</v>
      </c>
      <c r="B107" s="84" t="s">
        <v>2346</v>
      </c>
      <c r="C107" s="84">
        <v>13070</v>
      </c>
      <c r="D107" s="84">
        <v>13000</v>
      </c>
      <c r="E107" s="84">
        <v>15910</v>
      </c>
      <c r="F107" s="84">
        <v>3990</v>
      </c>
      <c r="G107" s="92">
        <v>8580</v>
      </c>
    </row>
    <row r="108" spans="1:7" s="73" customFormat="1" ht="14.25" customHeight="1">
      <c r="A108" s="84" t="s">
        <v>267</v>
      </c>
      <c r="B108" s="84" t="s">
        <v>2347</v>
      </c>
      <c r="C108" s="84">
        <v>12640</v>
      </c>
      <c r="D108" s="84">
        <v>12580</v>
      </c>
      <c r="E108" s="84">
        <v>15730</v>
      </c>
      <c r="F108" s="84"/>
      <c r="G108" s="92">
        <v>8310</v>
      </c>
    </row>
    <row r="109" spans="1:7" s="73" customFormat="1" ht="14.25" customHeight="1">
      <c r="A109" s="84" t="s">
        <v>267</v>
      </c>
      <c r="B109" s="84" t="s">
        <v>2348</v>
      </c>
      <c r="C109" s="84">
        <v>13130</v>
      </c>
      <c r="D109" s="84">
        <v>13070</v>
      </c>
      <c r="E109" s="84">
        <v>15000</v>
      </c>
      <c r="F109" s="84"/>
      <c r="G109" s="92">
        <v>8630</v>
      </c>
    </row>
    <row r="110" spans="1:7" s="73" customFormat="1" ht="14.25" customHeight="1">
      <c r="A110" s="84" t="s">
        <v>267</v>
      </c>
      <c r="B110" s="84" t="s">
        <v>2349</v>
      </c>
      <c r="C110" s="84">
        <v>13560</v>
      </c>
      <c r="D110" s="84">
        <v>13490</v>
      </c>
      <c r="E110" s="84">
        <v>16300</v>
      </c>
      <c r="F110" s="84"/>
      <c r="G110" s="92">
        <v>8920</v>
      </c>
    </row>
    <row r="111" spans="1:7" s="73" customFormat="1" ht="14.25" customHeight="1">
      <c r="A111" s="84" t="s">
        <v>267</v>
      </c>
      <c r="B111" s="84" t="s">
        <v>2350</v>
      </c>
      <c r="C111" s="84">
        <v>12440</v>
      </c>
      <c r="D111" s="84">
        <v>12380</v>
      </c>
      <c r="E111" s="84">
        <v>17850</v>
      </c>
      <c r="F111" s="84"/>
      <c r="G111" s="92">
        <v>8180</v>
      </c>
    </row>
    <row r="112" spans="1:7" s="73" customFormat="1" ht="14.25" customHeight="1">
      <c r="A112" s="84" t="s">
        <v>267</v>
      </c>
      <c r="B112" s="84" t="s">
        <v>2351</v>
      </c>
      <c r="C112" s="84">
        <v>13260</v>
      </c>
      <c r="D112" s="84">
        <v>13180</v>
      </c>
      <c r="E112" s="84">
        <v>19740</v>
      </c>
      <c r="F112" s="84"/>
      <c r="G112" s="92">
        <v>8710</v>
      </c>
    </row>
    <row r="113" spans="1:7" s="73" customFormat="1" ht="14.25" customHeight="1">
      <c r="A113" s="84" t="s">
        <v>267</v>
      </c>
      <c r="B113" s="84" t="s">
        <v>2352</v>
      </c>
      <c r="C113" s="84">
        <v>15520</v>
      </c>
      <c r="D113" s="84">
        <v>15450</v>
      </c>
      <c r="E113" s="84"/>
      <c r="F113" s="84"/>
      <c r="G113" s="92">
        <v>10210</v>
      </c>
    </row>
    <row r="114" spans="1:7" s="73" customFormat="1" ht="14.25" customHeight="1">
      <c r="A114" s="84" t="s">
        <v>267</v>
      </c>
      <c r="B114" s="84" t="s">
        <v>2353</v>
      </c>
      <c r="C114" s="84">
        <v>13110</v>
      </c>
      <c r="D114" s="84">
        <v>13050</v>
      </c>
      <c r="E114" s="84"/>
      <c r="F114" s="84"/>
      <c r="G114" s="92">
        <v>8620</v>
      </c>
    </row>
    <row r="115" spans="1:7" s="73" customFormat="1" ht="14.25" customHeight="1">
      <c r="A115" s="84" t="s">
        <v>267</v>
      </c>
      <c r="B115" s="84" t="s">
        <v>2354</v>
      </c>
      <c r="C115" s="84">
        <v>12460</v>
      </c>
      <c r="D115" s="84">
        <v>12390</v>
      </c>
      <c r="E115" s="84"/>
      <c r="F115" s="84"/>
      <c r="G115" s="92">
        <v>8190</v>
      </c>
    </row>
    <row r="116" spans="1:7" s="73" customFormat="1" ht="14.25" customHeight="1">
      <c r="A116" s="84" t="s">
        <v>267</v>
      </c>
      <c r="B116" s="84" t="s">
        <v>2355</v>
      </c>
      <c r="C116" s="84">
        <v>13580</v>
      </c>
      <c r="D116" s="84">
        <v>13520</v>
      </c>
      <c r="E116" s="84"/>
      <c r="F116" s="84"/>
      <c r="G116" s="92">
        <v>8930</v>
      </c>
    </row>
    <row r="117" spans="1:7" s="73" customFormat="1" ht="14.25" customHeight="1">
      <c r="A117" s="84" t="s">
        <v>267</v>
      </c>
      <c r="B117" s="84" t="s">
        <v>2356</v>
      </c>
      <c r="C117" s="84">
        <v>17120</v>
      </c>
      <c r="D117" s="84">
        <v>17040</v>
      </c>
      <c r="E117" s="84"/>
      <c r="F117" s="84"/>
      <c r="G117" s="92">
        <v>11260</v>
      </c>
    </row>
    <row r="118" spans="1:7" s="73" customFormat="1" ht="14.25" customHeight="1">
      <c r="A118" s="84" t="s">
        <v>267</v>
      </c>
      <c r="B118" s="84" t="s">
        <v>2357</v>
      </c>
      <c r="C118" s="84">
        <v>14860</v>
      </c>
      <c r="D118" s="84">
        <v>14790</v>
      </c>
      <c r="E118" s="84"/>
      <c r="F118" s="84"/>
      <c r="G118" s="92">
        <v>9780</v>
      </c>
    </row>
    <row r="119" spans="1:7" s="73" customFormat="1" ht="14.25" customHeight="1">
      <c r="A119" s="84" t="s">
        <v>267</v>
      </c>
      <c r="B119" s="84" t="s">
        <v>2358</v>
      </c>
      <c r="C119" s="84">
        <v>16470</v>
      </c>
      <c r="D119" s="84">
        <v>16400</v>
      </c>
      <c r="E119" s="84"/>
      <c r="F119" s="84"/>
      <c r="G119" s="92">
        <v>10840</v>
      </c>
    </row>
    <row r="120" spans="1:7" s="73" customFormat="1" ht="14.25" customHeight="1">
      <c r="A120" s="84" t="s">
        <v>267</v>
      </c>
      <c r="B120" s="84" t="s">
        <v>2359</v>
      </c>
      <c r="C120" s="84"/>
      <c r="D120" s="84"/>
      <c r="E120" s="84"/>
      <c r="F120" s="84">
        <v>4160</v>
      </c>
      <c r="G120" s="92"/>
    </row>
    <row r="121" spans="1:7" s="73" customFormat="1" ht="14.25" customHeight="1">
      <c r="A121" s="84" t="s">
        <v>267</v>
      </c>
      <c r="B121" s="84" t="s">
        <v>2360</v>
      </c>
      <c r="C121" s="84"/>
      <c r="D121" s="84"/>
      <c r="E121" s="84"/>
      <c r="F121" s="84">
        <v>3880</v>
      </c>
      <c r="G121" s="92"/>
    </row>
    <row r="122" spans="1:7" s="73" customFormat="1" ht="14.25" customHeight="1">
      <c r="A122" s="84" t="s">
        <v>267</v>
      </c>
      <c r="B122" s="84" t="s">
        <v>2361</v>
      </c>
      <c r="C122" s="84">
        <v>13750</v>
      </c>
      <c r="D122" s="84">
        <v>13680</v>
      </c>
      <c r="E122" s="84">
        <v>16460</v>
      </c>
      <c r="F122" s="84">
        <v>2880</v>
      </c>
      <c r="G122" s="92">
        <v>9040</v>
      </c>
    </row>
    <row r="123" spans="1:7" s="73" customFormat="1" ht="14.25" customHeight="1">
      <c r="A123" s="84" t="s">
        <v>267</v>
      </c>
      <c r="B123" s="84" t="s">
        <v>2362</v>
      </c>
      <c r="C123" s="84">
        <v>13590</v>
      </c>
      <c r="D123" s="84">
        <v>13520</v>
      </c>
      <c r="E123" s="84">
        <v>16290</v>
      </c>
      <c r="F123" s="84">
        <v>2790</v>
      </c>
      <c r="G123" s="92">
        <v>8930</v>
      </c>
    </row>
    <row r="124" spans="1:7" s="73" customFormat="1" ht="14.25" customHeight="1">
      <c r="A124" s="84" t="s">
        <v>267</v>
      </c>
      <c r="B124" s="84" t="s">
        <v>2363</v>
      </c>
      <c r="C124" s="84">
        <v>13400</v>
      </c>
      <c r="D124" s="84">
        <v>13320</v>
      </c>
      <c r="E124" s="84">
        <v>16100</v>
      </c>
      <c r="F124" s="84">
        <v>2320</v>
      </c>
      <c r="G124" s="92">
        <v>8800</v>
      </c>
    </row>
    <row r="125" spans="1:7" s="73" customFormat="1" ht="14.25" customHeight="1">
      <c r="A125" s="84" t="s">
        <v>267</v>
      </c>
      <c r="B125" s="84" t="s">
        <v>2364</v>
      </c>
      <c r="C125" s="84">
        <v>12860</v>
      </c>
      <c r="D125" s="84">
        <v>12790</v>
      </c>
      <c r="E125" s="84">
        <v>15370</v>
      </c>
      <c r="F125" s="84">
        <v>2280</v>
      </c>
      <c r="G125" s="92">
        <v>8450</v>
      </c>
    </row>
    <row r="126" spans="1:7" s="73" customFormat="1" ht="14.25" customHeight="1">
      <c r="A126" s="93" t="s">
        <v>267</v>
      </c>
      <c r="B126" s="88" t="s">
        <v>2365</v>
      </c>
      <c r="C126" s="88">
        <v>12960</v>
      </c>
      <c r="D126" s="88">
        <v>12890</v>
      </c>
      <c r="E126" s="88">
        <v>15530</v>
      </c>
      <c r="F126" s="88">
        <v>2910</v>
      </c>
      <c r="G126" s="94">
        <v>8520</v>
      </c>
    </row>
    <row r="127" spans="1:7" s="73" customFormat="1" ht="14.25" customHeight="1">
      <c r="A127" s="82" t="s">
        <v>273</v>
      </c>
      <c r="B127" s="83" t="s">
        <v>2366</v>
      </c>
      <c r="C127" s="84">
        <v>12280</v>
      </c>
      <c r="D127" s="84">
        <v>12250</v>
      </c>
      <c r="E127" s="84">
        <v>15130</v>
      </c>
      <c r="F127" s="84">
        <v>2710</v>
      </c>
      <c r="G127" s="84">
        <v>7870</v>
      </c>
    </row>
    <row r="128" spans="1:7" s="73" customFormat="1" ht="14.25" customHeight="1">
      <c r="A128" s="84" t="s">
        <v>273</v>
      </c>
      <c r="B128" s="84" t="s">
        <v>2367</v>
      </c>
      <c r="C128" s="84">
        <v>13180</v>
      </c>
      <c r="D128" s="84">
        <v>13150</v>
      </c>
      <c r="E128" s="84">
        <v>16190</v>
      </c>
      <c r="F128" s="84">
        <v>2820</v>
      </c>
      <c r="G128" s="84">
        <v>8460</v>
      </c>
    </row>
    <row r="129" spans="1:7" s="73" customFormat="1" ht="14.25" customHeight="1">
      <c r="A129" s="84" t="s">
        <v>273</v>
      </c>
      <c r="B129" s="84" t="s">
        <v>2368</v>
      </c>
      <c r="C129" s="84">
        <v>10950</v>
      </c>
      <c r="D129" s="84">
        <v>10920</v>
      </c>
      <c r="E129" s="84">
        <v>13820</v>
      </c>
      <c r="F129" s="84">
        <v>2500</v>
      </c>
      <c r="G129" s="84">
        <v>7020</v>
      </c>
    </row>
    <row r="130" spans="1:7" s="73" customFormat="1" ht="14.25" customHeight="1">
      <c r="A130" s="84" t="s">
        <v>273</v>
      </c>
      <c r="B130" s="84" t="s">
        <v>2369</v>
      </c>
      <c r="C130" s="84">
        <v>10910</v>
      </c>
      <c r="D130" s="84">
        <v>10860</v>
      </c>
      <c r="E130" s="84">
        <v>13730</v>
      </c>
      <c r="F130" s="84">
        <v>2760</v>
      </c>
      <c r="G130" s="84">
        <v>6990</v>
      </c>
    </row>
    <row r="131" spans="1:7" s="73" customFormat="1" ht="14.25" customHeight="1">
      <c r="A131" s="84" t="s">
        <v>273</v>
      </c>
      <c r="B131" s="84" t="s">
        <v>2370</v>
      </c>
      <c r="C131" s="84">
        <v>12910</v>
      </c>
      <c r="D131" s="84">
        <v>12870</v>
      </c>
      <c r="E131" s="84">
        <v>15720</v>
      </c>
      <c r="F131" s="84">
        <v>2750</v>
      </c>
      <c r="G131" s="84">
        <v>8280</v>
      </c>
    </row>
    <row r="132" spans="1:7" s="73" customFormat="1" ht="14.25" customHeight="1">
      <c r="A132" s="84" t="s">
        <v>273</v>
      </c>
      <c r="B132" s="84" t="s">
        <v>2371</v>
      </c>
      <c r="C132" s="84">
        <v>11910</v>
      </c>
      <c r="D132" s="84">
        <v>11860</v>
      </c>
      <c r="E132" s="84">
        <v>14730</v>
      </c>
      <c r="F132" s="84">
        <v>2360</v>
      </c>
      <c r="G132" s="84">
        <v>7630</v>
      </c>
    </row>
    <row r="133" spans="1:7" s="73" customFormat="1" ht="14.25" customHeight="1">
      <c r="A133" s="84" t="s">
        <v>273</v>
      </c>
      <c r="B133" s="84" t="s">
        <v>2372</v>
      </c>
      <c r="C133" s="84">
        <v>12270</v>
      </c>
      <c r="D133" s="84">
        <v>12210</v>
      </c>
      <c r="E133" s="84">
        <v>15010</v>
      </c>
      <c r="F133" s="84">
        <v>2580</v>
      </c>
      <c r="G133" s="84">
        <v>7860</v>
      </c>
    </row>
    <row r="134" spans="1:7" s="73" customFormat="1" ht="14.25" customHeight="1">
      <c r="A134" s="84" t="s">
        <v>273</v>
      </c>
      <c r="B134" s="84" t="s">
        <v>2373</v>
      </c>
      <c r="C134" s="84">
        <v>10800</v>
      </c>
      <c r="D134" s="84">
        <v>10780</v>
      </c>
      <c r="E134" s="84">
        <v>13640</v>
      </c>
      <c r="F134" s="84">
        <v>2110</v>
      </c>
      <c r="G134" s="84">
        <v>6930</v>
      </c>
    </row>
    <row r="135" spans="1:7" s="73" customFormat="1" ht="14.25" customHeight="1">
      <c r="A135" s="84" t="s">
        <v>273</v>
      </c>
      <c r="B135" s="84" t="s">
        <v>2374</v>
      </c>
      <c r="C135" s="84">
        <v>10430</v>
      </c>
      <c r="D135" s="84">
        <v>10390</v>
      </c>
      <c r="E135" s="84">
        <v>13140</v>
      </c>
      <c r="F135" s="84">
        <v>2240</v>
      </c>
      <c r="G135" s="84">
        <v>6680</v>
      </c>
    </row>
    <row r="136" spans="1:7" s="73" customFormat="1" ht="14.25" customHeight="1">
      <c r="A136" s="84" t="s">
        <v>273</v>
      </c>
      <c r="B136" s="84" t="s">
        <v>2375</v>
      </c>
      <c r="C136" s="84">
        <v>11930</v>
      </c>
      <c r="D136" s="84">
        <v>11880</v>
      </c>
      <c r="E136" s="84">
        <v>14770</v>
      </c>
      <c r="F136" s="84">
        <v>1970</v>
      </c>
      <c r="G136" s="84">
        <v>7640</v>
      </c>
    </row>
    <row r="137" spans="1:7" s="73" customFormat="1" ht="14.25" customHeight="1">
      <c r="A137" s="84" t="s">
        <v>273</v>
      </c>
      <c r="B137" s="84" t="s">
        <v>2376</v>
      </c>
      <c r="C137" s="84">
        <v>10470</v>
      </c>
      <c r="D137" s="84">
        <v>10430</v>
      </c>
      <c r="E137" s="84">
        <v>13190</v>
      </c>
      <c r="F137" s="84">
        <v>1990</v>
      </c>
      <c r="G137" s="84">
        <v>6710</v>
      </c>
    </row>
    <row r="138" spans="1:7" s="73" customFormat="1" ht="14.25" customHeight="1">
      <c r="A138" s="84" t="s">
        <v>273</v>
      </c>
      <c r="B138" s="84" t="s">
        <v>2377</v>
      </c>
      <c r="C138" s="84">
        <v>10410</v>
      </c>
      <c r="D138" s="84">
        <v>10380</v>
      </c>
      <c r="E138" s="84">
        <v>13130</v>
      </c>
      <c r="F138" s="84">
        <v>2030</v>
      </c>
      <c r="G138" s="84">
        <v>6680</v>
      </c>
    </row>
    <row r="139" spans="1:7" s="73" customFormat="1" ht="14.25" customHeight="1">
      <c r="A139" s="84" t="s">
        <v>273</v>
      </c>
      <c r="B139" s="84" t="s">
        <v>2378</v>
      </c>
      <c r="C139" s="84">
        <v>9460</v>
      </c>
      <c r="D139" s="84">
        <v>9410</v>
      </c>
      <c r="E139" s="84">
        <v>12050</v>
      </c>
      <c r="F139" s="84">
        <v>2140</v>
      </c>
      <c r="G139" s="84">
        <v>6050</v>
      </c>
    </row>
    <row r="140" spans="1:7" s="73" customFormat="1" ht="14.25" customHeight="1">
      <c r="A140" s="84" t="s">
        <v>273</v>
      </c>
      <c r="B140" s="84" t="s">
        <v>2379</v>
      </c>
      <c r="C140" s="84">
        <v>11030</v>
      </c>
      <c r="D140" s="84">
        <v>10980</v>
      </c>
      <c r="E140" s="84">
        <v>13880</v>
      </c>
      <c r="F140" s="84">
        <v>2210</v>
      </c>
      <c r="G140" s="84">
        <v>7060</v>
      </c>
    </row>
    <row r="141" spans="1:7" s="73" customFormat="1" ht="14.25" customHeight="1">
      <c r="A141" s="84" t="s">
        <v>273</v>
      </c>
      <c r="B141" s="84" t="s">
        <v>2380</v>
      </c>
      <c r="C141" s="84">
        <v>11200</v>
      </c>
      <c r="D141" s="84">
        <v>11150</v>
      </c>
      <c r="E141" s="84">
        <v>14100</v>
      </c>
      <c r="F141" s="84">
        <v>2470</v>
      </c>
      <c r="G141" s="84">
        <v>7170</v>
      </c>
    </row>
    <row r="142" spans="1:7" s="73" customFormat="1" ht="14.25" customHeight="1">
      <c r="A142" s="84" t="s">
        <v>273</v>
      </c>
      <c r="B142" s="84" t="s">
        <v>2381</v>
      </c>
      <c r="C142" s="84">
        <v>10780</v>
      </c>
      <c r="D142" s="84">
        <v>10730</v>
      </c>
      <c r="E142" s="84">
        <v>13540</v>
      </c>
      <c r="F142" s="84">
        <v>2280</v>
      </c>
      <c r="G142" s="84">
        <v>6900</v>
      </c>
    </row>
    <row r="143" spans="1:7" s="73" customFormat="1" ht="14.25" customHeight="1">
      <c r="A143" s="84" t="s">
        <v>273</v>
      </c>
      <c r="B143" s="84" t="s">
        <v>2382</v>
      </c>
      <c r="C143" s="84">
        <v>11550</v>
      </c>
      <c r="D143" s="84">
        <v>11490</v>
      </c>
      <c r="E143" s="84">
        <v>14480</v>
      </c>
      <c r="F143" s="84">
        <v>2070</v>
      </c>
      <c r="G143" s="84">
        <v>7390</v>
      </c>
    </row>
    <row r="144" spans="1:7" s="73" customFormat="1" ht="14.25" customHeight="1">
      <c r="A144" s="84" t="s">
        <v>273</v>
      </c>
      <c r="B144" s="84" t="s">
        <v>2383</v>
      </c>
      <c r="C144" s="84">
        <v>10720</v>
      </c>
      <c r="D144" s="84">
        <v>10680</v>
      </c>
      <c r="E144" s="84">
        <v>13480</v>
      </c>
      <c r="F144" s="84">
        <v>2440</v>
      </c>
      <c r="G144" s="84">
        <v>6870</v>
      </c>
    </row>
    <row r="145" spans="1:7" s="73" customFormat="1" ht="14.25" customHeight="1">
      <c r="A145" s="84" t="s">
        <v>273</v>
      </c>
      <c r="B145" s="84" t="s">
        <v>2384</v>
      </c>
      <c r="C145" s="84">
        <v>10340</v>
      </c>
      <c r="D145" s="84">
        <v>10290</v>
      </c>
      <c r="E145" s="84">
        <v>12880</v>
      </c>
      <c r="F145" s="84">
        <v>2650</v>
      </c>
      <c r="G145" s="84">
        <v>6620</v>
      </c>
    </row>
    <row r="146" spans="1:7" s="73" customFormat="1" ht="14.25" customHeight="1">
      <c r="A146" s="84" t="s">
        <v>273</v>
      </c>
      <c r="B146" s="84" t="s">
        <v>2385</v>
      </c>
      <c r="C146" s="84">
        <v>11890</v>
      </c>
      <c r="D146" s="84">
        <v>11830</v>
      </c>
      <c r="E146" s="84">
        <v>14670</v>
      </c>
      <c r="F146" s="84"/>
      <c r="G146" s="84">
        <v>7610</v>
      </c>
    </row>
    <row r="147" spans="1:7" s="73" customFormat="1" ht="14.25" customHeight="1">
      <c r="A147" s="84" t="s">
        <v>273</v>
      </c>
      <c r="B147" s="84" t="s">
        <v>2386</v>
      </c>
      <c r="C147" s="84">
        <v>12650</v>
      </c>
      <c r="D147" s="84">
        <v>12600</v>
      </c>
      <c r="E147" s="84">
        <v>15440</v>
      </c>
      <c r="F147" s="84"/>
      <c r="G147" s="84">
        <v>8110</v>
      </c>
    </row>
    <row r="148" spans="1:7" s="73" customFormat="1" ht="14.25" customHeight="1">
      <c r="A148" s="84" t="s">
        <v>273</v>
      </c>
      <c r="B148" s="84" t="s">
        <v>2387</v>
      </c>
      <c r="C148" s="84">
        <v>10370</v>
      </c>
      <c r="D148" s="84">
        <v>10310</v>
      </c>
      <c r="E148" s="84">
        <v>12970</v>
      </c>
      <c r="F148" s="84"/>
      <c r="G148" s="84">
        <v>6630</v>
      </c>
    </row>
    <row r="149" spans="1:7" s="73" customFormat="1" ht="14.25" customHeight="1">
      <c r="A149" s="84" t="s">
        <v>273</v>
      </c>
      <c r="B149" s="84" t="s">
        <v>2388</v>
      </c>
      <c r="C149" s="84">
        <v>11600</v>
      </c>
      <c r="D149" s="84">
        <v>11560</v>
      </c>
      <c r="E149" s="84">
        <v>14540</v>
      </c>
      <c r="F149" s="84">
        <v>2390</v>
      </c>
      <c r="G149" s="84">
        <v>7430</v>
      </c>
    </row>
    <row r="150" spans="1:7" s="73" customFormat="1" ht="14.25" customHeight="1">
      <c r="A150" s="84" t="s">
        <v>273</v>
      </c>
      <c r="B150" s="84" t="s">
        <v>2389</v>
      </c>
      <c r="C150" s="84">
        <v>9950</v>
      </c>
      <c r="D150" s="84">
        <v>9890</v>
      </c>
      <c r="E150" s="84">
        <v>12590</v>
      </c>
      <c r="F150" s="84">
        <v>1970</v>
      </c>
      <c r="G150" s="84">
        <v>6360</v>
      </c>
    </row>
    <row r="151" spans="1:7" s="73" customFormat="1" ht="14.25" customHeight="1">
      <c r="A151" s="84" t="s">
        <v>273</v>
      </c>
      <c r="B151" s="84" t="s">
        <v>2390</v>
      </c>
      <c r="C151" s="84">
        <v>10700</v>
      </c>
      <c r="D151" s="84">
        <v>10650</v>
      </c>
      <c r="E151" s="84">
        <v>13420</v>
      </c>
      <c r="F151" s="84">
        <v>2020</v>
      </c>
      <c r="G151" s="84">
        <v>6850</v>
      </c>
    </row>
    <row r="152" spans="1:7" s="73" customFormat="1" ht="14.25" customHeight="1">
      <c r="A152" s="84" t="s">
        <v>273</v>
      </c>
      <c r="B152" s="84" t="s">
        <v>2391</v>
      </c>
      <c r="C152" s="84">
        <v>10310</v>
      </c>
      <c r="D152" s="84">
        <v>10260</v>
      </c>
      <c r="E152" s="84">
        <v>12820</v>
      </c>
      <c r="F152" s="84">
        <v>1980</v>
      </c>
      <c r="G152" s="84">
        <v>6600</v>
      </c>
    </row>
    <row r="153" spans="1:7" s="73" customFormat="1" ht="14.25" customHeight="1">
      <c r="A153" s="84" t="s">
        <v>273</v>
      </c>
      <c r="B153" s="84" t="s">
        <v>2392</v>
      </c>
      <c r="C153" s="84">
        <v>10880</v>
      </c>
      <c r="D153" s="84">
        <v>10820</v>
      </c>
      <c r="E153" s="84">
        <v>13660</v>
      </c>
      <c r="F153" s="84">
        <v>2260</v>
      </c>
      <c r="G153" s="84">
        <v>6970</v>
      </c>
    </row>
    <row r="154" spans="1:7" s="73" customFormat="1" ht="14.25" customHeight="1">
      <c r="A154" s="84" t="s">
        <v>273</v>
      </c>
      <c r="B154" s="84" t="s">
        <v>2393</v>
      </c>
      <c r="C154" s="84">
        <v>11220</v>
      </c>
      <c r="D154" s="84">
        <v>11160</v>
      </c>
      <c r="E154" s="84">
        <v>14130</v>
      </c>
      <c r="F154" s="84">
        <v>2230</v>
      </c>
      <c r="G154" s="84">
        <v>7180</v>
      </c>
    </row>
    <row r="155" spans="1:7" s="73" customFormat="1" ht="14.25" customHeight="1">
      <c r="A155" s="84" t="s">
        <v>273</v>
      </c>
      <c r="B155" s="84" t="s">
        <v>2394</v>
      </c>
      <c r="C155" s="84">
        <v>10430</v>
      </c>
      <c r="D155" s="84">
        <v>10380</v>
      </c>
      <c r="E155" s="84">
        <v>13140</v>
      </c>
      <c r="F155" s="84">
        <v>2080</v>
      </c>
      <c r="G155" s="84">
        <v>6650</v>
      </c>
    </row>
    <row r="156" spans="1:7" s="73" customFormat="1" ht="14.25" customHeight="1">
      <c r="A156" s="84" t="s">
        <v>273</v>
      </c>
      <c r="B156" s="84" t="s">
        <v>2395</v>
      </c>
      <c r="C156" s="84">
        <v>10440</v>
      </c>
      <c r="D156" s="84">
        <v>10400</v>
      </c>
      <c r="E156" s="84">
        <v>13150</v>
      </c>
      <c r="F156" s="84">
        <v>2490</v>
      </c>
      <c r="G156" s="84">
        <v>6690</v>
      </c>
    </row>
    <row r="157" spans="1:7" s="73" customFormat="1" ht="14.25" customHeight="1">
      <c r="A157" s="84" t="s">
        <v>273</v>
      </c>
      <c r="B157" s="84" t="s">
        <v>2396</v>
      </c>
      <c r="C157" s="84">
        <v>10970</v>
      </c>
      <c r="D157" s="84">
        <v>10920</v>
      </c>
      <c r="E157" s="84">
        <v>13840</v>
      </c>
      <c r="F157" s="84">
        <v>2420</v>
      </c>
      <c r="G157" s="84">
        <v>7020</v>
      </c>
    </row>
    <row r="158" spans="1:7" s="73" customFormat="1" ht="14.25" customHeight="1">
      <c r="A158" s="84" t="s">
        <v>273</v>
      </c>
      <c r="B158" s="84" t="s">
        <v>2397</v>
      </c>
      <c r="C158" s="84">
        <v>9590</v>
      </c>
      <c r="D158" s="84">
        <v>9540</v>
      </c>
      <c r="E158" s="84">
        <v>12210</v>
      </c>
      <c r="F158" s="84">
        <v>2100</v>
      </c>
      <c r="G158" s="84">
        <v>6130</v>
      </c>
    </row>
    <row r="159" spans="1:7" s="73" customFormat="1" ht="14.25" customHeight="1">
      <c r="A159" s="84" t="s">
        <v>273</v>
      </c>
      <c r="B159" s="84" t="s">
        <v>2398</v>
      </c>
      <c r="C159" s="84">
        <v>11190</v>
      </c>
      <c r="D159" s="84">
        <v>11140</v>
      </c>
      <c r="E159" s="84">
        <v>14090</v>
      </c>
      <c r="F159" s="84">
        <v>2470</v>
      </c>
      <c r="G159" s="84">
        <v>7170</v>
      </c>
    </row>
    <row r="160" spans="1:7" s="73" customFormat="1" ht="14.25" customHeight="1">
      <c r="A160" s="84" t="s">
        <v>273</v>
      </c>
      <c r="B160" s="84" t="s">
        <v>2399</v>
      </c>
      <c r="C160" s="84">
        <v>11180</v>
      </c>
      <c r="D160" s="84">
        <v>11140</v>
      </c>
      <c r="E160" s="84">
        <v>14050</v>
      </c>
      <c r="F160" s="84">
        <v>2270</v>
      </c>
      <c r="G160" s="84">
        <v>7170</v>
      </c>
    </row>
    <row r="161" spans="1:7" s="73" customFormat="1" ht="14.25" customHeight="1">
      <c r="A161" s="84" t="s">
        <v>273</v>
      </c>
      <c r="B161" s="84" t="s">
        <v>2400</v>
      </c>
      <c r="C161" s="84">
        <v>11160</v>
      </c>
      <c r="D161" s="84">
        <v>11120</v>
      </c>
      <c r="E161" s="84">
        <v>14020</v>
      </c>
      <c r="F161" s="84">
        <v>2150</v>
      </c>
      <c r="G161" s="84">
        <v>7160</v>
      </c>
    </row>
    <row r="162" spans="1:7" s="73" customFormat="1" ht="14.25" customHeight="1">
      <c r="A162" s="84" t="s">
        <v>273</v>
      </c>
      <c r="B162" s="84" t="s">
        <v>2401</v>
      </c>
      <c r="C162" s="84">
        <v>9620</v>
      </c>
      <c r="D162" s="84">
        <v>9570</v>
      </c>
      <c r="E162" s="84">
        <v>12320</v>
      </c>
      <c r="F162" s="84">
        <v>2010</v>
      </c>
      <c r="G162" s="84">
        <v>6160</v>
      </c>
    </row>
    <row r="163" spans="1:7" s="73" customFormat="1" ht="14.25" customHeight="1">
      <c r="A163" s="84" t="s">
        <v>273</v>
      </c>
      <c r="B163" s="84" t="s">
        <v>2402</v>
      </c>
      <c r="C163" s="84">
        <v>9320</v>
      </c>
      <c r="D163" s="84">
        <v>9270</v>
      </c>
      <c r="E163" s="84">
        <v>11790</v>
      </c>
      <c r="F163" s="84">
        <v>1920</v>
      </c>
      <c r="G163" s="84">
        <v>5960</v>
      </c>
    </row>
    <row r="164" spans="1:7" s="73" customFormat="1" ht="14.25" customHeight="1">
      <c r="A164" s="84" t="s">
        <v>273</v>
      </c>
      <c r="B164" s="84" t="s">
        <v>2403</v>
      </c>
      <c r="C164" s="84"/>
      <c r="D164" s="84"/>
      <c r="E164" s="84"/>
      <c r="F164" s="84">
        <v>1980</v>
      </c>
      <c r="G164" s="84"/>
    </row>
    <row r="165" spans="1:7" s="73" customFormat="1" ht="14.25" customHeight="1">
      <c r="A165" s="84" t="s">
        <v>273</v>
      </c>
      <c r="B165" s="84" t="s">
        <v>2404</v>
      </c>
      <c r="C165" s="84">
        <v>11060</v>
      </c>
      <c r="D165" s="84">
        <v>11030</v>
      </c>
      <c r="E165" s="84">
        <v>13850</v>
      </c>
      <c r="F165" s="84">
        <v>2170</v>
      </c>
      <c r="G165" s="84">
        <v>7090</v>
      </c>
    </row>
    <row r="166" spans="1:7" s="73" customFormat="1" ht="14.25" customHeight="1">
      <c r="A166" s="84" t="s">
        <v>273</v>
      </c>
      <c r="B166" s="84" t="s">
        <v>2405</v>
      </c>
      <c r="C166" s="84">
        <v>11050</v>
      </c>
      <c r="D166" s="84">
        <v>11010</v>
      </c>
      <c r="E166" s="84">
        <v>13920</v>
      </c>
      <c r="F166" s="84">
        <v>2140</v>
      </c>
      <c r="G166" s="84">
        <v>7080</v>
      </c>
    </row>
    <row r="167" spans="1:7" s="73" customFormat="1" ht="14.25" customHeight="1">
      <c r="A167" s="84" t="s">
        <v>273</v>
      </c>
      <c r="B167" s="84" t="s">
        <v>2406</v>
      </c>
      <c r="C167" s="84">
        <v>10930</v>
      </c>
      <c r="D167" s="84">
        <v>10890</v>
      </c>
      <c r="E167" s="84">
        <v>13790</v>
      </c>
      <c r="F167" s="84">
        <v>2010</v>
      </c>
      <c r="G167" s="84">
        <v>7000</v>
      </c>
    </row>
    <row r="168" spans="1:7" s="73" customFormat="1" ht="14.25" customHeight="1">
      <c r="A168" s="84" t="s">
        <v>273</v>
      </c>
      <c r="B168" s="84" t="s">
        <v>2407</v>
      </c>
      <c r="C168" s="84">
        <v>9420</v>
      </c>
      <c r="D168" s="84">
        <v>9380</v>
      </c>
      <c r="E168" s="84">
        <v>11970</v>
      </c>
      <c r="F168" s="84"/>
      <c r="G168" s="84">
        <v>6040</v>
      </c>
    </row>
    <row r="169" spans="1:7" s="73" customFormat="1" ht="14.25" customHeight="1">
      <c r="A169" s="84" t="s">
        <v>273</v>
      </c>
      <c r="B169" s="84" t="s">
        <v>2408</v>
      </c>
      <c r="C169" s="84"/>
      <c r="D169" s="84"/>
      <c r="E169" s="84"/>
      <c r="F169" s="84">
        <v>2880</v>
      </c>
      <c r="G169" s="84"/>
    </row>
    <row r="170" spans="1:7" s="73" customFormat="1" ht="14.25" customHeight="1">
      <c r="A170" s="84" t="s">
        <v>273</v>
      </c>
      <c r="B170" s="84" t="s">
        <v>2409</v>
      </c>
      <c r="C170" s="84"/>
      <c r="D170" s="84"/>
      <c r="E170" s="84"/>
      <c r="F170" s="84">
        <v>2880</v>
      </c>
      <c r="G170" s="84"/>
    </row>
    <row r="171" spans="1:7" s="73" customFormat="1" ht="14.25" customHeight="1">
      <c r="A171" s="84" t="s">
        <v>273</v>
      </c>
      <c r="B171" s="84" t="s">
        <v>2410</v>
      </c>
      <c r="C171" s="84"/>
      <c r="D171" s="84"/>
      <c r="E171" s="84"/>
      <c r="F171" s="84">
        <v>2880</v>
      </c>
      <c r="G171" s="84"/>
    </row>
    <row r="172" spans="1:7" s="73" customFormat="1" ht="14.25" customHeight="1">
      <c r="A172" s="84" t="s">
        <v>273</v>
      </c>
      <c r="B172" s="84" t="s">
        <v>2411</v>
      </c>
      <c r="C172" s="84"/>
      <c r="D172" s="84"/>
      <c r="E172" s="84"/>
      <c r="F172" s="84">
        <v>2880</v>
      </c>
      <c r="G172" s="84"/>
    </row>
    <row r="173" spans="1:7" s="73" customFormat="1" ht="14.25" customHeight="1">
      <c r="A173" s="84" t="s">
        <v>273</v>
      </c>
      <c r="B173" s="84" t="s">
        <v>2412</v>
      </c>
      <c r="C173" s="84"/>
      <c r="D173" s="84"/>
      <c r="E173" s="84"/>
      <c r="F173" s="84">
        <v>2150</v>
      </c>
      <c r="G173" s="84"/>
    </row>
    <row r="174" spans="1:7" s="73" customFormat="1" ht="14.25" customHeight="1">
      <c r="A174" s="84" t="s">
        <v>273</v>
      </c>
      <c r="B174" s="84" t="s">
        <v>2413</v>
      </c>
      <c r="C174" s="84"/>
      <c r="D174" s="84"/>
      <c r="E174" s="84"/>
      <c r="F174" s="84">
        <v>2030</v>
      </c>
      <c r="G174" s="84"/>
    </row>
    <row r="175" spans="1:7" s="73" customFormat="1" ht="14.25" customHeight="1">
      <c r="A175" s="84" t="s">
        <v>273</v>
      </c>
      <c r="B175" s="84" t="s">
        <v>2414</v>
      </c>
      <c r="C175" s="84"/>
      <c r="D175" s="84"/>
      <c r="E175" s="84"/>
      <c r="F175" s="84">
        <v>2780</v>
      </c>
      <c r="G175" s="84"/>
    </row>
    <row r="176" spans="1:7" s="73" customFormat="1" ht="14.25" customHeight="1">
      <c r="A176" s="84" t="s">
        <v>273</v>
      </c>
      <c r="B176" s="84" t="s">
        <v>2415</v>
      </c>
      <c r="C176" s="84"/>
      <c r="D176" s="84"/>
      <c r="E176" s="84"/>
      <c r="F176" s="84">
        <v>2780</v>
      </c>
      <c r="G176" s="84"/>
    </row>
    <row r="177" spans="1:7" s="73" customFormat="1" ht="14.25" customHeight="1">
      <c r="A177" s="84" t="s">
        <v>273</v>
      </c>
      <c r="B177" s="84" t="s">
        <v>2416</v>
      </c>
      <c r="C177" s="84"/>
      <c r="D177" s="84"/>
      <c r="E177" s="84"/>
      <c r="F177" s="84">
        <v>2780</v>
      </c>
      <c r="G177" s="84"/>
    </row>
    <row r="178" spans="1:7" s="73" customFormat="1" ht="14.25" customHeight="1">
      <c r="A178" s="84" t="s">
        <v>273</v>
      </c>
      <c r="B178" s="84" t="s">
        <v>2417</v>
      </c>
      <c r="C178" s="84"/>
      <c r="D178" s="84"/>
      <c r="E178" s="84"/>
      <c r="F178" s="84">
        <v>2060</v>
      </c>
      <c r="G178" s="84"/>
    </row>
    <row r="179" spans="1:7" s="73" customFormat="1" ht="14.25" customHeight="1">
      <c r="A179" s="84" t="s">
        <v>273</v>
      </c>
      <c r="B179" s="84" t="s">
        <v>2418</v>
      </c>
      <c r="C179" s="84"/>
      <c r="D179" s="84"/>
      <c r="E179" s="84"/>
      <c r="F179" s="84">
        <v>2120</v>
      </c>
      <c r="G179" s="84"/>
    </row>
    <row r="180" spans="1:7" s="73" customFormat="1" ht="14.25" customHeight="1">
      <c r="A180" s="84" t="s">
        <v>273</v>
      </c>
      <c r="B180" s="84" t="s">
        <v>2419</v>
      </c>
      <c r="C180" s="84"/>
      <c r="D180" s="84"/>
      <c r="E180" s="84"/>
      <c r="F180" s="84">
        <v>2340</v>
      </c>
      <c r="G180" s="84"/>
    </row>
    <row r="181" spans="1:7" s="73" customFormat="1" ht="14.25" customHeight="1">
      <c r="A181" s="84" t="s">
        <v>273</v>
      </c>
      <c r="B181" s="84" t="s">
        <v>2420</v>
      </c>
      <c r="C181" s="84"/>
      <c r="D181" s="84"/>
      <c r="E181" s="84"/>
      <c r="F181" s="84">
        <v>2340</v>
      </c>
      <c r="G181" s="84"/>
    </row>
    <row r="182" spans="1:7" s="73" customFormat="1" ht="14.25" customHeight="1">
      <c r="A182" s="84" t="s">
        <v>273</v>
      </c>
      <c r="B182" s="84" t="s">
        <v>2421</v>
      </c>
      <c r="C182" s="84"/>
      <c r="D182" s="84"/>
      <c r="E182" s="84"/>
      <c r="F182" s="84">
        <v>2340</v>
      </c>
      <c r="G182" s="84"/>
    </row>
    <row r="183" spans="1:7" s="73" customFormat="1" ht="14.25" customHeight="1">
      <c r="A183" s="84" t="s">
        <v>273</v>
      </c>
      <c r="B183" s="84" t="s">
        <v>2422</v>
      </c>
      <c r="C183" s="84"/>
      <c r="D183" s="84"/>
      <c r="E183" s="84"/>
      <c r="F183" s="84">
        <v>2340</v>
      </c>
      <c r="G183" s="84"/>
    </row>
    <row r="184" spans="1:7" s="73" customFormat="1" ht="14.25" customHeight="1">
      <c r="A184" s="84" t="s">
        <v>273</v>
      </c>
      <c r="B184" s="84" t="s">
        <v>2423</v>
      </c>
      <c r="C184" s="84"/>
      <c r="D184" s="84"/>
      <c r="E184" s="84"/>
      <c r="F184" s="84">
        <v>2340</v>
      </c>
      <c r="G184" s="84"/>
    </row>
    <row r="185" spans="1:7" s="73" customFormat="1" ht="14.25" customHeight="1">
      <c r="A185" s="84" t="s">
        <v>273</v>
      </c>
      <c r="B185" s="84" t="s">
        <v>2424</v>
      </c>
      <c r="C185" s="84"/>
      <c r="D185" s="84"/>
      <c r="E185" s="84"/>
      <c r="F185" s="84">
        <v>2530</v>
      </c>
      <c r="G185" s="84"/>
    </row>
    <row r="186" spans="1:7" s="73" customFormat="1" ht="14.25" customHeight="1">
      <c r="A186" s="84" t="s">
        <v>273</v>
      </c>
      <c r="B186" s="84" t="s">
        <v>2425</v>
      </c>
      <c r="C186" s="84"/>
      <c r="D186" s="84"/>
      <c r="E186" s="84"/>
      <c r="F186" s="84">
        <v>2550</v>
      </c>
      <c r="G186" s="84"/>
    </row>
    <row r="187" spans="1:7" s="73" customFormat="1" ht="14.25" customHeight="1">
      <c r="A187" s="84" t="s">
        <v>273</v>
      </c>
      <c r="B187" s="84" t="s">
        <v>2426</v>
      </c>
      <c r="C187" s="84"/>
      <c r="D187" s="84"/>
      <c r="E187" s="84"/>
      <c r="F187" s="84">
        <v>2070</v>
      </c>
      <c r="G187" s="84"/>
    </row>
    <row r="188" spans="1:7" s="73" customFormat="1" ht="14.25" customHeight="1">
      <c r="A188" s="84" t="s">
        <v>273</v>
      </c>
      <c r="B188" s="84" t="s">
        <v>2427</v>
      </c>
      <c r="C188" s="84"/>
      <c r="D188" s="84"/>
      <c r="E188" s="84"/>
      <c r="F188" s="84">
        <v>2340</v>
      </c>
      <c r="G188" s="84"/>
    </row>
    <row r="189" spans="1:7" s="73" customFormat="1" ht="14.25" customHeight="1">
      <c r="A189" s="86" t="s">
        <v>273</v>
      </c>
      <c r="B189" s="90" t="s">
        <v>2428</v>
      </c>
      <c r="C189" s="90"/>
      <c r="D189" s="90"/>
      <c r="E189" s="90"/>
      <c r="F189" s="90">
        <v>2050</v>
      </c>
      <c r="G189" s="90"/>
    </row>
    <row r="190" spans="1:7" s="73" customFormat="1" ht="14.25" customHeight="1">
      <c r="A190" s="82" t="s">
        <v>278</v>
      </c>
      <c r="B190" s="83" t="s">
        <v>2429</v>
      </c>
      <c r="C190" s="83">
        <v>8830</v>
      </c>
      <c r="D190" s="83">
        <v>8790</v>
      </c>
      <c r="E190" s="83">
        <v>11630</v>
      </c>
      <c r="F190" s="83">
        <v>1790</v>
      </c>
      <c r="G190" s="91">
        <v>5550</v>
      </c>
    </row>
    <row r="191" spans="1:7" s="73" customFormat="1" ht="14.25" customHeight="1">
      <c r="A191" s="84" t="s">
        <v>278</v>
      </c>
      <c r="B191" s="84" t="s">
        <v>2430</v>
      </c>
      <c r="C191" s="84">
        <v>9780</v>
      </c>
      <c r="D191" s="84">
        <v>9710</v>
      </c>
      <c r="E191" s="84">
        <v>12550</v>
      </c>
      <c r="F191" s="84">
        <v>1980</v>
      </c>
      <c r="G191" s="92">
        <v>6130</v>
      </c>
    </row>
    <row r="192" spans="1:7" s="73" customFormat="1" ht="14.25" customHeight="1">
      <c r="A192" s="84" t="s">
        <v>278</v>
      </c>
      <c r="B192" s="84" t="s">
        <v>2431</v>
      </c>
      <c r="C192" s="84">
        <v>8180</v>
      </c>
      <c r="D192" s="84">
        <v>8140</v>
      </c>
      <c r="E192" s="84">
        <v>10870</v>
      </c>
      <c r="F192" s="84">
        <v>1690</v>
      </c>
      <c r="G192" s="92">
        <v>5140</v>
      </c>
    </row>
    <row r="193" spans="1:7" s="73" customFormat="1" ht="14.25" customHeight="1">
      <c r="A193" s="84" t="s">
        <v>278</v>
      </c>
      <c r="B193" s="84" t="s">
        <v>2432</v>
      </c>
      <c r="C193" s="84">
        <v>8440</v>
      </c>
      <c r="D193" s="84">
        <v>8390</v>
      </c>
      <c r="E193" s="84">
        <v>11210</v>
      </c>
      <c r="F193" s="84">
        <v>1600</v>
      </c>
      <c r="G193" s="92">
        <v>5300</v>
      </c>
    </row>
    <row r="194" spans="1:7" s="73" customFormat="1" ht="14.25" customHeight="1">
      <c r="A194" s="84" t="s">
        <v>278</v>
      </c>
      <c r="B194" s="84" t="s">
        <v>2433</v>
      </c>
      <c r="C194" s="84">
        <v>8780</v>
      </c>
      <c r="D194" s="84">
        <v>8730</v>
      </c>
      <c r="E194" s="84">
        <v>11550</v>
      </c>
      <c r="F194" s="84">
        <v>1660</v>
      </c>
      <c r="G194" s="92">
        <v>5520</v>
      </c>
    </row>
    <row r="195" spans="1:7" s="73" customFormat="1" ht="14.25" customHeight="1">
      <c r="A195" s="84" t="s">
        <v>278</v>
      </c>
      <c r="B195" s="84" t="s">
        <v>2434</v>
      </c>
      <c r="C195" s="84">
        <v>8720</v>
      </c>
      <c r="D195" s="84">
        <v>8670</v>
      </c>
      <c r="E195" s="84">
        <v>11450</v>
      </c>
      <c r="F195" s="84">
        <v>1720</v>
      </c>
      <c r="G195" s="92">
        <v>5480</v>
      </c>
    </row>
    <row r="196" spans="1:7" s="73" customFormat="1" ht="14.25" customHeight="1">
      <c r="A196" s="84" t="s">
        <v>278</v>
      </c>
      <c r="B196" s="84" t="s">
        <v>2435</v>
      </c>
      <c r="C196" s="84">
        <v>8460</v>
      </c>
      <c r="D196" s="84">
        <v>8410</v>
      </c>
      <c r="E196" s="84">
        <v>11230</v>
      </c>
      <c r="F196" s="84">
        <v>1730</v>
      </c>
      <c r="G196" s="92">
        <v>5310</v>
      </c>
    </row>
    <row r="197" spans="1:7" s="73" customFormat="1" ht="14.25" customHeight="1">
      <c r="A197" s="84" t="s">
        <v>278</v>
      </c>
      <c r="B197" s="84" t="s">
        <v>2436</v>
      </c>
      <c r="C197" s="84">
        <v>8790</v>
      </c>
      <c r="D197" s="84">
        <v>8730</v>
      </c>
      <c r="E197" s="84">
        <v>11560</v>
      </c>
      <c r="F197" s="84">
        <v>1750</v>
      </c>
      <c r="G197" s="92">
        <v>5520</v>
      </c>
    </row>
    <row r="198" spans="1:7" s="73" customFormat="1" ht="14.25" customHeight="1">
      <c r="A198" s="84" t="s">
        <v>278</v>
      </c>
      <c r="B198" s="84" t="s">
        <v>2437</v>
      </c>
      <c r="C198" s="84">
        <v>8720</v>
      </c>
      <c r="D198" s="84">
        <v>8680</v>
      </c>
      <c r="E198" s="84">
        <v>11470</v>
      </c>
      <c r="F198" s="84"/>
      <c r="G198" s="92">
        <v>5480</v>
      </c>
    </row>
    <row r="199" spans="1:7" s="73" customFormat="1" ht="14.25" customHeight="1">
      <c r="A199" s="84" t="s">
        <v>278</v>
      </c>
      <c r="B199" s="84" t="s">
        <v>2438</v>
      </c>
      <c r="C199" s="84">
        <v>8690</v>
      </c>
      <c r="D199" s="84">
        <v>8630</v>
      </c>
      <c r="E199" s="84">
        <v>11350</v>
      </c>
      <c r="F199" s="84">
        <v>1600</v>
      </c>
      <c r="G199" s="92">
        <v>5450</v>
      </c>
    </row>
    <row r="200" spans="1:7" s="73" customFormat="1" ht="14.25" customHeight="1">
      <c r="A200" s="84" t="s">
        <v>278</v>
      </c>
      <c r="B200" s="84" t="s">
        <v>2439</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2440</v>
      </c>
      <c r="C202" s="84">
        <v>8530</v>
      </c>
      <c r="D202" s="84">
        <v>8490</v>
      </c>
      <c r="E202" s="84">
        <v>11160</v>
      </c>
      <c r="F202" s="84">
        <v>1580</v>
      </c>
      <c r="G202" s="92">
        <v>5360</v>
      </c>
    </row>
    <row r="203" spans="1:7" s="73" customFormat="1" ht="14.25" customHeight="1">
      <c r="A203" s="84" t="s">
        <v>278</v>
      </c>
      <c r="B203" s="84" t="s">
        <v>2441</v>
      </c>
      <c r="C203" s="84">
        <v>8130</v>
      </c>
      <c r="D203" s="84">
        <v>8070</v>
      </c>
      <c r="E203" s="84">
        <v>10820</v>
      </c>
      <c r="F203" s="84">
        <v>1690</v>
      </c>
      <c r="G203" s="92">
        <v>5100</v>
      </c>
    </row>
    <row r="204" spans="1:7" s="73" customFormat="1" ht="14.25" customHeight="1">
      <c r="A204" s="84" t="s">
        <v>278</v>
      </c>
      <c r="B204" s="84" t="s">
        <v>2442</v>
      </c>
      <c r="C204" s="84">
        <v>8350</v>
      </c>
      <c r="D204" s="84">
        <v>8290</v>
      </c>
      <c r="E204" s="84">
        <v>11080</v>
      </c>
      <c r="F204" s="84">
        <v>1450</v>
      </c>
      <c r="G204" s="92">
        <v>5240</v>
      </c>
    </row>
    <row r="205" spans="1:7" s="73" customFormat="1" ht="14.25" customHeight="1">
      <c r="A205" s="84" t="s">
        <v>278</v>
      </c>
      <c r="B205" s="84" t="s">
        <v>2443</v>
      </c>
      <c r="C205" s="84">
        <v>7190</v>
      </c>
      <c r="D205" s="84">
        <v>7130</v>
      </c>
      <c r="E205" s="84">
        <v>9490</v>
      </c>
      <c r="F205" s="84">
        <v>1470</v>
      </c>
      <c r="G205" s="92">
        <v>4510</v>
      </c>
    </row>
    <row r="206" spans="1:7" s="73" customFormat="1" ht="14.25" customHeight="1">
      <c r="A206" s="84" t="s">
        <v>278</v>
      </c>
      <c r="B206" s="84" t="s">
        <v>2444</v>
      </c>
      <c r="C206" s="84">
        <v>7000</v>
      </c>
      <c r="D206" s="84">
        <v>6950</v>
      </c>
      <c r="E206" s="84">
        <v>9170</v>
      </c>
      <c r="F206" s="84">
        <v>1400</v>
      </c>
      <c r="G206" s="92">
        <v>4380</v>
      </c>
    </row>
    <row r="207" spans="1:7" s="73" customFormat="1" ht="14.25" customHeight="1">
      <c r="A207" s="84" t="s">
        <v>278</v>
      </c>
      <c r="B207" s="84" t="s">
        <v>2445</v>
      </c>
      <c r="C207" s="84">
        <v>6950</v>
      </c>
      <c r="D207" s="84">
        <v>6900</v>
      </c>
      <c r="E207" s="84">
        <v>9110</v>
      </c>
      <c r="F207" s="84">
        <v>1790</v>
      </c>
      <c r="G207" s="92">
        <v>4360</v>
      </c>
    </row>
    <row r="208" spans="1:7" s="73" customFormat="1" ht="14.25" customHeight="1">
      <c r="A208" s="84" t="s">
        <v>278</v>
      </c>
      <c r="B208" s="84" t="s">
        <v>2446</v>
      </c>
      <c r="C208" s="84">
        <v>9470</v>
      </c>
      <c r="D208" s="84">
        <v>9410</v>
      </c>
      <c r="E208" s="84">
        <v>12330</v>
      </c>
      <c r="F208" s="84">
        <v>1770</v>
      </c>
      <c r="G208" s="92">
        <v>5940</v>
      </c>
    </row>
    <row r="209" spans="1:7" s="73" customFormat="1" ht="14.25" customHeight="1">
      <c r="A209" s="84" t="s">
        <v>278</v>
      </c>
      <c r="B209" s="84" t="s">
        <v>2447</v>
      </c>
      <c r="C209" s="84">
        <v>8740</v>
      </c>
      <c r="D209" s="84">
        <v>8700</v>
      </c>
      <c r="E209" s="84">
        <v>11500</v>
      </c>
      <c r="F209" s="84">
        <v>1730</v>
      </c>
      <c r="G209" s="92">
        <v>5490</v>
      </c>
    </row>
    <row r="210" spans="1:7" s="73" customFormat="1" ht="14.25" customHeight="1">
      <c r="A210" s="84" t="s">
        <v>278</v>
      </c>
      <c r="B210" s="84" t="s">
        <v>2448</v>
      </c>
      <c r="C210" s="84">
        <v>8710</v>
      </c>
      <c r="D210" s="84">
        <v>8660</v>
      </c>
      <c r="E210" s="84">
        <v>11440</v>
      </c>
      <c r="F210" s="84">
        <v>1740</v>
      </c>
      <c r="G210" s="92">
        <v>5470</v>
      </c>
    </row>
    <row r="211" spans="1:7" s="73" customFormat="1" ht="14.25" customHeight="1">
      <c r="A211" s="84" t="s">
        <v>278</v>
      </c>
      <c r="B211" s="84" t="s">
        <v>2449</v>
      </c>
      <c r="C211" s="84">
        <v>9480</v>
      </c>
      <c r="D211" s="84">
        <v>9430</v>
      </c>
      <c r="E211" s="84">
        <v>12360</v>
      </c>
      <c r="F211" s="84">
        <v>1820</v>
      </c>
      <c r="G211" s="92">
        <v>5950</v>
      </c>
    </row>
    <row r="212" spans="1:7" s="73" customFormat="1" ht="14.25" customHeight="1">
      <c r="A212" s="84" t="s">
        <v>278</v>
      </c>
      <c r="B212" s="84" t="s">
        <v>2450</v>
      </c>
      <c r="C212" s="84">
        <v>9070</v>
      </c>
      <c r="D212" s="84">
        <v>9020</v>
      </c>
      <c r="E212" s="84">
        <v>11720</v>
      </c>
      <c r="F212" s="84">
        <v>1850</v>
      </c>
      <c r="G212" s="92">
        <v>5700</v>
      </c>
    </row>
    <row r="213" spans="1:7" s="73" customFormat="1" ht="14.25" customHeight="1">
      <c r="A213" s="84" t="s">
        <v>278</v>
      </c>
      <c r="B213" s="84" t="s">
        <v>2451</v>
      </c>
      <c r="C213" s="84">
        <v>9030</v>
      </c>
      <c r="D213" s="84">
        <v>8980</v>
      </c>
      <c r="E213" s="84">
        <v>11670</v>
      </c>
      <c r="F213" s="84">
        <v>1690</v>
      </c>
      <c r="G213" s="92">
        <v>5670</v>
      </c>
    </row>
    <row r="214" spans="1:7" s="73" customFormat="1" ht="14.25" customHeight="1">
      <c r="A214" s="84" t="s">
        <v>278</v>
      </c>
      <c r="B214" s="84" t="s">
        <v>2452</v>
      </c>
      <c r="C214" s="84">
        <v>8090</v>
      </c>
      <c r="D214" s="84">
        <v>8030</v>
      </c>
      <c r="E214" s="84">
        <v>10780</v>
      </c>
      <c r="F214" s="84">
        <v>1570</v>
      </c>
      <c r="G214" s="92">
        <v>5070</v>
      </c>
    </row>
    <row r="215" spans="1:7" s="73" customFormat="1" ht="14.25" customHeight="1">
      <c r="A215" s="84" t="s">
        <v>278</v>
      </c>
      <c r="B215" s="84" t="s">
        <v>2453</v>
      </c>
      <c r="C215" s="84">
        <v>7950</v>
      </c>
      <c r="D215" s="84">
        <v>7900</v>
      </c>
      <c r="E215" s="84">
        <v>10560</v>
      </c>
      <c r="F215" s="84">
        <v>1630</v>
      </c>
      <c r="G215" s="92">
        <v>4990</v>
      </c>
    </row>
    <row r="216" spans="1:7" s="73" customFormat="1" ht="14.25" customHeight="1">
      <c r="A216" s="84" t="s">
        <v>278</v>
      </c>
      <c r="B216" s="84" t="s">
        <v>2454</v>
      </c>
      <c r="C216" s="84">
        <v>8490</v>
      </c>
      <c r="D216" s="84">
        <v>8440</v>
      </c>
      <c r="E216" s="84">
        <v>11260</v>
      </c>
      <c r="F216" s="84">
        <v>1690</v>
      </c>
      <c r="G216" s="92">
        <v>5330</v>
      </c>
    </row>
    <row r="217" spans="1:7" s="73" customFormat="1" ht="14.25" customHeight="1">
      <c r="A217" s="84" t="s">
        <v>278</v>
      </c>
      <c r="B217" s="84" t="s">
        <v>2455</v>
      </c>
      <c r="C217" s="84">
        <v>8200</v>
      </c>
      <c r="D217" s="84">
        <v>8150</v>
      </c>
      <c r="E217" s="84">
        <v>10910</v>
      </c>
      <c r="F217" s="84">
        <v>1670</v>
      </c>
      <c r="G217" s="92">
        <v>5150</v>
      </c>
    </row>
    <row r="218" spans="1:7" s="73" customFormat="1" ht="14.25" customHeight="1">
      <c r="A218" s="84" t="s">
        <v>278</v>
      </c>
      <c r="B218" s="84" t="s">
        <v>2456</v>
      </c>
      <c r="C218" s="84"/>
      <c r="D218" s="84"/>
      <c r="E218" s="84"/>
      <c r="F218" s="84">
        <v>2040</v>
      </c>
      <c r="G218" s="92"/>
    </row>
    <row r="219" spans="1:7" s="73" customFormat="1" ht="14.25" customHeight="1">
      <c r="A219" s="84" t="s">
        <v>278</v>
      </c>
      <c r="B219" s="84" t="s">
        <v>2457</v>
      </c>
      <c r="C219" s="84"/>
      <c r="D219" s="84"/>
      <c r="E219" s="84"/>
      <c r="F219" s="84">
        <v>2040</v>
      </c>
      <c r="G219" s="92"/>
    </row>
    <row r="220" spans="1:7" s="73" customFormat="1" ht="14.25" customHeight="1">
      <c r="A220" s="84" t="s">
        <v>278</v>
      </c>
      <c r="B220" s="84" t="s">
        <v>2458</v>
      </c>
      <c r="C220" s="84"/>
      <c r="D220" s="84"/>
      <c r="E220" s="84"/>
      <c r="F220" s="84">
        <v>2040</v>
      </c>
      <c r="G220" s="92"/>
    </row>
    <row r="221" spans="1:7" s="73" customFormat="1" ht="14.25" customHeight="1">
      <c r="A221" s="84" t="s">
        <v>278</v>
      </c>
      <c r="B221" s="84" t="s">
        <v>2459</v>
      </c>
      <c r="C221" s="84"/>
      <c r="D221" s="84"/>
      <c r="E221" s="84"/>
      <c r="F221" s="84">
        <v>2040</v>
      </c>
      <c r="G221" s="92"/>
    </row>
    <row r="222" spans="1:7" s="73" customFormat="1" ht="14.25" customHeight="1">
      <c r="A222" s="84" t="s">
        <v>278</v>
      </c>
      <c r="B222" s="84" t="s">
        <v>2460</v>
      </c>
      <c r="C222" s="84"/>
      <c r="D222" s="84"/>
      <c r="E222" s="84"/>
      <c r="F222" s="84">
        <v>2040</v>
      </c>
      <c r="G222" s="92"/>
    </row>
    <row r="223" spans="1:7" s="73" customFormat="1" ht="14.25" customHeight="1">
      <c r="A223" s="84" t="s">
        <v>278</v>
      </c>
      <c r="B223" s="84" t="s">
        <v>2461</v>
      </c>
      <c r="C223" s="84"/>
      <c r="D223" s="84"/>
      <c r="E223" s="84"/>
      <c r="F223" s="84">
        <v>1930</v>
      </c>
      <c r="G223" s="92"/>
    </row>
    <row r="224" spans="1:7" s="73" customFormat="1" ht="14.25" customHeight="1">
      <c r="A224" s="84" t="s">
        <v>278</v>
      </c>
      <c r="B224" s="84" t="s">
        <v>2462</v>
      </c>
      <c r="C224" s="84"/>
      <c r="D224" s="84"/>
      <c r="E224" s="84"/>
      <c r="F224" s="84">
        <v>1930</v>
      </c>
      <c r="G224" s="92"/>
    </row>
    <row r="225" spans="1:7" s="73" customFormat="1" ht="14.25" customHeight="1">
      <c r="A225" s="84" t="s">
        <v>278</v>
      </c>
      <c r="B225" s="84" t="s">
        <v>2463</v>
      </c>
      <c r="C225" s="84"/>
      <c r="D225" s="84"/>
      <c r="E225" s="84"/>
      <c r="F225" s="84">
        <v>1930</v>
      </c>
      <c r="G225" s="92"/>
    </row>
    <row r="226" spans="1:7" s="73" customFormat="1" ht="14.25" customHeight="1">
      <c r="A226" s="84" t="s">
        <v>278</v>
      </c>
      <c r="B226" s="84" t="s">
        <v>2464</v>
      </c>
      <c r="C226" s="84"/>
      <c r="D226" s="84"/>
      <c r="E226" s="84"/>
      <c r="F226" s="84">
        <v>1700</v>
      </c>
      <c r="G226" s="92"/>
    </row>
    <row r="227" spans="1:7" s="73" customFormat="1" ht="14.25" customHeight="1">
      <c r="A227" s="84" t="s">
        <v>278</v>
      </c>
      <c r="B227" s="84" t="s">
        <v>2752</v>
      </c>
      <c r="C227" s="84"/>
      <c r="D227" s="84"/>
      <c r="E227" s="84"/>
      <c r="F227" s="84">
        <v>1520</v>
      </c>
      <c r="G227" s="92"/>
    </row>
    <row r="228" spans="1:7" s="73" customFormat="1" ht="14.25" customHeight="1">
      <c r="A228" s="84" t="s">
        <v>278</v>
      </c>
      <c r="B228" s="84" t="s">
        <v>2753</v>
      </c>
      <c r="C228" s="84"/>
      <c r="D228" s="84"/>
      <c r="E228" s="84"/>
      <c r="F228" s="84">
        <v>1520</v>
      </c>
      <c r="G228" s="92"/>
    </row>
    <row r="229" spans="1:7" s="73" customFormat="1" ht="14.25" customHeight="1">
      <c r="A229" s="84" t="s">
        <v>278</v>
      </c>
      <c r="B229" s="84" t="s">
        <v>2754</v>
      </c>
      <c r="C229" s="84"/>
      <c r="D229" s="84"/>
      <c r="E229" s="84"/>
      <c r="F229" s="84">
        <v>1520</v>
      </c>
      <c r="G229" s="92"/>
    </row>
    <row r="230" spans="1:7" s="73" customFormat="1" ht="14.25" customHeight="1">
      <c r="A230" s="84" t="s">
        <v>278</v>
      </c>
      <c r="B230" s="84" t="s">
        <v>2468</v>
      </c>
      <c r="C230" s="84"/>
      <c r="D230" s="84"/>
      <c r="E230" s="84"/>
      <c r="F230" s="84">
        <v>1820</v>
      </c>
      <c r="G230" s="92"/>
    </row>
    <row r="231" spans="1:7" s="73" customFormat="1" ht="14.25" customHeight="1">
      <c r="A231" s="84" t="s">
        <v>278</v>
      </c>
      <c r="B231" s="84" t="s">
        <v>2469</v>
      </c>
      <c r="C231" s="84"/>
      <c r="D231" s="84"/>
      <c r="E231" s="84"/>
      <c r="F231" s="84">
        <v>1760</v>
      </c>
      <c r="G231" s="92"/>
    </row>
    <row r="232" spans="1:7" s="73" customFormat="1" ht="14.25" customHeight="1">
      <c r="A232" s="84" t="s">
        <v>278</v>
      </c>
      <c r="B232" s="84" t="s">
        <v>2755</v>
      </c>
      <c r="C232" s="84"/>
      <c r="D232" s="84"/>
      <c r="E232" s="84"/>
      <c r="F232" s="84">
        <v>1840</v>
      </c>
      <c r="G232" s="92"/>
    </row>
    <row r="233" spans="1:7" s="73" customFormat="1" ht="14.25" customHeight="1">
      <c r="A233" s="93" t="s">
        <v>278</v>
      </c>
      <c r="B233" s="88" t="s">
        <v>2471</v>
      </c>
      <c r="C233" s="88"/>
      <c r="D233" s="88"/>
      <c r="E233" s="88"/>
      <c r="F233" s="88">
        <v>1770</v>
      </c>
      <c r="G233" s="94"/>
    </row>
    <row r="234" spans="1:7" s="73" customFormat="1" ht="14.25" customHeight="1">
      <c r="A234" s="82" t="s">
        <v>284</v>
      </c>
      <c r="B234" s="83" t="s">
        <v>2472</v>
      </c>
      <c r="C234" s="84">
        <v>6980</v>
      </c>
      <c r="D234" s="84">
        <v>6970</v>
      </c>
      <c r="E234" s="84">
        <v>8720</v>
      </c>
      <c r="F234" s="84">
        <v>1350</v>
      </c>
      <c r="G234" s="84">
        <v>4280</v>
      </c>
    </row>
    <row r="235" spans="1:7" s="73" customFormat="1" ht="14.25" customHeight="1">
      <c r="A235" s="84" t="s">
        <v>284</v>
      </c>
      <c r="B235" s="84" t="s">
        <v>2473</v>
      </c>
      <c r="C235" s="84">
        <v>7620</v>
      </c>
      <c r="D235" s="84">
        <v>7580</v>
      </c>
      <c r="E235" s="84">
        <v>9360</v>
      </c>
      <c r="F235" s="84">
        <v>1490</v>
      </c>
      <c r="G235" s="84">
        <v>4650</v>
      </c>
    </row>
    <row r="236" spans="1:7" s="73" customFormat="1" ht="14.25" customHeight="1">
      <c r="A236" s="84" t="s">
        <v>284</v>
      </c>
      <c r="B236" s="84" t="s">
        <v>2474</v>
      </c>
      <c r="C236" s="84">
        <v>6650</v>
      </c>
      <c r="D236" s="84">
        <v>6630</v>
      </c>
      <c r="E236" s="84">
        <v>8330</v>
      </c>
      <c r="F236" s="84">
        <v>1250</v>
      </c>
      <c r="G236" s="84">
        <v>4070</v>
      </c>
    </row>
    <row r="237" spans="1:7" s="73" customFormat="1" ht="14.25" customHeight="1">
      <c r="A237" s="84" t="s">
        <v>284</v>
      </c>
      <c r="B237" s="84" t="s">
        <v>2475</v>
      </c>
      <c r="C237" s="84">
        <v>5850</v>
      </c>
      <c r="D237" s="84">
        <v>5820</v>
      </c>
      <c r="E237" s="84">
        <v>7260</v>
      </c>
      <c r="F237" s="84">
        <v>1140</v>
      </c>
      <c r="G237" s="84">
        <v>3570</v>
      </c>
    </row>
    <row r="238" spans="1:7" s="73" customFormat="1" ht="14.25" customHeight="1">
      <c r="A238" s="84" t="s">
        <v>284</v>
      </c>
      <c r="B238" s="84" t="s">
        <v>2476</v>
      </c>
      <c r="C238" s="84">
        <v>6920</v>
      </c>
      <c r="D238" s="84">
        <v>6890</v>
      </c>
      <c r="E238" s="84">
        <v>8640</v>
      </c>
      <c r="F238" s="84">
        <v>1310</v>
      </c>
      <c r="G238" s="84">
        <v>4230</v>
      </c>
    </row>
    <row r="239" spans="1:7" s="73" customFormat="1" ht="14.25" customHeight="1">
      <c r="A239" s="84" t="s">
        <v>284</v>
      </c>
      <c r="B239" s="84" t="s">
        <v>2477</v>
      </c>
      <c r="C239" s="84">
        <v>6780</v>
      </c>
      <c r="D239" s="84">
        <v>6750</v>
      </c>
      <c r="E239" s="84">
        <v>8440</v>
      </c>
      <c r="F239" s="84">
        <v>1160</v>
      </c>
      <c r="G239" s="84">
        <v>4140</v>
      </c>
    </row>
    <row r="240" spans="1:7" s="73" customFormat="1" ht="14.25" customHeight="1">
      <c r="A240" s="84" t="s">
        <v>284</v>
      </c>
      <c r="B240" s="84" t="s">
        <v>2478</v>
      </c>
      <c r="C240" s="84">
        <v>5420</v>
      </c>
      <c r="D240" s="84">
        <v>5380</v>
      </c>
      <c r="E240" s="84">
        <v>6640</v>
      </c>
      <c r="F240" s="84">
        <v>1020</v>
      </c>
      <c r="G240" s="84">
        <v>3300</v>
      </c>
    </row>
    <row r="241" spans="1:7" s="73" customFormat="1" ht="14.25" customHeight="1">
      <c r="A241" s="84" t="s">
        <v>284</v>
      </c>
      <c r="B241" s="84" t="s">
        <v>2479</v>
      </c>
      <c r="C241" s="84">
        <v>6660</v>
      </c>
      <c r="D241" s="84">
        <v>6640</v>
      </c>
      <c r="E241" s="84">
        <v>8340</v>
      </c>
      <c r="F241" s="84">
        <v>1130</v>
      </c>
      <c r="G241" s="84">
        <v>4080</v>
      </c>
    </row>
    <row r="242" spans="1:7" s="73" customFormat="1" ht="14.25" customHeight="1">
      <c r="A242" s="84" t="s">
        <v>284</v>
      </c>
      <c r="B242" s="84" t="s">
        <v>2480</v>
      </c>
      <c r="C242" s="84">
        <v>6580</v>
      </c>
      <c r="D242" s="84">
        <v>6550</v>
      </c>
      <c r="E242" s="84">
        <v>8090</v>
      </c>
      <c r="F242" s="84">
        <v>1240</v>
      </c>
      <c r="G242" s="84">
        <v>4020</v>
      </c>
    </row>
    <row r="243" spans="1:7" s="73" customFormat="1" ht="14.25" customHeight="1">
      <c r="A243" s="84" t="s">
        <v>284</v>
      </c>
      <c r="B243" s="84" t="s">
        <v>2481</v>
      </c>
      <c r="C243" s="84">
        <v>6000</v>
      </c>
      <c r="D243" s="84">
        <v>5970</v>
      </c>
      <c r="E243" s="84">
        <v>7370</v>
      </c>
      <c r="F243" s="84">
        <v>1070</v>
      </c>
      <c r="G243" s="84">
        <v>3670</v>
      </c>
    </row>
    <row r="244" spans="1:7" s="73" customFormat="1" ht="14.25" customHeight="1">
      <c r="A244" s="84" t="s">
        <v>284</v>
      </c>
      <c r="B244" s="84" t="s">
        <v>2482</v>
      </c>
      <c r="C244" s="84">
        <v>5840</v>
      </c>
      <c r="D244" s="84">
        <v>5810</v>
      </c>
      <c r="E244" s="84">
        <v>7240</v>
      </c>
      <c r="F244" s="84">
        <v>1100</v>
      </c>
      <c r="G244" s="84">
        <v>3560</v>
      </c>
    </row>
    <row r="245" spans="1:7" s="73" customFormat="1" ht="14.25" customHeight="1">
      <c r="A245" s="84" t="s">
        <v>284</v>
      </c>
      <c r="B245" s="84" t="s">
        <v>2483</v>
      </c>
      <c r="C245" s="84">
        <v>6040</v>
      </c>
      <c r="D245" s="84">
        <v>6000</v>
      </c>
      <c r="E245" s="84">
        <v>7420</v>
      </c>
      <c r="F245" s="84">
        <v>1140</v>
      </c>
      <c r="G245" s="84">
        <v>3690</v>
      </c>
    </row>
    <row r="246" spans="1:7" s="73" customFormat="1" ht="14.25" customHeight="1">
      <c r="A246" s="84" t="s">
        <v>284</v>
      </c>
      <c r="B246" s="84" t="s">
        <v>2484</v>
      </c>
      <c r="C246" s="84">
        <v>5890</v>
      </c>
      <c r="D246" s="84">
        <v>5860</v>
      </c>
      <c r="E246" s="84">
        <v>7300</v>
      </c>
      <c r="F246" s="84">
        <v>1110</v>
      </c>
      <c r="G246" s="84">
        <v>3590</v>
      </c>
    </row>
    <row r="247" spans="1:7" s="73" customFormat="1" ht="14.25" customHeight="1">
      <c r="A247" s="84" t="s">
        <v>284</v>
      </c>
      <c r="B247" s="84" t="s">
        <v>2485</v>
      </c>
      <c r="C247" s="84">
        <v>6480</v>
      </c>
      <c r="D247" s="84">
        <v>6450</v>
      </c>
      <c r="E247" s="84">
        <v>8010</v>
      </c>
      <c r="F247" s="84">
        <v>1170</v>
      </c>
      <c r="G247" s="84">
        <v>3960</v>
      </c>
    </row>
    <row r="248" spans="1:7" s="73" customFormat="1" ht="14.25" customHeight="1">
      <c r="A248" s="84" t="s">
        <v>284</v>
      </c>
      <c r="B248" s="84" t="s">
        <v>2486</v>
      </c>
      <c r="C248" s="84">
        <v>6860</v>
      </c>
      <c r="D248" s="84">
        <v>6840</v>
      </c>
      <c r="E248" s="84">
        <v>8520</v>
      </c>
      <c r="F248" s="84">
        <v>1240</v>
      </c>
      <c r="G248" s="84">
        <v>4200</v>
      </c>
    </row>
    <row r="249" spans="1:7" s="73" customFormat="1" ht="14.25" customHeight="1">
      <c r="A249" s="84" t="s">
        <v>284</v>
      </c>
      <c r="B249" s="84" t="s">
        <v>2487</v>
      </c>
      <c r="C249" s="84">
        <v>7180</v>
      </c>
      <c r="D249" s="84">
        <v>7140</v>
      </c>
      <c r="E249" s="84">
        <v>8900</v>
      </c>
      <c r="F249" s="84">
        <v>1350</v>
      </c>
      <c r="G249" s="84">
        <v>4380</v>
      </c>
    </row>
    <row r="250" spans="1:7" s="73" customFormat="1" ht="14.25" customHeight="1">
      <c r="A250" s="84" t="s">
        <v>284</v>
      </c>
      <c r="B250" s="84" t="s">
        <v>2488</v>
      </c>
      <c r="C250" s="84">
        <v>6880</v>
      </c>
      <c r="D250" s="84">
        <v>6860</v>
      </c>
      <c r="E250" s="84">
        <v>8550</v>
      </c>
      <c r="F250" s="84">
        <v>1220</v>
      </c>
      <c r="G250" s="84">
        <v>4210</v>
      </c>
    </row>
    <row r="251" spans="1:7" s="73" customFormat="1" ht="14.25" customHeight="1">
      <c r="A251" s="84" t="s">
        <v>284</v>
      </c>
      <c r="B251" s="84" t="s">
        <v>2489</v>
      </c>
      <c r="C251" s="84"/>
      <c r="D251" s="84"/>
      <c r="E251" s="84"/>
      <c r="F251" s="84">
        <v>1100</v>
      </c>
      <c r="G251" s="84"/>
    </row>
    <row r="252" spans="1:7" s="73" customFormat="1" ht="14.25" customHeight="1">
      <c r="A252" s="84" t="s">
        <v>284</v>
      </c>
      <c r="B252" s="84" t="s">
        <v>2490</v>
      </c>
      <c r="C252" s="84">
        <v>7240</v>
      </c>
      <c r="D252" s="84">
        <v>7200</v>
      </c>
      <c r="E252" s="84">
        <v>9040</v>
      </c>
      <c r="F252" s="84">
        <v>1380</v>
      </c>
      <c r="G252" s="84">
        <v>4420</v>
      </c>
    </row>
    <row r="253" spans="1:7" s="73" customFormat="1" ht="14.25" customHeight="1">
      <c r="A253" s="84" t="s">
        <v>284</v>
      </c>
      <c r="B253" s="84" t="s">
        <v>2491</v>
      </c>
      <c r="C253" s="84">
        <v>6670</v>
      </c>
      <c r="D253" s="84">
        <v>6650</v>
      </c>
      <c r="E253" s="84">
        <v>8350</v>
      </c>
      <c r="F253" s="84">
        <v>1260</v>
      </c>
      <c r="G253" s="84">
        <v>4080</v>
      </c>
    </row>
    <row r="254" spans="1:7" s="73" customFormat="1" ht="14.25" customHeight="1">
      <c r="A254" s="84" t="s">
        <v>284</v>
      </c>
      <c r="B254" s="84" t="s">
        <v>2492</v>
      </c>
      <c r="C254" s="84">
        <v>7630</v>
      </c>
      <c r="D254" s="84">
        <v>7590</v>
      </c>
      <c r="E254" s="84">
        <v>9380</v>
      </c>
      <c r="F254" s="84">
        <v>1320</v>
      </c>
      <c r="G254" s="84">
        <v>4660</v>
      </c>
    </row>
    <row r="255" spans="1:7" s="73" customFormat="1" ht="14.25" customHeight="1">
      <c r="A255" s="84" t="s">
        <v>284</v>
      </c>
      <c r="B255" s="84" t="s">
        <v>2493</v>
      </c>
      <c r="C255" s="84">
        <v>6940</v>
      </c>
      <c r="D255" s="84">
        <v>6890</v>
      </c>
      <c r="E255" s="84">
        <v>8650</v>
      </c>
      <c r="F255" s="84">
        <v>1210</v>
      </c>
      <c r="G255" s="84">
        <v>4230</v>
      </c>
    </row>
    <row r="256" spans="1:7" s="73" customFormat="1" ht="14.25" customHeight="1">
      <c r="A256" s="84" t="s">
        <v>284</v>
      </c>
      <c r="B256" s="84" t="s">
        <v>2494</v>
      </c>
      <c r="C256" s="84">
        <v>7520</v>
      </c>
      <c r="D256" s="84">
        <v>7490</v>
      </c>
      <c r="E256" s="84">
        <v>9240</v>
      </c>
      <c r="F256" s="84">
        <v>1270</v>
      </c>
      <c r="G256" s="84">
        <v>4590</v>
      </c>
    </row>
    <row r="257" spans="1:7" s="73" customFormat="1" ht="14.25" customHeight="1">
      <c r="A257" s="84" t="s">
        <v>284</v>
      </c>
      <c r="B257" s="84" t="s">
        <v>2495</v>
      </c>
      <c r="C257" s="84">
        <v>6280</v>
      </c>
      <c r="D257" s="84">
        <v>6230</v>
      </c>
      <c r="E257" s="84">
        <v>7740</v>
      </c>
      <c r="F257" s="84">
        <v>1080</v>
      </c>
      <c r="G257" s="84">
        <v>3830</v>
      </c>
    </row>
    <row r="258" spans="1:7" s="73" customFormat="1" ht="14.25" customHeight="1">
      <c r="A258" s="84" t="s">
        <v>284</v>
      </c>
      <c r="B258" s="84" t="s">
        <v>2496</v>
      </c>
      <c r="C258" s="84">
        <v>6190</v>
      </c>
      <c r="D258" s="84">
        <v>6160</v>
      </c>
      <c r="E258" s="84">
        <v>7680</v>
      </c>
      <c r="F258" s="84">
        <v>1170</v>
      </c>
      <c r="G258" s="84">
        <v>3780</v>
      </c>
    </row>
    <row r="259" spans="1:7" s="73" customFormat="1" ht="14.25" customHeight="1">
      <c r="A259" s="84" t="s">
        <v>284</v>
      </c>
      <c r="B259" s="84" t="s">
        <v>2497</v>
      </c>
      <c r="C259" s="84">
        <v>7610</v>
      </c>
      <c r="D259" s="84">
        <v>7570</v>
      </c>
      <c r="E259" s="84">
        <v>9350</v>
      </c>
      <c r="F259" s="84">
        <v>1350</v>
      </c>
      <c r="G259" s="84">
        <v>4650</v>
      </c>
    </row>
    <row r="260" spans="1:7" s="73" customFormat="1" ht="14.25" customHeight="1">
      <c r="A260" s="84" t="s">
        <v>284</v>
      </c>
      <c r="B260" s="84" t="s">
        <v>2498</v>
      </c>
      <c r="C260" s="84">
        <v>6920</v>
      </c>
      <c r="D260" s="84">
        <v>6880</v>
      </c>
      <c r="E260" s="84">
        <v>8380</v>
      </c>
      <c r="F260" s="84">
        <v>1160</v>
      </c>
      <c r="G260" s="84">
        <v>4220</v>
      </c>
    </row>
    <row r="261" spans="1:7" s="73" customFormat="1" ht="14.25" customHeight="1">
      <c r="A261" s="84" t="s">
        <v>284</v>
      </c>
      <c r="B261" s="84" t="s">
        <v>2499</v>
      </c>
      <c r="C261" s="84">
        <v>6850</v>
      </c>
      <c r="D261" s="84">
        <v>6810</v>
      </c>
      <c r="E261" s="84">
        <v>8290</v>
      </c>
      <c r="F261" s="84">
        <v>1130</v>
      </c>
      <c r="G261" s="84">
        <v>4180</v>
      </c>
    </row>
    <row r="262" spans="1:7" s="73" customFormat="1" ht="14.25" customHeight="1">
      <c r="A262" s="84" t="s">
        <v>284</v>
      </c>
      <c r="B262" s="84" t="s">
        <v>2500</v>
      </c>
      <c r="C262" s="84">
        <v>5860</v>
      </c>
      <c r="D262" s="84">
        <v>5820</v>
      </c>
      <c r="E262" s="84">
        <v>7640</v>
      </c>
      <c r="F262" s="84">
        <v>1070</v>
      </c>
      <c r="G262" s="84">
        <v>3570</v>
      </c>
    </row>
    <row r="263" spans="1:7" s="73" customFormat="1" ht="14.25" customHeight="1">
      <c r="A263" s="84" t="s">
        <v>284</v>
      </c>
      <c r="B263" s="84" t="s">
        <v>2501</v>
      </c>
      <c r="C263" s="84">
        <v>5870</v>
      </c>
      <c r="D263" s="84">
        <v>5840</v>
      </c>
      <c r="E263" s="84">
        <v>7270</v>
      </c>
      <c r="F263" s="84">
        <v>1190</v>
      </c>
      <c r="G263" s="84">
        <v>3580</v>
      </c>
    </row>
    <row r="264" spans="1:7" s="73" customFormat="1" ht="14.25" customHeight="1">
      <c r="A264" s="84" t="s">
        <v>284</v>
      </c>
      <c r="B264" s="84" t="s">
        <v>2502</v>
      </c>
      <c r="C264" s="84">
        <v>6190</v>
      </c>
      <c r="D264" s="84">
        <v>6150</v>
      </c>
      <c r="E264" s="84">
        <v>7660</v>
      </c>
      <c r="F264" s="84">
        <v>1160</v>
      </c>
      <c r="G264" s="84">
        <v>3770</v>
      </c>
    </row>
    <row r="265" spans="1:7" s="73" customFormat="1" ht="14.25" customHeight="1">
      <c r="A265" s="84" t="s">
        <v>284</v>
      </c>
      <c r="B265" s="84" t="s">
        <v>2503</v>
      </c>
      <c r="C265" s="84"/>
      <c r="D265" s="84"/>
      <c r="E265" s="84"/>
      <c r="F265" s="84">
        <v>1500</v>
      </c>
      <c r="G265" s="84"/>
    </row>
    <row r="266" spans="1:7" s="73" customFormat="1" ht="14.25" customHeight="1">
      <c r="A266" s="84" t="s">
        <v>284</v>
      </c>
      <c r="B266" s="84" t="s">
        <v>2504</v>
      </c>
      <c r="C266" s="84"/>
      <c r="D266" s="84"/>
      <c r="E266" s="84"/>
      <c r="F266" s="84">
        <v>1500</v>
      </c>
      <c r="G266" s="84"/>
    </row>
    <row r="267" spans="1:7" s="73" customFormat="1" ht="14.25" customHeight="1">
      <c r="A267" s="84" t="s">
        <v>284</v>
      </c>
      <c r="B267" s="84" t="s">
        <v>2505</v>
      </c>
      <c r="C267" s="84"/>
      <c r="D267" s="84"/>
      <c r="E267" s="84"/>
      <c r="F267" s="84">
        <v>1500</v>
      </c>
      <c r="G267" s="84"/>
    </row>
    <row r="268" spans="1:7" s="73" customFormat="1" ht="14.25" customHeight="1">
      <c r="A268" s="84" t="s">
        <v>284</v>
      </c>
      <c r="B268" s="84" t="s">
        <v>2506</v>
      </c>
      <c r="C268" s="84"/>
      <c r="D268" s="84"/>
      <c r="E268" s="84"/>
      <c r="F268" s="84">
        <v>1290</v>
      </c>
      <c r="G268" s="84"/>
    </row>
    <row r="269" spans="1:7" s="73" customFormat="1" ht="14.25" customHeight="1">
      <c r="A269" s="84" t="s">
        <v>284</v>
      </c>
      <c r="B269" s="84" t="s">
        <v>2507</v>
      </c>
      <c r="C269" s="84"/>
      <c r="D269" s="84"/>
      <c r="E269" s="84"/>
      <c r="F269" s="84">
        <v>1150</v>
      </c>
      <c r="G269" s="84"/>
    </row>
    <row r="270" spans="1:7" s="73" customFormat="1" ht="14.25" customHeight="1">
      <c r="A270" s="84" t="s">
        <v>284</v>
      </c>
      <c r="B270" s="84" t="s">
        <v>2508</v>
      </c>
      <c r="C270" s="84"/>
      <c r="D270" s="84"/>
      <c r="E270" s="84"/>
      <c r="F270" s="84">
        <v>1380</v>
      </c>
      <c r="G270" s="84"/>
    </row>
    <row r="271" spans="1:7" s="73" customFormat="1" ht="14.25" customHeight="1">
      <c r="A271" s="84" t="s">
        <v>284</v>
      </c>
      <c r="B271" s="84" t="s">
        <v>2509</v>
      </c>
      <c r="C271" s="84"/>
      <c r="D271" s="84"/>
      <c r="E271" s="84"/>
      <c r="F271" s="84">
        <v>1460</v>
      </c>
      <c r="G271" s="84"/>
    </row>
    <row r="272" spans="1:7" s="73" customFormat="1" ht="14.25" customHeight="1">
      <c r="A272" s="84" t="s">
        <v>284</v>
      </c>
      <c r="B272" s="84" t="s">
        <v>2510</v>
      </c>
      <c r="C272" s="84"/>
      <c r="D272" s="84"/>
      <c r="E272" s="84"/>
      <c r="F272" s="84">
        <v>1460</v>
      </c>
      <c r="G272" s="84"/>
    </row>
    <row r="273" spans="1:7" s="73" customFormat="1" ht="14.25" customHeight="1">
      <c r="A273" s="84" t="s">
        <v>284</v>
      </c>
      <c r="B273" s="84" t="s">
        <v>2511</v>
      </c>
      <c r="C273" s="84"/>
      <c r="D273" s="84"/>
      <c r="E273" s="84"/>
      <c r="F273" s="84">
        <v>1490</v>
      </c>
      <c r="G273" s="84"/>
    </row>
    <row r="274" spans="1:7" s="73" customFormat="1" ht="14.25" customHeight="1">
      <c r="A274" s="84" t="s">
        <v>284</v>
      </c>
      <c r="B274" s="84" t="s">
        <v>2512</v>
      </c>
      <c r="C274" s="84"/>
      <c r="D274" s="84"/>
      <c r="E274" s="84"/>
      <c r="F274" s="84">
        <v>1490</v>
      </c>
      <c r="G274" s="84"/>
    </row>
    <row r="275" spans="1:7" s="73" customFormat="1" ht="14.25" customHeight="1">
      <c r="A275" s="84" t="s">
        <v>284</v>
      </c>
      <c r="B275" s="84" t="s">
        <v>2513</v>
      </c>
      <c r="C275" s="84"/>
      <c r="D275" s="84"/>
      <c r="E275" s="84"/>
      <c r="F275" s="84">
        <v>1220</v>
      </c>
      <c r="G275" s="84"/>
    </row>
    <row r="276" spans="1:7" s="73" customFormat="1" ht="14.25" customHeight="1">
      <c r="A276" s="86" t="s">
        <v>284</v>
      </c>
      <c r="B276" s="89" t="s">
        <v>2514</v>
      </c>
      <c r="C276" s="90"/>
      <c r="D276" s="90"/>
      <c r="E276" s="90"/>
      <c r="F276" s="90">
        <v>1380</v>
      </c>
      <c r="G276" s="90"/>
    </row>
    <row r="277" spans="1:7" s="73" customFormat="1" ht="14.25" customHeight="1">
      <c r="A277" s="82" t="s">
        <v>288</v>
      </c>
      <c r="B277" s="83" t="s">
        <v>2515</v>
      </c>
      <c r="C277" s="83">
        <v>5790</v>
      </c>
      <c r="D277" s="83">
        <v>5740</v>
      </c>
      <c r="E277" s="83">
        <v>6730</v>
      </c>
      <c r="F277" s="83">
        <v>1110</v>
      </c>
      <c r="G277" s="91">
        <v>3460</v>
      </c>
    </row>
    <row r="278" spans="1:7" s="73" customFormat="1" ht="14.25" customHeight="1">
      <c r="A278" s="84" t="s">
        <v>288</v>
      </c>
      <c r="B278" s="84" t="s">
        <v>2516</v>
      </c>
      <c r="C278" s="84">
        <v>5740</v>
      </c>
      <c r="D278" s="84">
        <v>5670</v>
      </c>
      <c r="E278" s="84">
        <v>6680</v>
      </c>
      <c r="F278" s="84">
        <v>1070</v>
      </c>
      <c r="G278" s="92">
        <v>3420</v>
      </c>
    </row>
    <row r="279" spans="1:7" s="73" customFormat="1" ht="14.25" customHeight="1">
      <c r="A279" s="84" t="s">
        <v>288</v>
      </c>
      <c r="B279" s="84" t="s">
        <v>2517</v>
      </c>
      <c r="C279" s="84">
        <v>4760</v>
      </c>
      <c r="D279" s="84">
        <v>4720</v>
      </c>
      <c r="E279" s="84">
        <v>5540</v>
      </c>
      <c r="F279" s="84">
        <v>810</v>
      </c>
      <c r="G279" s="92">
        <v>2850</v>
      </c>
    </row>
    <row r="280" spans="1:7" s="73" customFormat="1" ht="14.25" customHeight="1">
      <c r="A280" s="84" t="s">
        <v>288</v>
      </c>
      <c r="B280" s="84" t="s">
        <v>2518</v>
      </c>
      <c r="C280" s="84">
        <v>4010</v>
      </c>
      <c r="D280" s="84">
        <v>3950</v>
      </c>
      <c r="E280" s="84">
        <v>4710</v>
      </c>
      <c r="F280" s="84">
        <v>800</v>
      </c>
      <c r="G280" s="92">
        <v>2390</v>
      </c>
    </row>
    <row r="281" spans="1:7" s="73" customFormat="1" ht="14.25" customHeight="1">
      <c r="A281" s="84" t="s">
        <v>288</v>
      </c>
      <c r="B281" s="84" t="s">
        <v>2519</v>
      </c>
      <c r="C281" s="84">
        <v>4480</v>
      </c>
      <c r="D281" s="84">
        <v>4420</v>
      </c>
      <c r="E281" s="84">
        <v>5230</v>
      </c>
      <c r="F281" s="84">
        <v>870</v>
      </c>
      <c r="G281" s="92">
        <v>2660</v>
      </c>
    </row>
    <row r="282" spans="1:7" s="73" customFormat="1" ht="14.25" customHeight="1">
      <c r="A282" s="84" t="s">
        <v>288</v>
      </c>
      <c r="B282" s="84" t="s">
        <v>2520</v>
      </c>
      <c r="C282" s="84">
        <v>5360</v>
      </c>
      <c r="D282" s="84">
        <v>5300</v>
      </c>
      <c r="E282" s="84">
        <v>6190</v>
      </c>
      <c r="F282" s="84">
        <v>950</v>
      </c>
      <c r="G282" s="92">
        <v>3190</v>
      </c>
    </row>
    <row r="283" spans="1:7" s="73" customFormat="1" ht="14.25" customHeight="1">
      <c r="A283" s="84" t="s">
        <v>288</v>
      </c>
      <c r="B283" s="84" t="s">
        <v>2521</v>
      </c>
      <c r="C283" s="84">
        <v>4950</v>
      </c>
      <c r="D283" s="84">
        <v>4900</v>
      </c>
      <c r="E283" s="84">
        <v>5720</v>
      </c>
      <c r="F283" s="84">
        <v>920</v>
      </c>
      <c r="G283" s="92">
        <v>2950</v>
      </c>
    </row>
    <row r="284" spans="1:7" s="73" customFormat="1" ht="14.25" customHeight="1">
      <c r="A284" s="84" t="s">
        <v>288</v>
      </c>
      <c r="B284" s="84" t="s">
        <v>2522</v>
      </c>
      <c r="C284" s="84">
        <v>5610</v>
      </c>
      <c r="D284" s="84">
        <v>5560</v>
      </c>
      <c r="E284" s="84">
        <v>6520</v>
      </c>
      <c r="F284" s="84">
        <v>1030</v>
      </c>
      <c r="G284" s="92">
        <v>3360</v>
      </c>
    </row>
    <row r="285" spans="1:7" s="73" customFormat="1" ht="14.25" customHeight="1">
      <c r="A285" s="84" t="s">
        <v>288</v>
      </c>
      <c r="B285" s="84" t="s">
        <v>2523</v>
      </c>
      <c r="C285" s="84">
        <v>5340</v>
      </c>
      <c r="D285" s="84">
        <v>5290</v>
      </c>
      <c r="E285" s="84">
        <v>6170</v>
      </c>
      <c r="F285" s="84">
        <v>1080</v>
      </c>
      <c r="G285" s="92">
        <v>3180</v>
      </c>
    </row>
    <row r="286" spans="1:7" s="73" customFormat="1" ht="14.25" customHeight="1">
      <c r="A286" s="84" t="s">
        <v>288</v>
      </c>
      <c r="B286" s="84" t="s">
        <v>2524</v>
      </c>
      <c r="C286" s="84">
        <v>4890</v>
      </c>
      <c r="D286" s="84">
        <v>4840</v>
      </c>
      <c r="E286" s="84">
        <v>5640</v>
      </c>
      <c r="F286" s="84">
        <v>960</v>
      </c>
      <c r="G286" s="92">
        <v>2910</v>
      </c>
    </row>
    <row r="287" spans="1:7" s="73" customFormat="1" ht="14.25" customHeight="1">
      <c r="A287" s="84" t="s">
        <v>288</v>
      </c>
      <c r="B287" s="84" t="s">
        <v>2525</v>
      </c>
      <c r="C287" s="84">
        <v>4960</v>
      </c>
      <c r="D287" s="84">
        <v>4920</v>
      </c>
      <c r="E287" s="84">
        <v>5730</v>
      </c>
      <c r="F287" s="84">
        <v>930</v>
      </c>
      <c r="G287" s="92">
        <v>2960</v>
      </c>
    </row>
    <row r="288" spans="1:7" s="73" customFormat="1" ht="14.25" customHeight="1">
      <c r="A288" s="84" t="s">
        <v>288</v>
      </c>
      <c r="B288" s="84" t="s">
        <v>2526</v>
      </c>
      <c r="C288" s="84">
        <v>4350</v>
      </c>
      <c r="D288" s="84">
        <v>4300</v>
      </c>
      <c r="E288" s="84">
        <v>4900</v>
      </c>
      <c r="F288" s="84">
        <v>820</v>
      </c>
      <c r="G288" s="92">
        <v>2590</v>
      </c>
    </row>
    <row r="289" spans="1:7" s="73" customFormat="1" ht="14.25" customHeight="1">
      <c r="A289" s="84" t="s">
        <v>288</v>
      </c>
      <c r="B289" s="84" t="s">
        <v>2527</v>
      </c>
      <c r="C289" s="84">
        <v>5230</v>
      </c>
      <c r="D289" s="84">
        <v>5170</v>
      </c>
      <c r="E289" s="84">
        <v>6060</v>
      </c>
      <c r="F289" s="84">
        <v>900</v>
      </c>
      <c r="G289" s="92">
        <v>3120</v>
      </c>
    </row>
    <row r="290" spans="1:7" s="73" customFormat="1" ht="14.25" customHeight="1">
      <c r="A290" s="84" t="s">
        <v>288</v>
      </c>
      <c r="B290" s="84" t="s">
        <v>2528</v>
      </c>
      <c r="C290" s="84">
        <v>5550</v>
      </c>
      <c r="D290" s="84">
        <v>5500</v>
      </c>
      <c r="E290" s="84">
        <v>6440</v>
      </c>
      <c r="F290" s="84">
        <v>960</v>
      </c>
      <c r="G290" s="92">
        <v>3320</v>
      </c>
    </row>
    <row r="291" spans="1:7" s="73" customFormat="1" ht="14.25" customHeight="1">
      <c r="A291" s="84" t="s">
        <v>288</v>
      </c>
      <c r="B291" s="84" t="s">
        <v>2529</v>
      </c>
      <c r="C291" s="84">
        <v>5440</v>
      </c>
      <c r="D291" s="84">
        <v>5400</v>
      </c>
      <c r="E291" s="84">
        <v>6320</v>
      </c>
      <c r="F291" s="84">
        <v>930</v>
      </c>
      <c r="G291" s="92">
        <v>3250</v>
      </c>
    </row>
    <row r="292" spans="1:7" s="73" customFormat="1" ht="14.25" customHeight="1">
      <c r="A292" s="84" t="s">
        <v>288</v>
      </c>
      <c r="B292" s="84" t="s">
        <v>2530</v>
      </c>
      <c r="C292" s="84">
        <v>5400</v>
      </c>
      <c r="D292" s="84">
        <v>5360</v>
      </c>
      <c r="E292" s="84">
        <v>6270</v>
      </c>
      <c r="F292" s="84">
        <v>1040</v>
      </c>
      <c r="G292" s="92">
        <v>3230</v>
      </c>
    </row>
    <row r="293" spans="1:7" s="73" customFormat="1" ht="14.25" customHeight="1">
      <c r="A293" s="84" t="s">
        <v>288</v>
      </c>
      <c r="B293" s="84" t="s">
        <v>2531</v>
      </c>
      <c r="C293" s="84">
        <v>5320</v>
      </c>
      <c r="D293" s="84">
        <v>5270</v>
      </c>
      <c r="E293" s="84">
        <v>6160</v>
      </c>
      <c r="F293" s="84">
        <v>990</v>
      </c>
      <c r="G293" s="92">
        <v>3170</v>
      </c>
    </row>
    <row r="294" spans="1:7" s="73" customFormat="1" ht="14.25" customHeight="1">
      <c r="A294" s="84" t="s">
        <v>288</v>
      </c>
      <c r="B294" s="84" t="s">
        <v>2532</v>
      </c>
      <c r="C294" s="84">
        <v>5260</v>
      </c>
      <c r="D294" s="84">
        <v>5210</v>
      </c>
      <c r="E294" s="84">
        <v>6100</v>
      </c>
      <c r="F294" s="84">
        <v>950</v>
      </c>
      <c r="G294" s="92">
        <v>3150</v>
      </c>
    </row>
    <row r="295" spans="1:7" s="73" customFormat="1" ht="14.25" customHeight="1">
      <c r="A295" s="84" t="s">
        <v>288</v>
      </c>
      <c r="B295" s="84" t="s">
        <v>2533</v>
      </c>
      <c r="C295" s="84">
        <v>5610</v>
      </c>
      <c r="D295" s="84">
        <v>5570</v>
      </c>
      <c r="E295" s="84">
        <v>6530</v>
      </c>
      <c r="F295" s="84">
        <v>960</v>
      </c>
      <c r="G295" s="92">
        <v>3360</v>
      </c>
    </row>
    <row r="296" spans="1:7" s="73" customFormat="1" ht="14.25" customHeight="1">
      <c r="A296" s="84" t="s">
        <v>288</v>
      </c>
      <c r="B296" s="84" t="s">
        <v>2534</v>
      </c>
      <c r="C296" s="84">
        <v>5540</v>
      </c>
      <c r="D296" s="84">
        <v>5490</v>
      </c>
      <c r="E296" s="84">
        <v>6430</v>
      </c>
      <c r="F296" s="84">
        <v>980</v>
      </c>
      <c r="G296" s="92">
        <v>3310</v>
      </c>
    </row>
    <row r="297" spans="1:7" s="73" customFormat="1" ht="14.25" customHeight="1">
      <c r="A297" s="84" t="s">
        <v>288</v>
      </c>
      <c r="B297" s="84" t="s">
        <v>2535</v>
      </c>
      <c r="C297" s="84">
        <v>5480</v>
      </c>
      <c r="D297" s="84">
        <v>5420</v>
      </c>
      <c r="E297" s="84">
        <v>6370</v>
      </c>
      <c r="F297" s="84">
        <v>990</v>
      </c>
      <c r="G297" s="92">
        <v>3270</v>
      </c>
    </row>
    <row r="298" spans="1:7" s="73" customFormat="1" ht="14.25" customHeight="1">
      <c r="A298" s="84" t="s">
        <v>288</v>
      </c>
      <c r="B298" s="84" t="s">
        <v>2536</v>
      </c>
      <c r="C298" s="84">
        <v>5090</v>
      </c>
      <c r="D298" s="84">
        <v>5050</v>
      </c>
      <c r="E298" s="84">
        <v>5910</v>
      </c>
      <c r="F298" s="84">
        <v>900</v>
      </c>
      <c r="G298" s="92">
        <v>3040</v>
      </c>
    </row>
    <row r="299" spans="1:7" s="73" customFormat="1" ht="14.25" customHeight="1">
      <c r="A299" s="84" t="s">
        <v>288</v>
      </c>
      <c r="B299" s="98" t="s">
        <v>2537</v>
      </c>
      <c r="C299" s="84">
        <v>5430</v>
      </c>
      <c r="D299" s="84">
        <v>5380</v>
      </c>
      <c r="E299" s="84">
        <v>6280</v>
      </c>
      <c r="F299" s="84">
        <v>1000</v>
      </c>
      <c r="G299" s="92">
        <v>3240</v>
      </c>
    </row>
    <row r="300" spans="1:7" s="73" customFormat="1" ht="14.25" customHeight="1">
      <c r="A300" s="84" t="s">
        <v>288</v>
      </c>
      <c r="B300" s="98" t="s">
        <v>2538</v>
      </c>
      <c r="C300" s="84">
        <v>4740</v>
      </c>
      <c r="D300" s="84">
        <v>4680</v>
      </c>
      <c r="E300" s="84">
        <v>5450</v>
      </c>
      <c r="F300" s="84">
        <v>900</v>
      </c>
      <c r="G300" s="92">
        <v>2830</v>
      </c>
    </row>
    <row r="301" spans="1:7" s="73" customFormat="1" ht="14.25" customHeight="1">
      <c r="A301" s="84" t="s">
        <v>288</v>
      </c>
      <c r="B301" s="98" t="s">
        <v>2539</v>
      </c>
      <c r="C301" s="84">
        <v>4870</v>
      </c>
      <c r="D301" s="84">
        <v>4810</v>
      </c>
      <c r="E301" s="84">
        <v>5560</v>
      </c>
      <c r="F301" s="84">
        <v>990</v>
      </c>
      <c r="G301" s="92">
        <v>2910</v>
      </c>
    </row>
    <row r="302" spans="1:7" s="73" customFormat="1" ht="14.25" customHeight="1">
      <c r="A302" s="84" t="s">
        <v>288</v>
      </c>
      <c r="B302" s="84" t="s">
        <v>2540</v>
      </c>
      <c r="C302" s="84">
        <v>5520</v>
      </c>
      <c r="D302" s="84">
        <v>5470</v>
      </c>
      <c r="E302" s="84">
        <v>6410</v>
      </c>
      <c r="F302" s="84">
        <v>950</v>
      </c>
      <c r="G302" s="92">
        <v>3300</v>
      </c>
    </row>
    <row r="303" spans="1:7" s="73" customFormat="1" ht="14.25" customHeight="1">
      <c r="A303" s="84" t="s">
        <v>288</v>
      </c>
      <c r="B303" s="84" t="s">
        <v>2541</v>
      </c>
      <c r="C303" s="84">
        <v>5630</v>
      </c>
      <c r="D303" s="84">
        <v>5590</v>
      </c>
      <c r="E303" s="84">
        <v>6550</v>
      </c>
      <c r="F303" s="84">
        <v>1010</v>
      </c>
      <c r="G303" s="92">
        <v>3370</v>
      </c>
    </row>
    <row r="304" spans="1:7" s="73" customFormat="1" ht="14.25" customHeight="1">
      <c r="A304" s="84" t="s">
        <v>288</v>
      </c>
      <c r="B304" s="84" t="s">
        <v>2542</v>
      </c>
      <c r="C304" s="84">
        <v>5680</v>
      </c>
      <c r="D304" s="84">
        <v>5620</v>
      </c>
      <c r="E304" s="84">
        <v>6620</v>
      </c>
      <c r="F304" s="84">
        <v>1050</v>
      </c>
      <c r="G304" s="92">
        <v>3390</v>
      </c>
    </row>
    <row r="305" spans="1:7" s="73" customFormat="1" ht="14.25" customHeight="1">
      <c r="A305" s="84" t="s">
        <v>288</v>
      </c>
      <c r="B305" s="84" t="s">
        <v>2543</v>
      </c>
      <c r="C305" s="84">
        <v>5590</v>
      </c>
      <c r="D305" s="84">
        <v>5530</v>
      </c>
      <c r="E305" s="84">
        <v>6460</v>
      </c>
      <c r="F305" s="84">
        <v>900</v>
      </c>
      <c r="G305" s="92">
        <v>3340</v>
      </c>
    </row>
    <row r="306" spans="1:7" s="73" customFormat="1" ht="14.25" customHeight="1">
      <c r="A306" s="84" t="s">
        <v>288</v>
      </c>
      <c r="B306" s="84" t="s">
        <v>2544</v>
      </c>
      <c r="C306" s="84">
        <v>5560</v>
      </c>
      <c r="D306" s="84">
        <v>5510</v>
      </c>
      <c r="E306" s="84">
        <v>6440</v>
      </c>
      <c r="F306" s="84">
        <v>900</v>
      </c>
      <c r="G306" s="92">
        <v>3320</v>
      </c>
    </row>
    <row r="307" spans="1:7" s="73" customFormat="1" ht="14.25" customHeight="1">
      <c r="A307" s="84" t="s">
        <v>288</v>
      </c>
      <c r="B307" s="84" t="s">
        <v>2545</v>
      </c>
      <c r="C307" s="84">
        <v>5650</v>
      </c>
      <c r="D307" s="84">
        <v>5600</v>
      </c>
      <c r="E307" s="84">
        <v>6590</v>
      </c>
      <c r="F307" s="84">
        <v>930</v>
      </c>
      <c r="G307" s="92">
        <v>3380</v>
      </c>
    </row>
    <row r="308" spans="1:7" s="73" customFormat="1" ht="14.25" customHeight="1">
      <c r="A308" s="84" t="s">
        <v>288</v>
      </c>
      <c r="B308" s="84" t="s">
        <v>2546</v>
      </c>
      <c r="C308" s="84">
        <v>5620</v>
      </c>
      <c r="D308" s="84">
        <v>5580</v>
      </c>
      <c r="E308" s="84">
        <v>6540</v>
      </c>
      <c r="F308" s="84">
        <v>910</v>
      </c>
      <c r="G308" s="92">
        <v>3370</v>
      </c>
    </row>
    <row r="309" spans="1:7" s="73" customFormat="1" ht="14.25" customHeight="1">
      <c r="A309" s="84" t="s">
        <v>288</v>
      </c>
      <c r="B309" s="84" t="s">
        <v>2547</v>
      </c>
      <c r="C309" s="84">
        <v>5060</v>
      </c>
      <c r="D309" s="84">
        <v>5020</v>
      </c>
      <c r="E309" s="84">
        <v>6370</v>
      </c>
      <c r="F309" s="84">
        <v>800</v>
      </c>
      <c r="G309" s="92">
        <v>3020</v>
      </c>
    </row>
    <row r="310" spans="1:7" s="73" customFormat="1" ht="14.25" customHeight="1">
      <c r="A310" s="84" t="s">
        <v>288</v>
      </c>
      <c r="B310" s="84" t="s">
        <v>2548</v>
      </c>
      <c r="C310" s="84">
        <v>5150</v>
      </c>
      <c r="D310" s="84">
        <v>5110</v>
      </c>
      <c r="E310" s="84">
        <v>6500</v>
      </c>
      <c r="F310" s="84">
        <v>880</v>
      </c>
      <c r="G310" s="92">
        <v>3080</v>
      </c>
    </row>
    <row r="311" spans="1:7" s="73" customFormat="1" ht="14.25" customHeight="1">
      <c r="A311" s="84" t="s">
        <v>288</v>
      </c>
      <c r="B311" s="84" t="s">
        <v>2549</v>
      </c>
      <c r="C311" s="84">
        <v>4750</v>
      </c>
      <c r="D311" s="84">
        <v>4710</v>
      </c>
      <c r="E311" s="84">
        <v>5510</v>
      </c>
      <c r="F311" s="84">
        <v>880</v>
      </c>
      <c r="G311" s="92">
        <v>2840</v>
      </c>
    </row>
    <row r="312" spans="1:7" s="73" customFormat="1" ht="14.25" customHeight="1">
      <c r="A312" s="84" t="s">
        <v>288</v>
      </c>
      <c r="B312" s="84" t="s">
        <v>2550</v>
      </c>
      <c r="C312" s="84">
        <v>4690</v>
      </c>
      <c r="D312" s="84">
        <v>4640</v>
      </c>
      <c r="E312" s="84">
        <v>5420</v>
      </c>
      <c r="F312" s="84">
        <v>800</v>
      </c>
      <c r="G312" s="92">
        <v>2800</v>
      </c>
    </row>
    <row r="313" spans="1:7" s="73" customFormat="1" ht="14.25" customHeight="1">
      <c r="A313" s="84" t="s">
        <v>288</v>
      </c>
      <c r="B313" s="84" t="s">
        <v>2551</v>
      </c>
      <c r="C313" s="84">
        <v>4810</v>
      </c>
      <c r="D313" s="84">
        <v>4760</v>
      </c>
      <c r="E313" s="84">
        <v>5550</v>
      </c>
      <c r="F313" s="84">
        <v>920</v>
      </c>
      <c r="G313" s="92">
        <v>2870</v>
      </c>
    </row>
    <row r="314" spans="1:7" s="73" customFormat="1" ht="14.25" customHeight="1">
      <c r="A314" s="84" t="s">
        <v>288</v>
      </c>
      <c r="B314" s="84" t="s">
        <v>2552</v>
      </c>
      <c r="C314" s="84"/>
      <c r="D314" s="84"/>
      <c r="E314" s="84"/>
      <c r="F314" s="84">
        <v>1020</v>
      </c>
      <c r="G314" s="92"/>
    </row>
    <row r="315" spans="1:7" s="73" customFormat="1" ht="14.25" customHeight="1">
      <c r="A315" s="84" t="s">
        <v>288</v>
      </c>
      <c r="B315" s="84" t="s">
        <v>2553</v>
      </c>
      <c r="C315" s="84"/>
      <c r="D315" s="84"/>
      <c r="E315" s="84"/>
      <c r="F315" s="84">
        <v>1050</v>
      </c>
      <c r="G315" s="92"/>
    </row>
    <row r="316" spans="1:7" s="73" customFormat="1" ht="14.25" customHeight="1">
      <c r="A316" s="84" t="s">
        <v>288</v>
      </c>
      <c r="B316" s="84" t="s">
        <v>2554</v>
      </c>
      <c r="C316" s="84"/>
      <c r="D316" s="84"/>
      <c r="E316" s="84"/>
      <c r="F316" s="84">
        <v>900</v>
      </c>
      <c r="G316" s="92"/>
    </row>
    <row r="317" spans="1:7" s="73" customFormat="1" ht="14.25" customHeight="1">
      <c r="A317" s="84" t="s">
        <v>288</v>
      </c>
      <c r="B317" s="84" t="s">
        <v>2555</v>
      </c>
      <c r="C317" s="84"/>
      <c r="D317" s="84"/>
      <c r="E317" s="84"/>
      <c r="F317" s="84">
        <v>920</v>
      </c>
      <c r="G317" s="92"/>
    </row>
    <row r="318" spans="1:7" s="73" customFormat="1" ht="14.25" customHeight="1">
      <c r="A318" s="84" t="s">
        <v>288</v>
      </c>
      <c r="B318" s="84" t="s">
        <v>2556</v>
      </c>
      <c r="C318" s="84"/>
      <c r="D318" s="84"/>
      <c r="E318" s="84"/>
      <c r="F318" s="84">
        <v>1080</v>
      </c>
      <c r="G318" s="92"/>
    </row>
    <row r="319" spans="1:7" s="73" customFormat="1" ht="14.25" customHeight="1">
      <c r="A319" s="84" t="s">
        <v>288</v>
      </c>
      <c r="B319" s="84" t="s">
        <v>2557</v>
      </c>
      <c r="C319" s="84"/>
      <c r="D319" s="84"/>
      <c r="E319" s="84"/>
      <c r="F319" s="84">
        <v>1020</v>
      </c>
      <c r="G319" s="92"/>
    </row>
    <row r="320" spans="1:7" s="73" customFormat="1" ht="14.25" customHeight="1">
      <c r="A320" s="84" t="s">
        <v>288</v>
      </c>
      <c r="B320" s="84" t="s">
        <v>2558</v>
      </c>
      <c r="C320" s="84"/>
      <c r="D320" s="84"/>
      <c r="E320" s="84"/>
      <c r="F320" s="84">
        <v>1050</v>
      </c>
      <c r="G320" s="92"/>
    </row>
    <row r="321" spans="1:7" s="73" customFormat="1" ht="14.25" customHeight="1">
      <c r="A321" s="84" t="s">
        <v>288</v>
      </c>
      <c r="B321" s="84" t="s">
        <v>2559</v>
      </c>
      <c r="C321" s="84"/>
      <c r="D321" s="84"/>
      <c r="E321" s="84"/>
      <c r="F321" s="84">
        <v>960</v>
      </c>
      <c r="G321" s="92"/>
    </row>
    <row r="322" spans="1:7" s="73" customFormat="1" ht="14.25" customHeight="1">
      <c r="A322" s="84" t="s">
        <v>288</v>
      </c>
      <c r="B322" s="84" t="s">
        <v>2560</v>
      </c>
      <c r="C322" s="84"/>
      <c r="D322" s="84"/>
      <c r="E322" s="84"/>
      <c r="F322" s="84">
        <v>960</v>
      </c>
      <c r="G322" s="92"/>
    </row>
    <row r="323" spans="1:7" s="73" customFormat="1" ht="14.25" customHeight="1">
      <c r="A323" s="84" t="s">
        <v>288</v>
      </c>
      <c r="B323" s="84" t="s">
        <v>2561</v>
      </c>
      <c r="C323" s="84"/>
      <c r="D323" s="84"/>
      <c r="E323" s="84"/>
      <c r="F323" s="84">
        <v>880</v>
      </c>
      <c r="G323" s="92"/>
    </row>
    <row r="324" spans="1:7" s="73" customFormat="1" ht="14.25" customHeight="1">
      <c r="A324" s="84" t="s">
        <v>288</v>
      </c>
      <c r="B324" s="84" t="s">
        <v>2562</v>
      </c>
      <c r="C324" s="84"/>
      <c r="D324" s="84"/>
      <c r="E324" s="84"/>
      <c r="F324" s="84">
        <v>930</v>
      </c>
      <c r="G324" s="92"/>
    </row>
    <row r="325" spans="1:7" s="73" customFormat="1" ht="14.25" customHeight="1">
      <c r="A325" s="84" t="s">
        <v>288</v>
      </c>
      <c r="B325" s="85" t="s">
        <v>2563</v>
      </c>
      <c r="C325" s="84"/>
      <c r="D325" s="84"/>
      <c r="E325" s="84"/>
      <c r="F325" s="84">
        <v>900</v>
      </c>
      <c r="G325" s="92"/>
    </row>
    <row r="326" spans="1:7" s="73" customFormat="1" ht="14.25" customHeight="1">
      <c r="A326" s="93" t="s">
        <v>288</v>
      </c>
      <c r="B326" s="88" t="s">
        <v>2564</v>
      </c>
      <c r="C326" s="88"/>
      <c r="D326" s="88"/>
      <c r="E326" s="88"/>
      <c r="F326" s="88">
        <v>790</v>
      </c>
      <c r="G326" s="94"/>
    </row>
    <row r="327" spans="1:7" s="73" customFormat="1" ht="14.25" customHeight="1">
      <c r="A327" s="82" t="s">
        <v>292</v>
      </c>
      <c r="B327" s="83" t="s">
        <v>2565</v>
      </c>
      <c r="C327" s="84">
        <v>3750</v>
      </c>
      <c r="D327" s="84">
        <v>3710</v>
      </c>
      <c r="E327" s="84">
        <v>4080</v>
      </c>
      <c r="F327" s="84">
        <v>860</v>
      </c>
      <c r="G327" s="84">
        <v>2210</v>
      </c>
    </row>
    <row r="328" spans="1:7" s="73" customFormat="1" ht="14.25" customHeight="1">
      <c r="A328" s="84" t="s">
        <v>292</v>
      </c>
      <c r="B328" s="84" t="s">
        <v>2566</v>
      </c>
      <c r="C328" s="84">
        <v>3330</v>
      </c>
      <c r="D328" s="84">
        <v>3290</v>
      </c>
      <c r="E328" s="84">
        <v>3610</v>
      </c>
      <c r="F328" s="84">
        <v>850</v>
      </c>
      <c r="G328" s="84">
        <v>1960</v>
      </c>
    </row>
    <row r="329" spans="1:7" s="73" customFormat="1" ht="14.25" customHeight="1">
      <c r="A329" s="84" t="s">
        <v>292</v>
      </c>
      <c r="B329" s="84" t="s">
        <v>2567</v>
      </c>
      <c r="C329" s="84">
        <v>2730</v>
      </c>
      <c r="D329" s="84">
        <v>2690</v>
      </c>
      <c r="E329" s="84">
        <v>3100</v>
      </c>
      <c r="F329" s="84">
        <v>660</v>
      </c>
      <c r="G329" s="84">
        <v>1610</v>
      </c>
    </row>
    <row r="330" spans="1:7" s="73" customFormat="1" ht="14.25" customHeight="1">
      <c r="A330" s="84" t="s">
        <v>292</v>
      </c>
      <c r="B330" s="84" t="s">
        <v>2568</v>
      </c>
      <c r="C330" s="84">
        <v>3270</v>
      </c>
      <c r="D330" s="84">
        <v>3240</v>
      </c>
      <c r="E330" s="84">
        <v>3560</v>
      </c>
      <c r="F330" s="84">
        <v>680</v>
      </c>
      <c r="G330" s="84">
        <v>1940</v>
      </c>
    </row>
    <row r="331" spans="1:7" s="73" customFormat="1" ht="14.25" customHeight="1">
      <c r="A331" s="84" t="s">
        <v>292</v>
      </c>
      <c r="B331" s="84" t="s">
        <v>2569</v>
      </c>
      <c r="C331" s="84">
        <v>3770</v>
      </c>
      <c r="D331" s="84">
        <v>3740</v>
      </c>
      <c r="E331" s="84">
        <v>4110</v>
      </c>
      <c r="F331" s="84">
        <v>730</v>
      </c>
      <c r="G331" s="84">
        <v>2230</v>
      </c>
    </row>
    <row r="332" spans="1:7" s="73" customFormat="1" ht="14.25" customHeight="1">
      <c r="A332" s="84" t="s">
        <v>292</v>
      </c>
      <c r="B332" s="84" t="s">
        <v>2570</v>
      </c>
      <c r="C332" s="84">
        <v>3520</v>
      </c>
      <c r="D332" s="84">
        <v>3480</v>
      </c>
      <c r="E332" s="84">
        <v>3830</v>
      </c>
      <c r="F332" s="84">
        <v>720</v>
      </c>
      <c r="G332" s="84">
        <v>2090</v>
      </c>
    </row>
    <row r="333" spans="1:7" s="73" customFormat="1" ht="14.25" customHeight="1">
      <c r="A333" s="84" t="s">
        <v>292</v>
      </c>
      <c r="B333" s="84" t="s">
        <v>2571</v>
      </c>
      <c r="C333" s="84">
        <v>3840</v>
      </c>
      <c r="D333" s="84">
        <v>3800</v>
      </c>
      <c r="E333" s="84">
        <v>4200</v>
      </c>
      <c r="F333" s="84">
        <v>760</v>
      </c>
      <c r="G333" s="84">
        <v>2270</v>
      </c>
    </row>
    <row r="334" spans="1:7" s="73" customFormat="1" ht="14.25" customHeight="1">
      <c r="A334" s="84" t="s">
        <v>292</v>
      </c>
      <c r="B334" s="84" t="s">
        <v>2572</v>
      </c>
      <c r="C334" s="84">
        <v>3960</v>
      </c>
      <c r="D334" s="84">
        <v>3910</v>
      </c>
      <c r="E334" s="84">
        <v>4340</v>
      </c>
      <c r="F334" s="84">
        <v>780</v>
      </c>
      <c r="G334" s="84">
        <v>2340</v>
      </c>
    </row>
    <row r="335" spans="1:7" s="73" customFormat="1" ht="14.25" customHeight="1">
      <c r="A335" s="84" t="s">
        <v>292</v>
      </c>
      <c r="B335" s="84" t="s">
        <v>2573</v>
      </c>
      <c r="C335" s="84">
        <v>3710</v>
      </c>
      <c r="D335" s="84">
        <v>3670</v>
      </c>
      <c r="E335" s="84">
        <v>4030</v>
      </c>
      <c r="F335" s="84">
        <v>750</v>
      </c>
      <c r="G335" s="84">
        <v>2200</v>
      </c>
    </row>
    <row r="336" spans="1:7" s="73" customFormat="1" ht="14.25" customHeight="1">
      <c r="A336" s="84" t="s">
        <v>292</v>
      </c>
      <c r="B336" s="84" t="s">
        <v>2574</v>
      </c>
      <c r="C336" s="84">
        <v>3570</v>
      </c>
      <c r="D336" s="84">
        <v>3530</v>
      </c>
      <c r="E336" s="84">
        <v>3880</v>
      </c>
      <c r="F336" s="84">
        <v>770</v>
      </c>
      <c r="G336" s="84">
        <v>2110</v>
      </c>
    </row>
    <row r="337" spans="1:10" s="73" customFormat="1" ht="14.25" customHeight="1">
      <c r="A337" s="84" t="s">
        <v>292</v>
      </c>
      <c r="B337" s="84" t="s">
        <v>2575</v>
      </c>
      <c r="C337" s="84">
        <v>3780</v>
      </c>
      <c r="D337" s="84">
        <v>3750</v>
      </c>
      <c r="E337" s="84">
        <v>4130</v>
      </c>
      <c r="F337" s="84">
        <v>750</v>
      </c>
      <c r="G337" s="84">
        <v>2240</v>
      </c>
    </row>
    <row r="338" spans="1:10" s="73" customFormat="1" ht="14.25" customHeight="1">
      <c r="A338" s="84" t="s">
        <v>292</v>
      </c>
      <c r="B338" s="84" t="s">
        <v>2576</v>
      </c>
      <c r="C338" s="84">
        <v>3600</v>
      </c>
      <c r="D338" s="84">
        <v>3570</v>
      </c>
      <c r="E338" s="84">
        <v>3920</v>
      </c>
      <c r="F338" s="84">
        <v>790</v>
      </c>
      <c r="G338" s="84">
        <v>2140</v>
      </c>
    </row>
    <row r="339" spans="1:10" s="73" customFormat="1" ht="14.25" customHeight="1">
      <c r="A339" s="84" t="s">
        <v>292</v>
      </c>
      <c r="B339" s="84" t="s">
        <v>2577</v>
      </c>
      <c r="C339" s="84">
        <v>3540</v>
      </c>
      <c r="D339" s="84">
        <v>3500</v>
      </c>
      <c r="E339" s="84">
        <v>3850</v>
      </c>
      <c r="F339" s="84">
        <v>780</v>
      </c>
      <c r="G339" s="84">
        <v>2100</v>
      </c>
    </row>
    <row r="340" spans="1:10" s="73" customFormat="1" ht="14.25" customHeight="1">
      <c r="A340" s="84" t="s">
        <v>292</v>
      </c>
      <c r="B340" s="84" t="s">
        <v>2578</v>
      </c>
      <c r="C340" s="84">
        <v>3850</v>
      </c>
      <c r="D340" s="84">
        <v>3810</v>
      </c>
      <c r="E340" s="84">
        <v>4210</v>
      </c>
      <c r="F340" s="84">
        <v>750</v>
      </c>
      <c r="G340" s="84">
        <v>2280</v>
      </c>
    </row>
    <row r="341" spans="1:10" s="73" customFormat="1" ht="14.25" customHeight="1">
      <c r="A341" s="84" t="s">
        <v>292</v>
      </c>
      <c r="B341" s="84" t="s">
        <v>2579</v>
      </c>
      <c r="C341" s="84">
        <v>3780</v>
      </c>
      <c r="D341" s="84">
        <v>3750</v>
      </c>
      <c r="E341" s="84">
        <v>4140</v>
      </c>
      <c r="F341" s="84">
        <v>720</v>
      </c>
      <c r="G341" s="84">
        <v>2240</v>
      </c>
    </row>
    <row r="342" spans="1:10" s="73" customFormat="1" ht="14.25" customHeight="1">
      <c r="A342" s="84" t="s">
        <v>292</v>
      </c>
      <c r="B342" s="84" t="s">
        <v>2580</v>
      </c>
      <c r="C342" s="84">
        <v>3670</v>
      </c>
      <c r="D342" s="84">
        <v>3620</v>
      </c>
      <c r="E342" s="84">
        <v>3990</v>
      </c>
      <c r="F342" s="84">
        <v>760</v>
      </c>
      <c r="G342" s="84">
        <v>2170</v>
      </c>
    </row>
    <row r="343" spans="1:10" s="73" customFormat="1" ht="14.25" customHeight="1">
      <c r="A343" s="84" t="s">
        <v>292</v>
      </c>
      <c r="B343" s="84" t="s">
        <v>2581</v>
      </c>
      <c r="C343" s="84">
        <v>3760</v>
      </c>
      <c r="D343" s="84">
        <v>3720</v>
      </c>
      <c r="E343" s="84">
        <v>4090</v>
      </c>
      <c r="F343" s="84">
        <v>780</v>
      </c>
      <c r="G343" s="84">
        <v>2220</v>
      </c>
    </row>
    <row r="344" spans="1:10" s="73" customFormat="1" ht="14.25" customHeight="1">
      <c r="A344" s="84" t="s">
        <v>292</v>
      </c>
      <c r="B344" s="84" t="s">
        <v>2582</v>
      </c>
      <c r="C344" s="84">
        <v>3680</v>
      </c>
      <c r="D344" s="84">
        <v>3640</v>
      </c>
      <c r="E344" s="84">
        <v>4010</v>
      </c>
      <c r="F344" s="84">
        <v>750</v>
      </c>
      <c r="G344" s="84">
        <v>2180</v>
      </c>
    </row>
    <row r="345" spans="1:10">
      <c r="A345" s="84" t="s">
        <v>292</v>
      </c>
      <c r="B345" s="84" t="s">
        <v>2583</v>
      </c>
      <c r="C345" s="84">
        <v>3190</v>
      </c>
      <c r="D345" s="84">
        <v>3140</v>
      </c>
      <c r="E345" s="84">
        <v>3450</v>
      </c>
      <c r="F345" s="84">
        <v>720</v>
      </c>
      <c r="G345" s="84">
        <v>1880</v>
      </c>
      <c r="J345" s="73"/>
    </row>
    <row r="346" spans="1:10">
      <c r="A346" s="84" t="s">
        <v>292</v>
      </c>
      <c r="B346" s="84" t="s">
        <v>2584</v>
      </c>
      <c r="C346" s="84">
        <v>3630</v>
      </c>
      <c r="D346" s="84">
        <v>3590</v>
      </c>
      <c r="E346" s="84">
        <v>3940</v>
      </c>
      <c r="F346" s="84">
        <v>730</v>
      </c>
      <c r="G346" s="84">
        <v>2150</v>
      </c>
      <c r="J346" s="73"/>
    </row>
    <row r="347" spans="1:10">
      <c r="A347" s="84" t="s">
        <v>292</v>
      </c>
      <c r="B347" s="84" t="s">
        <v>2585</v>
      </c>
      <c r="C347" s="84">
        <v>3860</v>
      </c>
      <c r="D347" s="84">
        <v>3820</v>
      </c>
      <c r="E347" s="84">
        <v>4220</v>
      </c>
      <c r="F347" s="84">
        <v>750</v>
      </c>
      <c r="G347" s="84">
        <v>2280</v>
      </c>
      <c r="J347" s="73"/>
    </row>
    <row r="348" spans="1:10">
      <c r="A348" s="84" t="s">
        <v>292</v>
      </c>
      <c r="B348" s="84" t="s">
        <v>2586</v>
      </c>
      <c r="C348" s="84">
        <v>4000</v>
      </c>
      <c r="D348" s="84">
        <v>3950</v>
      </c>
      <c r="E348" s="84">
        <v>4430</v>
      </c>
      <c r="F348" s="84">
        <v>760</v>
      </c>
      <c r="G348" s="84">
        <v>2360</v>
      </c>
      <c r="J348" s="73"/>
    </row>
    <row r="349" spans="1:10">
      <c r="A349" s="84" t="s">
        <v>292</v>
      </c>
      <c r="B349" s="84" t="s">
        <v>2587</v>
      </c>
      <c r="C349" s="84">
        <v>3820</v>
      </c>
      <c r="D349" s="84">
        <v>3780</v>
      </c>
      <c r="E349" s="84">
        <v>4170</v>
      </c>
      <c r="F349" s="84">
        <v>710</v>
      </c>
      <c r="G349" s="84">
        <v>2260</v>
      </c>
      <c r="J349" s="73"/>
    </row>
    <row r="350" spans="1:10">
      <c r="A350" s="84" t="s">
        <v>292</v>
      </c>
      <c r="B350" s="84" t="s">
        <v>2588</v>
      </c>
      <c r="C350" s="84">
        <v>3760</v>
      </c>
      <c r="D350" s="84">
        <v>3730</v>
      </c>
      <c r="E350" s="84">
        <v>4100</v>
      </c>
      <c r="F350" s="84">
        <v>800</v>
      </c>
      <c r="G350" s="84">
        <v>2230</v>
      </c>
      <c r="J350" s="73"/>
    </row>
    <row r="351" spans="1:10">
      <c r="A351" s="84" t="s">
        <v>292</v>
      </c>
      <c r="B351" s="84" t="s">
        <v>2589</v>
      </c>
      <c r="C351" s="84">
        <v>3610</v>
      </c>
      <c r="D351" s="84">
        <v>3580</v>
      </c>
      <c r="E351" s="84">
        <v>3930</v>
      </c>
      <c r="F351" s="84">
        <v>700</v>
      </c>
      <c r="G351" s="84">
        <v>2140</v>
      </c>
      <c r="J351" s="73"/>
    </row>
    <row r="352" spans="1:10">
      <c r="A352" s="84" t="s">
        <v>292</v>
      </c>
      <c r="B352" s="84" t="s">
        <v>2590</v>
      </c>
      <c r="C352" s="84">
        <v>3670</v>
      </c>
      <c r="D352" s="84">
        <v>3630</v>
      </c>
      <c r="E352" s="84">
        <v>4000</v>
      </c>
      <c r="F352" s="84">
        <v>750</v>
      </c>
      <c r="G352" s="84">
        <v>2180</v>
      </c>
    </row>
    <row r="353" spans="1:7" s="74" customFormat="1">
      <c r="A353" s="84" t="s">
        <v>292</v>
      </c>
      <c r="B353" s="84" t="s">
        <v>2591</v>
      </c>
      <c r="C353" s="84">
        <v>3190</v>
      </c>
      <c r="D353" s="84">
        <v>3150</v>
      </c>
      <c r="E353" s="84">
        <v>3640</v>
      </c>
      <c r="F353" s="84">
        <v>630</v>
      </c>
      <c r="G353" s="84">
        <v>1890</v>
      </c>
    </row>
    <row r="354" spans="1:7" s="74" customFormat="1">
      <c r="A354" s="84" t="s">
        <v>292</v>
      </c>
      <c r="B354" s="84" t="s">
        <v>2592</v>
      </c>
      <c r="C354" s="84">
        <v>3450</v>
      </c>
      <c r="D354" s="84">
        <v>3420</v>
      </c>
      <c r="E354" s="84">
        <v>3960</v>
      </c>
      <c r="F354" s="84">
        <v>660</v>
      </c>
      <c r="G354" s="84">
        <v>2050</v>
      </c>
    </row>
    <row r="355" spans="1:7" s="74" customFormat="1">
      <c r="A355" s="84" t="s">
        <v>292</v>
      </c>
      <c r="B355" s="84" t="s">
        <v>2593</v>
      </c>
      <c r="C355" s="84">
        <v>3650</v>
      </c>
      <c r="D355" s="84">
        <v>3610</v>
      </c>
      <c r="E355" s="84">
        <v>4200</v>
      </c>
      <c r="F355" s="84">
        <v>640</v>
      </c>
      <c r="G355" s="84">
        <v>2160</v>
      </c>
    </row>
    <row r="356" spans="1:7" s="74" customFormat="1">
      <c r="A356" s="84" t="s">
        <v>292</v>
      </c>
      <c r="B356" s="84" t="s">
        <v>2594</v>
      </c>
      <c r="C356" s="84">
        <v>3260</v>
      </c>
      <c r="D356" s="84">
        <v>3230</v>
      </c>
      <c r="E356" s="84">
        <v>3740</v>
      </c>
      <c r="F356" s="84">
        <v>600</v>
      </c>
      <c r="G356" s="84">
        <v>1930</v>
      </c>
    </row>
    <row r="357" spans="1:7" s="74" customFormat="1">
      <c r="A357" s="86" t="s">
        <v>292</v>
      </c>
      <c r="B357" s="90" t="s">
        <v>2595</v>
      </c>
      <c r="C357" s="90">
        <v>3690</v>
      </c>
      <c r="D357" s="90">
        <v>3650</v>
      </c>
      <c r="E357" s="90">
        <v>4020</v>
      </c>
      <c r="F357" s="90">
        <v>700</v>
      </c>
      <c r="G357" s="90">
        <v>2190</v>
      </c>
    </row>
    <row r="358" spans="1:7" s="74" customFormat="1">
      <c r="A358" s="82" t="s">
        <v>296</v>
      </c>
      <c r="B358" s="83" t="s">
        <v>2596</v>
      </c>
      <c r="C358" s="83">
        <v>2080</v>
      </c>
      <c r="D358" s="83">
        <v>2040</v>
      </c>
      <c r="E358" s="83">
        <v>2010</v>
      </c>
      <c r="F358" s="83">
        <v>530</v>
      </c>
      <c r="G358" s="91">
        <v>1230</v>
      </c>
    </row>
    <row r="359" spans="1:7" s="74" customFormat="1">
      <c r="A359" s="84" t="s">
        <v>296</v>
      </c>
      <c r="B359" s="84" t="s">
        <v>2597</v>
      </c>
      <c r="C359" s="84">
        <v>1850</v>
      </c>
      <c r="D359" s="84">
        <v>1820</v>
      </c>
      <c r="E359" s="84">
        <v>1780</v>
      </c>
      <c r="F359" s="84">
        <v>520</v>
      </c>
      <c r="G359" s="92">
        <v>1100</v>
      </c>
    </row>
    <row r="360" spans="1:7" s="74" customFormat="1">
      <c r="A360" s="84" t="s">
        <v>296</v>
      </c>
      <c r="B360" s="84" t="s">
        <v>2598</v>
      </c>
      <c r="C360" s="84">
        <v>2020</v>
      </c>
      <c r="D360" s="84">
        <v>1990</v>
      </c>
      <c r="E360" s="84">
        <v>1950</v>
      </c>
      <c r="F360" s="84">
        <v>500</v>
      </c>
      <c r="G360" s="92">
        <v>1200</v>
      </c>
    </row>
    <row r="361" spans="1:7" s="74" customFormat="1">
      <c r="A361" s="84" t="s">
        <v>296</v>
      </c>
      <c r="B361" s="84" t="s">
        <v>2599</v>
      </c>
      <c r="C361" s="84">
        <v>2260</v>
      </c>
      <c r="D361" s="84">
        <v>2220</v>
      </c>
      <c r="E361" s="84">
        <v>2180</v>
      </c>
      <c r="F361" s="84">
        <v>580</v>
      </c>
      <c r="G361" s="92">
        <v>1340</v>
      </c>
    </row>
    <row r="362" spans="1:7" s="74" customFormat="1">
      <c r="A362" s="84" t="s">
        <v>296</v>
      </c>
      <c r="B362" s="84" t="s">
        <v>2600</v>
      </c>
      <c r="C362" s="84">
        <v>2650</v>
      </c>
      <c r="D362" s="84">
        <v>2610</v>
      </c>
      <c r="E362" s="84">
        <v>2570</v>
      </c>
      <c r="F362" s="84">
        <v>630</v>
      </c>
      <c r="G362" s="92">
        <v>1570</v>
      </c>
    </row>
    <row r="363" spans="1:7" s="74" customFormat="1">
      <c r="A363" s="84" t="s">
        <v>296</v>
      </c>
      <c r="B363" s="84" t="s">
        <v>2601</v>
      </c>
      <c r="C363" s="84">
        <v>2390</v>
      </c>
      <c r="D363" s="84">
        <v>2360</v>
      </c>
      <c r="E363" s="84">
        <v>2320</v>
      </c>
      <c r="F363" s="84">
        <v>600</v>
      </c>
      <c r="G363" s="92">
        <v>1420</v>
      </c>
    </row>
    <row r="364" spans="1:7" s="74" customFormat="1">
      <c r="A364" s="84" t="s">
        <v>296</v>
      </c>
      <c r="B364" s="84" t="s">
        <v>2602</v>
      </c>
      <c r="C364" s="84">
        <v>2050</v>
      </c>
      <c r="D364" s="84">
        <v>2030</v>
      </c>
      <c r="E364" s="84">
        <v>1990</v>
      </c>
      <c r="F364" s="84">
        <v>550</v>
      </c>
      <c r="G364" s="92">
        <v>1220</v>
      </c>
    </row>
    <row r="365" spans="1:7" s="74" customFormat="1">
      <c r="A365" s="84" t="s">
        <v>296</v>
      </c>
      <c r="B365" s="84" t="s">
        <v>2603</v>
      </c>
      <c r="C365" s="84">
        <v>2140</v>
      </c>
      <c r="D365" s="84">
        <v>2100</v>
      </c>
      <c r="E365" s="84">
        <v>2060</v>
      </c>
      <c r="F365" s="84">
        <v>540</v>
      </c>
      <c r="G365" s="92">
        <v>1270</v>
      </c>
    </row>
    <row r="366" spans="1:7" s="74" customFormat="1">
      <c r="A366" s="84" t="s">
        <v>296</v>
      </c>
      <c r="B366" s="84" t="s">
        <v>2604</v>
      </c>
      <c r="C366" s="84">
        <v>2410</v>
      </c>
      <c r="D366" s="84">
        <v>2370</v>
      </c>
      <c r="E366" s="84">
        <v>2330</v>
      </c>
      <c r="F366" s="84">
        <v>570</v>
      </c>
      <c r="G366" s="92">
        <v>1440</v>
      </c>
    </row>
    <row r="367" spans="1:7" s="74" customFormat="1">
      <c r="A367" s="84" t="s">
        <v>296</v>
      </c>
      <c r="B367" s="84" t="s">
        <v>2605</v>
      </c>
      <c r="C367" s="84">
        <v>2300</v>
      </c>
      <c r="D367" s="84">
        <v>2260</v>
      </c>
      <c r="E367" s="84">
        <v>2220</v>
      </c>
      <c r="F367" s="84">
        <v>560</v>
      </c>
      <c r="G367" s="92">
        <v>1370</v>
      </c>
    </row>
    <row r="368" spans="1:7" s="74" customFormat="1">
      <c r="A368" s="84" t="s">
        <v>296</v>
      </c>
      <c r="B368" s="84" t="s">
        <v>2606</v>
      </c>
      <c r="C368" s="84">
        <v>2430</v>
      </c>
      <c r="D368" s="84">
        <v>2390</v>
      </c>
      <c r="E368" s="84">
        <v>2350</v>
      </c>
      <c r="F368" s="84">
        <v>570</v>
      </c>
      <c r="G368" s="92">
        <v>1450</v>
      </c>
    </row>
    <row r="369" spans="1:7" s="74" customFormat="1">
      <c r="A369" s="84" t="s">
        <v>296</v>
      </c>
      <c r="B369" s="84" t="s">
        <v>2607</v>
      </c>
      <c r="C369" s="84">
        <v>2320</v>
      </c>
      <c r="D369" s="84">
        <v>2290</v>
      </c>
      <c r="E369" s="84">
        <v>2250</v>
      </c>
      <c r="F369" s="84">
        <v>550</v>
      </c>
      <c r="G369" s="92">
        <v>1380</v>
      </c>
    </row>
    <row r="370" spans="1:7" s="74" customFormat="1">
      <c r="A370" s="84" t="s">
        <v>296</v>
      </c>
      <c r="B370" s="84" t="s">
        <v>2608</v>
      </c>
      <c r="C370" s="84">
        <v>2190</v>
      </c>
      <c r="D370" s="84">
        <v>2170</v>
      </c>
      <c r="E370" s="84">
        <v>2130</v>
      </c>
      <c r="F370" s="84">
        <v>530</v>
      </c>
      <c r="G370" s="92">
        <v>1310</v>
      </c>
    </row>
    <row r="371" spans="1:7" s="74" customFormat="1">
      <c r="A371" s="84" t="s">
        <v>296</v>
      </c>
      <c r="B371" s="84" t="s">
        <v>2609</v>
      </c>
      <c r="C371" s="84">
        <v>2460</v>
      </c>
      <c r="D371" s="84">
        <v>2420</v>
      </c>
      <c r="E371" s="84">
        <v>2370</v>
      </c>
      <c r="F371" s="84">
        <v>560</v>
      </c>
      <c r="G371" s="92">
        <v>1470</v>
      </c>
    </row>
    <row r="372" spans="1:7" s="74" customFormat="1">
      <c r="A372" s="84" t="s">
        <v>296</v>
      </c>
      <c r="B372" s="84" t="s">
        <v>2610</v>
      </c>
      <c r="C372" s="84">
        <v>2250</v>
      </c>
      <c r="D372" s="84">
        <v>2210</v>
      </c>
      <c r="E372" s="84">
        <v>2180</v>
      </c>
      <c r="F372" s="84">
        <v>550</v>
      </c>
      <c r="G372" s="92">
        <v>1340</v>
      </c>
    </row>
    <row r="373" spans="1:7" s="74" customFormat="1">
      <c r="A373" s="84" t="s">
        <v>296</v>
      </c>
      <c r="B373" s="84" t="s">
        <v>2611</v>
      </c>
      <c r="C373" s="84">
        <v>2210</v>
      </c>
      <c r="D373" s="84">
        <v>2190</v>
      </c>
      <c r="E373" s="84">
        <v>2150</v>
      </c>
      <c r="F373" s="84">
        <v>530</v>
      </c>
      <c r="G373" s="92">
        <v>1320</v>
      </c>
    </row>
    <row r="374" spans="1:7" s="74" customFormat="1">
      <c r="A374" s="84" t="s">
        <v>296</v>
      </c>
      <c r="B374" s="84" t="s">
        <v>2612</v>
      </c>
      <c r="C374" s="84">
        <v>2320</v>
      </c>
      <c r="D374" s="84">
        <v>2280</v>
      </c>
      <c r="E374" s="84">
        <v>2230</v>
      </c>
      <c r="F374" s="84">
        <v>580</v>
      </c>
      <c r="G374" s="92">
        <v>1380</v>
      </c>
    </row>
    <row r="375" spans="1:7" s="74" customFormat="1">
      <c r="A375" s="84" t="s">
        <v>296</v>
      </c>
      <c r="B375" s="84" t="s">
        <v>2613</v>
      </c>
      <c r="C375" s="84">
        <v>2090</v>
      </c>
      <c r="D375" s="84">
        <v>2050</v>
      </c>
      <c r="E375" s="84">
        <v>2020</v>
      </c>
      <c r="F375" s="84">
        <v>520</v>
      </c>
      <c r="G375" s="92">
        <v>1240</v>
      </c>
    </row>
    <row r="376" spans="1:7" s="74" customFormat="1">
      <c r="A376" s="84" t="s">
        <v>296</v>
      </c>
      <c r="B376" s="84" t="s">
        <v>2614</v>
      </c>
      <c r="C376" s="84">
        <v>2010</v>
      </c>
      <c r="D376" s="84">
        <v>1980</v>
      </c>
      <c r="E376" s="84">
        <v>1940</v>
      </c>
      <c r="F376" s="84">
        <v>540</v>
      </c>
      <c r="G376" s="92">
        <v>1190</v>
      </c>
    </row>
    <row r="377" spans="1:7" s="74" customFormat="1">
      <c r="A377" s="86" t="s">
        <v>296</v>
      </c>
      <c r="B377" s="90" t="s">
        <v>2615</v>
      </c>
      <c r="C377" s="90">
        <v>1930</v>
      </c>
      <c r="D377" s="90">
        <v>1890</v>
      </c>
      <c r="E377" s="90">
        <v>1860</v>
      </c>
      <c r="F377" s="90">
        <v>530</v>
      </c>
      <c r="G377" s="99">
        <v>1150</v>
      </c>
    </row>
    <row r="378" spans="1:7" s="74" customFormat="1">
      <c r="A378" s="100" t="s">
        <v>300</v>
      </c>
      <c r="B378" s="83" t="s">
        <v>2616</v>
      </c>
      <c r="C378" s="83">
        <v>1520</v>
      </c>
      <c r="D378" s="83">
        <v>1490</v>
      </c>
      <c r="E378" s="83">
        <v>1460</v>
      </c>
      <c r="F378" s="83">
        <v>460</v>
      </c>
      <c r="G378" s="91">
        <v>940</v>
      </c>
    </row>
    <row r="379" spans="1:7" s="74" customFormat="1">
      <c r="A379" s="101" t="s">
        <v>300</v>
      </c>
      <c r="B379" s="84" t="s">
        <v>2617</v>
      </c>
      <c r="C379" s="84">
        <v>1500</v>
      </c>
      <c r="D379" s="84">
        <v>1470</v>
      </c>
      <c r="E379" s="84">
        <v>1430</v>
      </c>
      <c r="F379" s="84">
        <v>460</v>
      </c>
      <c r="G379" s="92">
        <v>920</v>
      </c>
    </row>
    <row r="380" spans="1:7" s="74" customFormat="1">
      <c r="A380" s="101" t="s">
        <v>300</v>
      </c>
      <c r="B380" s="84" t="s">
        <v>2618</v>
      </c>
      <c r="C380" s="84">
        <v>1620</v>
      </c>
      <c r="D380" s="84">
        <v>1590</v>
      </c>
      <c r="E380" s="84">
        <v>1560</v>
      </c>
      <c r="F380" s="84">
        <v>480</v>
      </c>
      <c r="G380" s="92">
        <v>1000</v>
      </c>
    </row>
    <row r="381" spans="1:7" s="74" customFormat="1">
      <c r="A381" s="101" t="s">
        <v>300</v>
      </c>
      <c r="B381" s="84" t="s">
        <v>2619</v>
      </c>
      <c r="C381" s="84">
        <v>1460</v>
      </c>
      <c r="D381" s="84">
        <v>1430</v>
      </c>
      <c r="E381" s="84">
        <v>1390</v>
      </c>
      <c r="F381" s="84">
        <v>450</v>
      </c>
      <c r="G381" s="92">
        <v>900</v>
      </c>
    </row>
    <row r="382" spans="1:7" s="74" customFormat="1">
      <c r="A382" s="101" t="s">
        <v>300</v>
      </c>
      <c r="B382" s="84" t="s">
        <v>2620</v>
      </c>
      <c r="C382" s="84">
        <v>1310</v>
      </c>
      <c r="D382" s="84">
        <v>1280</v>
      </c>
      <c r="E382" s="84">
        <v>1250</v>
      </c>
      <c r="F382" s="84">
        <v>440</v>
      </c>
      <c r="G382" s="92">
        <v>800</v>
      </c>
    </row>
    <row r="383" spans="1:7" s="74" customFormat="1">
      <c r="A383" s="101" t="s">
        <v>300</v>
      </c>
      <c r="B383" s="84" t="s">
        <v>2621</v>
      </c>
      <c r="C383" s="84">
        <v>1260</v>
      </c>
      <c r="D383" s="84">
        <v>1230</v>
      </c>
      <c r="E383" s="84">
        <v>1200</v>
      </c>
      <c r="F383" s="84">
        <v>420</v>
      </c>
      <c r="G383" s="92">
        <v>770</v>
      </c>
    </row>
    <row r="384" spans="1:7" s="74" customFormat="1">
      <c r="A384" s="102" t="s">
        <v>300</v>
      </c>
      <c r="B384" s="88" t="s">
        <v>2622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45838</v>
      </c>
      <c r="D1" s="7" t="s">
        <v>2756</v>
      </c>
      <c r="E1" s="9">
        <f>'数据-取费表'!B22</f>
        <v>1</v>
      </c>
      <c r="F1" s="7" t="s">
        <v>2757</v>
      </c>
      <c r="G1" s="10">
        <f ca="1">INDIRECT("d"&amp;$K$1)/100</f>
        <v>0.03</v>
      </c>
      <c r="H1" s="7" t="s">
        <v>2758</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2779</v>
      </c>
      <c r="E12" s="45" t="s">
        <v>2761</v>
      </c>
      <c r="F12" s="45" t="s">
        <v>2762</v>
      </c>
      <c r="G12" s="45" t="s">
        <v>2763</v>
      </c>
      <c r="H12" s="45" t="s">
        <v>2764</v>
      </c>
      <c r="I12" s="59" t="s">
        <v>2780</v>
      </c>
      <c r="J12" s="59" t="s">
        <v>2780</v>
      </c>
      <c r="K12" s="37"/>
      <c r="L12" s="43"/>
      <c r="M12" s="44"/>
      <c r="N12" s="43"/>
      <c r="O12" s="59" t="s">
        <v>2781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2782</v>
      </c>
      <c r="C13" s="48">
        <v>45797</v>
      </c>
      <c r="D13" s="49">
        <v>3</v>
      </c>
      <c r="E13" s="49">
        <v>3</v>
      </c>
      <c r="F13" s="49">
        <f t="shared" ref="F13:F18" si="0">D13</f>
        <v>3</v>
      </c>
      <c r="G13" s="49">
        <f t="shared" ref="G13:G18" si="1">D13</f>
        <v>3</v>
      </c>
      <c r="H13" s="49">
        <v>3.5</v>
      </c>
      <c r="I13" s="49"/>
      <c r="J13" s="49"/>
      <c r="K13" s="46"/>
      <c r="L13" s="47" t="s">
        <v>2782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2784</v>
      </c>
      <c r="Y42" s="51" t="s">
        <v>2784</v>
      </c>
      <c r="Z42" s="51" t="s">
        <v>2784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2784</v>
      </c>
      <c r="Y43" s="51" t="s">
        <v>2784</v>
      </c>
      <c r="Z43" s="51" t="s">
        <v>2784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2784</v>
      </c>
      <c r="Y44" s="51" t="s">
        <v>2784</v>
      </c>
      <c r="Z44" s="51" t="s">
        <v>2784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2784</v>
      </c>
      <c r="Y45" s="51" t="s">
        <v>2784</v>
      </c>
      <c r="Z45" s="51" t="s">
        <v>2784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2784</v>
      </c>
      <c r="Y46" s="51" t="s">
        <v>2784</v>
      </c>
      <c r="Z46" s="51" t="s">
        <v>2784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2784</v>
      </c>
      <c r="Y47" s="51" t="s">
        <v>2784</v>
      </c>
      <c r="Z47" s="51" t="s">
        <v>2784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2784</v>
      </c>
      <c r="Y48" s="51" t="s">
        <v>2784</v>
      </c>
      <c r="Z48" s="51" t="s">
        <v>2784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2784</v>
      </c>
      <c r="Y49" s="51" t="s">
        <v>2784</v>
      </c>
      <c r="Z49" s="51" t="s">
        <v>2784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2784</v>
      </c>
      <c r="Y50" s="51" t="s">
        <v>2784</v>
      </c>
      <c r="Z50" s="51" t="s">
        <v>2784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2784</v>
      </c>
      <c r="V51" s="51" t="s">
        <v>2784</v>
      </c>
      <c r="W51" s="51" t="s">
        <v>2784</v>
      </c>
      <c r="X51" s="51" t="s">
        <v>2784</v>
      </c>
      <c r="Y51" s="51" t="s">
        <v>2784</v>
      </c>
      <c r="Z51" s="51" t="s">
        <v>2784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2784</v>
      </c>
      <c r="J70" s="51" t="s">
        <v>2784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M22" sqref="M22"/>
    </sheetView>
  </sheetViews>
  <sheetFormatPr defaultRowHeight="14.4"/>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1" t="str">
        <f>IF(项目基本情况!B9="房地产市场价值","估价结果一览表","结果表-2")</f>
        <v>结果表-2</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13"/>
      <c r="B3" s="3213"/>
      <c r="C3" s="3213"/>
      <c r="D3" s="3123" t="s">
        <v>110</v>
      </c>
      <c r="E3" s="3123" t="s">
        <v>111</v>
      </c>
      <c r="F3" s="3123" t="s">
        <v>110</v>
      </c>
      <c r="G3" s="3123" t="s">
        <v>111</v>
      </c>
      <c r="H3" s="3123" t="s">
        <v>110</v>
      </c>
      <c r="I3" s="3123" t="s">
        <v>111</v>
      </c>
    </row>
    <row r="4" spans="1:9" ht="30">
      <c r="A4" s="3124" t="str">
        <f>项目基本情况!S2</f>
        <v>北京市平谷区兴谷东路39号房地产</v>
      </c>
      <c r="B4" s="3123">
        <f>项目基本情况!C17</f>
        <v>27483.820000000003</v>
      </c>
      <c r="C4" s="3123">
        <f>项目基本情况!C18</f>
        <v>56554.63</v>
      </c>
      <c r="D4" s="3123">
        <f ca="1">结果表!D118</f>
        <v>6107</v>
      </c>
      <c r="E4" s="3123">
        <f ca="1">结果表!E118</f>
        <v>2222</v>
      </c>
      <c r="F4" s="3123">
        <f ca="1">结果表!F118</f>
        <v>9589</v>
      </c>
      <c r="G4" s="3123">
        <f ca="1">结果表!G118</f>
        <v>3489</v>
      </c>
      <c r="H4" s="3123">
        <f ca="1">结果表!H118</f>
        <v>15696</v>
      </c>
      <c r="I4" s="3123">
        <f ca="1">结果表!I118</f>
        <v>5711</v>
      </c>
    </row>
    <row r="5" spans="1:9" ht="30" customHeight="1">
      <c r="A5" s="3213" t="s">
        <v>112</v>
      </c>
      <c r="B5" s="3213"/>
      <c r="C5" s="3213"/>
      <c r="D5" s="3213" t="str">
        <f ca="1">结果表!D119</f>
        <v>陆仟壹佰零柒万元整</v>
      </c>
      <c r="E5" s="3213"/>
      <c r="F5" s="3213" t="str">
        <f ca="1">结果表!F119</f>
        <v>玖仟伍佰捌拾玖万元整</v>
      </c>
      <c r="G5" s="3213"/>
      <c r="H5" s="3213" t="str">
        <f ca="1">结果表!H119</f>
        <v>壹亿伍仟陆佰玖拾陆万元整</v>
      </c>
      <c r="I5" s="3213"/>
    </row>
    <row r="6" spans="1:9" ht="15.6">
      <c r="A6" s="3214" t="str">
        <f>结果表!A120</f>
        <v>估价师知悉的法定优先受偿款</v>
      </c>
      <c r="B6" s="3214"/>
      <c r="C6" s="3214"/>
      <c r="D6" s="3214">
        <f>结果表!D120</f>
        <v>0</v>
      </c>
      <c r="E6" s="3214"/>
      <c r="F6" s="3214"/>
      <c r="G6" s="3214"/>
      <c r="H6" s="3214"/>
      <c r="I6" s="3214"/>
    </row>
    <row r="7" spans="1:9" ht="15">
      <c r="A7" s="3213" t="s">
        <v>112</v>
      </c>
      <c r="B7" s="3213"/>
      <c r="C7" s="3213"/>
      <c r="D7" s="3215" t="str">
        <f>结果表!D121</f>
        <v>零元整</v>
      </c>
      <c r="E7" s="3216"/>
      <c r="F7" s="3216"/>
      <c r="G7" s="3216"/>
      <c r="H7" s="3216"/>
      <c r="I7" s="3217"/>
    </row>
    <row r="8" spans="1:9" ht="15.6">
      <c r="A8" s="3214" t="str">
        <f>结果表!A122</f>
        <v>房地产抵押价值</v>
      </c>
      <c r="B8" s="3214"/>
      <c r="C8" s="3214"/>
      <c r="D8" s="3214">
        <f ca="1">结果表!D122</f>
        <v>15696</v>
      </c>
      <c r="E8" s="3214"/>
      <c r="F8" s="3214"/>
      <c r="G8" s="3214"/>
      <c r="H8" s="3214"/>
      <c r="I8" s="3214"/>
    </row>
    <row r="9" spans="1:9" ht="15">
      <c r="A9" s="3213" t="s">
        <v>112</v>
      </c>
      <c r="B9" s="3213"/>
      <c r="C9" s="3213"/>
      <c r="D9" s="3213" t="str">
        <f ca="1">结果表!D123</f>
        <v>壹亿伍仟陆佰玖拾陆万元整</v>
      </c>
      <c r="E9" s="3213"/>
      <c r="F9" s="3213"/>
      <c r="G9" s="3213"/>
      <c r="H9" s="3213"/>
      <c r="I9" s="3213"/>
    </row>
    <row r="10" spans="1:9" ht="15.6">
      <c r="A10" s="3214" t="str">
        <f>结果表!A124</f>
        <v/>
      </c>
      <c r="B10" s="3214"/>
      <c r="C10" s="3214"/>
      <c r="D10" s="3214" t="str">
        <f>结果表!D124</f>
        <v>——</v>
      </c>
      <c r="E10" s="3214"/>
      <c r="F10" s="3214"/>
      <c r="G10" s="3214"/>
      <c r="H10" s="3214"/>
      <c r="I10" s="3214"/>
    </row>
    <row r="11" spans="1:9" ht="15">
      <c r="A11" s="3213" t="s">
        <v>112</v>
      </c>
      <c r="B11" s="3213"/>
      <c r="C11" s="3213"/>
      <c r="D11" s="3213" t="e">
        <f>结果表!D125</f>
        <v>#VALUE!</v>
      </c>
      <c r="E11" s="3213"/>
      <c r="F11" s="3213"/>
      <c r="G11" s="3213"/>
      <c r="H11" s="3213"/>
      <c r="I11" s="3213"/>
    </row>
    <row r="12" spans="1:9" ht="15.6">
      <c r="A12" s="3214" t="str">
        <f>结果表!A126</f>
        <v/>
      </c>
      <c r="B12" s="3214"/>
      <c r="C12" s="3214"/>
      <c r="D12" s="3214" t="str">
        <f>结果表!D126</f>
        <v>——</v>
      </c>
      <c r="E12" s="3214"/>
      <c r="F12" s="3214"/>
      <c r="G12" s="3214"/>
      <c r="H12" s="3214"/>
      <c r="I12" s="3214"/>
    </row>
    <row r="13" spans="1:9" ht="15">
      <c r="A13" s="3218" t="s">
        <v>112</v>
      </c>
      <c r="B13" s="3218"/>
      <c r="C13" s="3218"/>
      <c r="D13" s="3218" t="e">
        <f>结果表!D127</f>
        <v>#VALUE!</v>
      </c>
      <c r="E13" s="3218"/>
      <c r="F13" s="3218"/>
      <c r="G13" s="3218"/>
      <c r="H13" s="3218"/>
      <c r="I13" s="3218"/>
    </row>
    <row r="14" spans="1:9">
      <c r="A14" s="3219" t="s">
        <v>113</v>
      </c>
      <c r="B14" s="3219"/>
      <c r="C14" s="3219"/>
      <c r="D14" s="3219"/>
      <c r="E14" s="3219"/>
      <c r="F14" s="3219"/>
      <c r="G14" s="3219"/>
      <c r="H14" s="3219"/>
      <c r="I14" s="3219"/>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0" t="s">
        <v>114</v>
      </c>
      <c r="B1" s="3220"/>
      <c r="C1" s="3220"/>
      <c r="D1" s="3220"/>
    </row>
    <row r="2" spans="1:4" ht="17.399999999999999">
      <c r="A2" s="3221" t="s">
        <v>115</v>
      </c>
      <c r="B2" s="3221"/>
      <c r="C2" s="3221"/>
      <c r="D2" s="3221"/>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1" t="s">
        <v>121</v>
      </c>
      <c r="B6" s="3221"/>
      <c r="C6" s="3221"/>
      <c r="D6" s="3221"/>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2" t="s">
        <v>126</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127</v>
      </c>
      <c r="B16" s="3225"/>
      <c r="C16" s="3225"/>
      <c r="D16" s="3225"/>
    </row>
    <row r="17" spans="1:4" ht="144" customHeight="1">
      <c r="A17" s="3225" t="s">
        <v>128</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129</v>
      </c>
      <c r="B22" s="3228"/>
      <c r="C22" s="3228"/>
      <c r="D22" s="3228"/>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26">
        <v>42551</v>
      </c>
      <c r="D31" s="322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31" t="s">
        <v>146</v>
      </c>
      <c r="B15" s="3236" t="s">
        <v>147</v>
      </c>
      <c r="C15" s="3230"/>
    </row>
    <row r="16" spans="1:7" ht="14.4">
      <c r="A16" s="3232"/>
      <c r="B16" s="3236" t="s">
        <v>148</v>
      </c>
      <c r="C16" s="3230"/>
    </row>
    <row r="17" spans="1:3" ht="14.4">
      <c r="A17" s="3232"/>
      <c r="B17" s="3235" t="s">
        <v>149</v>
      </c>
      <c r="C17" s="3102" t="s">
        <v>146</v>
      </c>
    </row>
    <row r="18" spans="1:3" ht="14.4">
      <c r="A18" s="3232"/>
      <c r="B18" s="3235"/>
      <c r="C18" s="3102" t="s">
        <v>150</v>
      </c>
    </row>
    <row r="19" spans="1:3" ht="14.4">
      <c r="A19" s="3232"/>
      <c r="B19" s="3235"/>
      <c r="C19" s="3102" t="s">
        <v>151</v>
      </c>
    </row>
    <row r="20" spans="1:3" ht="14.4">
      <c r="A20" s="3233"/>
      <c r="B20" s="3229" t="s">
        <v>152</v>
      </c>
      <c r="C20" s="3230"/>
    </row>
    <row r="21" spans="1:3" ht="14.4">
      <c r="A21" s="3103" t="s">
        <v>153</v>
      </c>
      <c r="B21" s="3104"/>
      <c r="C21" s="3105"/>
    </row>
    <row r="22" spans="1:3" ht="14.4">
      <c r="A22" s="3234" t="s">
        <v>154</v>
      </c>
      <c r="B22" s="3229" t="s">
        <v>155</v>
      </c>
      <c r="C22" s="3230"/>
    </row>
    <row r="23" spans="1:3" ht="14.4">
      <c r="A23" s="3234"/>
      <c r="B23" s="3229" t="s">
        <v>156</v>
      </c>
      <c r="C23" s="3230"/>
    </row>
    <row r="24" spans="1:3" ht="14.4">
      <c r="A24" s="3234"/>
      <c r="B24" s="3229" t="s">
        <v>157</v>
      </c>
      <c r="C24" s="3230"/>
    </row>
    <row r="25" spans="1:3" ht="14.4">
      <c r="A25" s="3234"/>
      <c r="B25" s="3235" t="s">
        <v>158</v>
      </c>
      <c r="C25" s="3102" t="s">
        <v>159</v>
      </c>
    </row>
    <row r="26" spans="1:3" ht="14.4">
      <c r="A26" s="3234"/>
      <c r="B26" s="3235"/>
      <c r="C26" s="3102" t="s">
        <v>160</v>
      </c>
    </row>
    <row r="27" spans="1:3" ht="14.4">
      <c r="A27" s="3234"/>
      <c r="B27" s="3235"/>
      <c r="C27" s="3102" t="s">
        <v>161</v>
      </c>
    </row>
    <row r="28" spans="1:3" ht="14.4">
      <c r="A28" s="3234"/>
      <c r="B28" s="3235"/>
      <c r="C28" s="3102" t="s">
        <v>162</v>
      </c>
    </row>
    <row r="29" spans="1:3" ht="14.4">
      <c r="A29" s="3234"/>
      <c r="B29" s="3235"/>
      <c r="C29" s="3102" t="s">
        <v>163</v>
      </c>
    </row>
    <row r="30" spans="1:3" ht="14.4">
      <c r="A30" s="3234"/>
      <c r="B30" s="3235"/>
      <c r="C30" s="3102" t="s">
        <v>164</v>
      </c>
    </row>
    <row r="31" spans="1:3" ht="14.4">
      <c r="A31" s="3234"/>
      <c r="B31" s="3235"/>
      <c r="C31" s="3102" t="s">
        <v>165</v>
      </c>
    </row>
    <row r="32" spans="1:3" ht="14.4">
      <c r="A32" s="3234"/>
      <c r="B32" s="3235"/>
      <c r="C32" s="3102" t="s">
        <v>166</v>
      </c>
    </row>
    <row r="33" spans="1:3" ht="14.4">
      <c r="A33" s="3234"/>
      <c r="B33" s="3235"/>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45849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7" t="s">
        <v>197</v>
      </c>
      <c r="B17" s="3237"/>
      <c r="C17" s="3237"/>
      <c r="D17" s="3237"/>
      <c r="E17" s="3237"/>
      <c r="F17" s="3237"/>
      <c r="G17" s="3237"/>
      <c r="H17" s="3237"/>
    </row>
    <row r="18" spans="1:8" ht="24" customHeight="1">
      <c r="A18" s="3238" t="s">
        <v>198</v>
      </c>
      <c r="B18" s="3238"/>
      <c r="C18" s="3238"/>
      <c r="D18" s="3071"/>
      <c r="E18" s="3239" t="s">
        <v>199</v>
      </c>
      <c r="F18" s="3238"/>
      <c r="G18" s="3238"/>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2025-07-11T08:59:59Z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