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Sheet4" sheetId="71" r:id="rId42"/>
    <sheet name="建筑物价格" sheetId="72"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a" localSheetId="42">'[3]不动产比较法-办公'!$B$115:$M$115</definedName>
    <definedName name="a">'[1]不动产比较法-办公'!$B$115:$M$115</definedName>
    <definedName name="八级">区片价!$P$1:$P$40</definedName>
    <definedName name="办公层高" localSheetId="42">'[4]不动产比较法-办公'!$B$119:$M$119</definedName>
    <definedName name="办公层高">'不动产比较法-办公'!$B$119:$M$119</definedName>
    <definedName name="办公朝向" localSheetId="42">'[4]不动产比较法-办公'!$B$91:$M$91</definedName>
    <definedName name="办公朝向">'不动产比较法-办公'!$B$91:$M$91</definedName>
    <definedName name="办公道路级别" localSheetId="42">'[4]不动产比较法-办公'!$B$87:$M$87</definedName>
    <definedName name="办公道路级别">'不动产比较法-办公'!$B$87:$M$87</definedName>
    <definedName name="办公公共部分装修" localSheetId="42">'[4]不动产比较法-办公'!$B$108:$M$108</definedName>
    <definedName name="办公公共部分装修">'不动产比较法-办公'!$B$108:$M$108</definedName>
    <definedName name="办公基础设施水平" localSheetId="42">'[4]不动产比较法-办公'!$B$117:$M$117</definedName>
    <definedName name="办公基础设施水平">'不动产比较法-办公'!$B$117:$M$117</definedName>
    <definedName name="办公集聚程度" localSheetId="42">[4]定义!$M$1:$M$6</definedName>
    <definedName name="办公集聚程度">定义!$M$1:$M$6</definedName>
    <definedName name="办公建筑结构" localSheetId="42">'[4]不动产比较法-办公'!$B$106:$M$106</definedName>
    <definedName name="办公建筑结构">'不动产比较法-办公'!$B$106:$M$106</definedName>
    <definedName name="办公建筑类型" localSheetId="42">'[4]不动产比较法-办公'!$B$101:$M$101</definedName>
    <definedName name="办公建筑类型">'不动产比较法-办公'!$B$101:$M$101</definedName>
    <definedName name="办公交易情况" localSheetId="42">'[4]不动产比较法-办公'!$A$62:$M$62</definedName>
    <definedName name="办公交易情况">'不动产比较法-办公'!$A$62:$M$62</definedName>
    <definedName name="办公楼层" localSheetId="42">'[4]不动产比较法-办公'!$B$89:$M$89</definedName>
    <definedName name="办公楼层">'不动产比较法-办公'!$B$89:$M$89</definedName>
    <definedName name="办公内部装修" localSheetId="42">'[4]不动产比较法-办公'!$B$123:$M$123</definedName>
    <definedName name="办公内部装修">'不动产比较法-办公'!$B$123:$M$123</definedName>
    <definedName name="办公物业管理" localSheetId="42">'[4]不动产比较法-办公'!$B$115:$M$115</definedName>
    <definedName name="办公物业管理">'不动产比较法-办公'!$B$115:$M$115</definedName>
    <definedName name="办公用途" localSheetId="42">'[4]不动产比较法-办公'!$B$64:$M$64</definedName>
    <definedName name="办公用途">'不动产比较法-办公'!$B$64:$M$64</definedName>
    <definedName name="仓储公共部分装修" localSheetId="42">'[4]不动产比较法-仓储'!$B$77:$M$77</definedName>
    <definedName name="仓储公共部分装修">'不动产比较法-仓储'!$B$77:$M$77</definedName>
    <definedName name="仓储交易情况" localSheetId="42">'[4]不动产比较法-仓储'!$A$49:$M$49</definedName>
    <definedName name="仓储交易情况">'不动产比较法-仓储'!$A$49:$M$49</definedName>
    <definedName name="仓储楼层" localSheetId="42">'[4]不动产比较法-仓储'!$B$69:$M$69</definedName>
    <definedName name="仓储楼层">'不动产比较法-仓储'!$B$69:$M$69</definedName>
    <definedName name="仓储物业等级" localSheetId="42">'[4]不动产比较法-仓储'!$B$82:$M$82</definedName>
    <definedName name="仓储物业等级">'不动产比较法-仓储'!$B$82:$M$82</definedName>
    <definedName name="仓储用途" localSheetId="42">'[4]不动产比较法-仓储'!$B$51:$M$51</definedName>
    <definedName name="仓储用途">'不动产比较法-仓储'!$B$51:$M$51</definedName>
    <definedName name="产业集聚程度" localSheetId="42">[4]定义!$N$1:$N$6</definedName>
    <definedName name="产业集聚程度">定义!$N$1:$N$6</definedName>
    <definedName name="车位公共部分装修" localSheetId="42">'[4]不动产比较法-车位'!$B$83:$M$83</definedName>
    <definedName name="车位公共部分装修">'不动产比较法-车位'!$B$83:$M$83</definedName>
    <definedName name="车位交易情况" localSheetId="42">'[4]不动产比较法-车位'!$A$51:$M$51</definedName>
    <definedName name="车位交易情况">'不动产比较法-车位'!$A$51:$M$51</definedName>
    <definedName name="车位类型" localSheetId="42">'[4]不动产比较法-车位'!$B$93:$M$93</definedName>
    <definedName name="车位类型">'不动产比较法-车位'!$B$93:$M$93</definedName>
    <definedName name="车位楼层" localSheetId="42">'[4]不动产比较法-车位'!$B$71:$M$71</definedName>
    <definedName name="车位楼层">'不动产比较法-车位'!$B$71:$M$71</definedName>
    <definedName name="车位配套类型" localSheetId="42">'[4]不动产比较法-车位'!$B$79:$M$79</definedName>
    <definedName name="车位配套类型">'不动产比较法-车位'!$B$79:$M$79</definedName>
    <definedName name="车位物业等级" localSheetId="42">'[4]不动产比较法-车位'!$B$88:$M$88</definedName>
    <definedName name="车位物业等级">'不动产比较法-车位'!$B$88:$M$88</definedName>
    <definedName name="车位用途" localSheetId="42">'[4]不动产比较法-车位'!$B$53:$M$53</definedName>
    <definedName name="车位用途">'不动产比较法-车位'!$B$53:$M$53</definedName>
    <definedName name="城镇土地纳税等级分级范围" localSheetId="42">'[4]数据-取费表'!$A$53:$A$63</definedName>
    <definedName name="城镇土地纳税等级分级范围">'数据-取费表'!$A$53:$A$63</definedName>
    <definedName name="单价内涵" localSheetId="42">[4]定义!$V$1:$V$3</definedName>
    <definedName name="单价内涵">定义!$V$1:$V$3</definedName>
    <definedName name="地类判定" localSheetId="42">[4]定义!$H$1:$H$9</definedName>
    <definedName name="地类判定">定义!$H$1:$H$9</definedName>
    <definedName name="二级">区片价!$J$1:$J$20</definedName>
    <definedName name="二级分类" localSheetId="42">[4]修正!$C$17:$C$39</definedName>
    <definedName name="二级分类">修正!$C$17:$C$39</definedName>
    <definedName name="法定最高年限" localSheetId="42">[4]定义!$G$2:$G$4</definedName>
    <definedName name="法定最高年限">定义!$G$2:$G$4</definedName>
    <definedName name="工业公共部分装修" localSheetId="42">'[4]不动产比较法-工业'!$B$95:$M$95</definedName>
    <definedName name="工业公共部分装修">'不动产比较法-工业'!$B$95:$M$95</definedName>
    <definedName name="工业基础设施水平" localSheetId="42">'[4]不动产比较法-工业'!$B$102:$M$102</definedName>
    <definedName name="工业基础设施水平">'不动产比较法-工业'!$B$102:$M$102</definedName>
    <definedName name="工业建筑结构" localSheetId="42">'[4]不动产比较法-工业'!$B$93:$M$93</definedName>
    <definedName name="工业建筑结构">'不动产比较法-工业'!$B$93:$M$93</definedName>
    <definedName name="工业建筑类型" localSheetId="42">'[4]不动产比较法-工业'!$B$88:$M$88</definedName>
    <definedName name="工业建筑类型">'不动产比较法-工业'!$B$88:$M$88</definedName>
    <definedName name="工业交易情况" localSheetId="42">'[4]不动产比较法-工业'!$A$55:$M$55</definedName>
    <definedName name="工业交易情况">'不动产比较法-工业'!$A$55:$M$55</definedName>
    <definedName name="工业内部装修" localSheetId="42">'[4]不动产比较法-工业'!$B$104:$M$104</definedName>
    <definedName name="工业内部装修">'不动产比较法-工业'!$B$104:$M$104</definedName>
    <definedName name="工业物业管理" localSheetId="42">'[4]不动产比较法-工业'!$B$100:$M$100</definedName>
    <definedName name="工业物业管理">'不动产比较法-工业'!$B$100:$M$100</definedName>
    <definedName name="工业用途" localSheetId="42">'[4]不动产比较法-工业'!$B$57:$M$57</definedName>
    <definedName name="工业用途">'不动产比较法-工业'!$B$57:$M$57</definedName>
    <definedName name="公共配套设施" localSheetId="42">[4]定义!$Q$1:$Q$6</definedName>
    <definedName name="公共配套设施">定义!$Q$1:$Q$6</definedName>
    <definedName name="公用设施及基础设施水平" localSheetId="42">[3]定义!$Q$1:$Q$6</definedName>
    <definedName name="公用设施及基础设施水平">[1]定义!$Q$1:$Q$6</definedName>
    <definedName name="估价方法" localSheetId="42">[4]定义!$B$1:$B$50</definedName>
    <definedName name="估价方法">定义!$B$1:$B$50</definedName>
    <definedName name="环境" localSheetId="42">[4]定义!$S$1:$S$6</definedName>
    <definedName name="环境">定义!$S$1:$S$6</definedName>
    <definedName name="基础设施水平" localSheetId="42">[4]定义!$R$1:$R$6</definedName>
    <definedName name="基础设施水平">定义!$R$1:$R$6</definedName>
    <definedName name="季度">基准地价!$N$19:$AG$19</definedName>
    <definedName name="季度2014">地价!$A$2:$A$23</definedName>
    <definedName name="价值类型2" localSheetId="42">[4]定义!$B$54:$B$56</definedName>
    <definedName name="价值类型2">定义!$B$54:$B$56</definedName>
    <definedName name="交通便捷度" localSheetId="42">[4]定义!$O$1:$O$6</definedName>
    <definedName name="交通便捷度">定义!$O$1:$O$6</definedName>
    <definedName name="九级">区片价!$Q$1:$Q$46</definedName>
    <definedName name="居住社区成熟度" localSheetId="42">[4]定义!$K$1:$K$6</definedName>
    <definedName name="居住社区成熟度">定义!$K$1:$K$6</definedName>
    <definedName name="类别" localSheetId="42">[4]定义!$J$1:$J$3</definedName>
    <definedName name="类别">定义!$J$1:$J$3</definedName>
    <definedName name="临街状况" localSheetId="42">[4]定义!$T$1:$T$5</definedName>
    <definedName name="临街状况">定义!$T$1:$T$5</definedName>
    <definedName name="六级">区片价!$N$1:$N$49</definedName>
    <definedName name="内部装修维护情况" localSheetId="42">[4]定义!$U$1:$U$6</definedName>
    <definedName name="内部装修维护情况">定义!$U$1:$U$6</definedName>
    <definedName name="判定" localSheetId="42">[4]定义!$D$1:$D$4</definedName>
    <definedName name="判定">定义!$D$1:$D$4</definedName>
    <definedName name="七级">区片价!$O$1:$O$49</definedName>
    <definedName name="七通一平" localSheetId="42">[4]修正!$A$6:$A$14</definedName>
    <definedName name="七通一平">修正!$A$6:$A$14</definedName>
    <definedName name="区域土地利用方向" localSheetId="42">[4]定义!$P$1:$P$6</definedName>
    <definedName name="区域土地利用方向">定义!$P$1:$P$6</definedName>
    <definedName name="三级">区片价!$K$1:$K$21</definedName>
    <definedName name="商业层高" localSheetId="42">'[4]不动产比较法-商业'!$B$116:$M$116</definedName>
    <definedName name="商业层高">'不动产比较法-商业'!$B$116:$M$116</definedName>
    <definedName name="商业成新度">'不动产比较法-商业'!$B$109:$M$109</definedName>
    <definedName name="商业繁华度" localSheetId="42">[4]定义!$L$1:$L$6</definedName>
    <definedName name="商业繁华度">定义!$L$1:$L$6</definedName>
    <definedName name="商业公共部分装修" localSheetId="42">'[4]不动产比较法-商业'!$B$107:$M$107</definedName>
    <definedName name="商业公共部分装修">'不动产比较法-商业'!$B$107:$M$107</definedName>
    <definedName name="商业基础设施水平" localSheetId="42">'[4]不动产比较法-商业'!$B$112:$M$112</definedName>
    <definedName name="商业基础设施水平">'不动产比较法-商业'!$B$112:$M$112</definedName>
    <definedName name="商业建筑结构" localSheetId="42">'[4]不动产比较法-商业'!$B$105:$M$105</definedName>
    <definedName name="商业建筑结构">'不动产比较法-商业'!$B$105:$M$105</definedName>
    <definedName name="商业交易情况" localSheetId="42">'[4]不动产比较法-商业'!$A$61:$M$61</definedName>
    <definedName name="商业交易情况">'不动产比较法-商业'!$A$61:$M$61</definedName>
    <definedName name="商业街名称" localSheetId="42">[4]修正!$C$59:$C$119</definedName>
    <definedName name="商业街名称">修正!$C$59:$C$119</definedName>
    <definedName name="商业进深比" localSheetId="42">'[4]不动产比较法-商业'!$B$120:$M$120</definedName>
    <definedName name="商业进深比">'不动产比较法-商业'!$B$120:$M$120</definedName>
    <definedName name="商业类型" localSheetId="42">'[4]不动产比较法-商业'!$B$100:$M$100</definedName>
    <definedName name="商业类型">'不动产比较法-商业'!$B$100:$M$100</definedName>
    <definedName name="商业临街状况" localSheetId="42">'[4]不动产比较法-商业'!$B$86:$M$86</definedName>
    <definedName name="商业临街状况">'不动产比较法-商业'!$B$86:$M$86</definedName>
    <definedName name="商业楼层" localSheetId="42">'[4]不动产比较法-商业'!$B$92:$M$92</definedName>
    <definedName name="商业楼层">'不动产比较法-商业'!$B$92:$M$92</definedName>
    <definedName name="商业内部装修" localSheetId="42">'[4]不动产比较法-商业'!$B$122:$M$122</definedName>
    <definedName name="商业内部装修">'不动产比较法-商业'!$B$122:$M$122</definedName>
    <definedName name="商业人流量" localSheetId="42">'[4]不动产比较法-商业'!$B$90:$M$90</definedName>
    <definedName name="商业人流量">'不动产比较法-商业'!$B$90:$M$90</definedName>
    <definedName name="商业业态" localSheetId="42">'[4]不动产比较法-商业'!$B$114:$M$114</definedName>
    <definedName name="商业业态">'不动产比较法-商业'!$B$114:$M$114</definedName>
    <definedName name="商业用途" localSheetId="42">'[4]不动产比较法-商业'!$B$63:$M$63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'[4]不动产比较法-仓储'!$B$89:$M$89</definedName>
    <definedName name="是否封闭">'不动产比较法-仓储'!$B$89:$M$89</definedName>
    <definedName name="是否直接入户" localSheetId="42">'[4]不动产比较法-车位'!$B$95:$M$95</definedName>
    <definedName name="是否直接入户">'不动产比较法-车位'!$B$95:$M$95</definedName>
    <definedName name="四级">区片价!$L$1:$L$28</definedName>
    <definedName name="套工工程地质条件" localSheetId="42">'[4]比较法-工业'!$B$116:$M$116</definedName>
    <definedName name="套工工程地质条件">'比较法-工业'!$B$116:$M$116</definedName>
    <definedName name="套工交易情况" localSheetId="42">'[4]比较法-住宅、综合'!$A$75:$M$75</definedName>
    <definedName name="套工交易情况">'比较法-住宅、综合'!$A$75:$M$75</definedName>
    <definedName name="套工开发程度" localSheetId="42">'[4]比较法-工业'!$B$114:$M$114</definedName>
    <definedName name="套工开发程度">'比较法-工业'!$B$114:$M$114</definedName>
    <definedName name="套工临街等级" localSheetId="42">'[4]比较法-工业'!$B$99:$M$99</definedName>
    <definedName name="套工临街等级">'比较法-工业'!$B$99:$M$99</definedName>
    <definedName name="套工土地级别" localSheetId="42">'[4]比较法-工业'!$B$101:$M$101</definedName>
    <definedName name="套工土地级别">'比较法-工业'!$B$101:$M$101</definedName>
    <definedName name="套工用途" localSheetId="42">'[4]比较法-工业'!$B$72:$M$72</definedName>
    <definedName name="套工用途">'比较法-工业'!$B$72:$M$72</definedName>
    <definedName name="套工宗地形状" localSheetId="42">'[4]比较法-工业'!$B$112:$M$112</definedName>
    <definedName name="套工宗地形状">'比较法-工业'!$B$112:$M$112</definedName>
    <definedName name="套综道路等级" localSheetId="42">'[4]比较法-住宅、综合'!$B$108:$M$108</definedName>
    <definedName name="套综道路等级">'比较法-住宅、综合'!$B$108:$M$108</definedName>
    <definedName name="套综工程地质条件" localSheetId="42">'[4]比较法-住宅、综合'!$B$127:$M$127</definedName>
    <definedName name="套综工程地质条件">'比较法-住宅、综合'!$B$127:$M$127</definedName>
    <definedName name="套综交易情况" localSheetId="42">'[4]比较法-住宅、综合'!$A$75:$M$75</definedName>
    <definedName name="套综交易情况">'比较法-住宅、综合'!$A$75:$M$75</definedName>
    <definedName name="套综临街宽度及深度" localSheetId="42">'[4]比较法-住宅、综合'!$B$123:$M$123</definedName>
    <definedName name="套综临街宽度及深度">'比较法-住宅、综合'!$B$123:$M$123</definedName>
    <definedName name="套综土地级别" localSheetId="42">'[4]比较法-住宅、综合'!$B$110:$M$110</definedName>
    <definedName name="套综土地级别">'比较法-住宅、综合'!$B$110:$M$110</definedName>
    <definedName name="套综用途" localSheetId="42">'[4]比较法-住宅、综合'!$B$77:$M$77</definedName>
    <definedName name="套综用途">'比较法-住宅、综合'!$B$77:$M$77</definedName>
    <definedName name="套综宗地内开发程度" localSheetId="42">'[4]比较法-住宅、综合'!$B$125:$M$125</definedName>
    <definedName name="套综宗地内开发程度">'比较法-住宅、综合'!$B$125:$M$125</definedName>
    <definedName name="套综宗地形状" localSheetId="42">'[4]比较法-住宅、综合'!$B$121:$M$121</definedName>
    <definedName name="套综宗地形状">'比较法-住宅、综合'!$B$121:$M$121</definedName>
    <definedName name="土地估价师" localSheetId="42">[4]估价师及机构信息!$D$3:$D$24</definedName>
    <definedName name="土地估价师">估价师及机构信息!$D$3:$D$24</definedName>
    <definedName name="土地级别" localSheetId="42">[4]定义!$C$1:$C$14</definedName>
    <definedName name="土地级别">定义!$C$1:$C$14</definedName>
    <definedName name="土地利用方向">定义!$P$1:$P$6</definedName>
    <definedName name="土地年限区间" localSheetId="42">[4]定义!$I$1:$I$8</definedName>
    <definedName name="土地年限区间">定义!$I$1:$I$8</definedName>
    <definedName name="位置" localSheetId="42">[4]定义!$E$2:$E$4</definedName>
    <definedName name="位置">定义!$E$2:$E$4</definedName>
    <definedName name="五等判定" localSheetId="42">[4]定义!$W$1:$W$6</definedName>
    <definedName name="五等判定">定义!$W$1:$W$6</definedName>
    <definedName name="五级">区片价!$M$1:$M$35</definedName>
    <definedName name="项目类型" localSheetId="42">'[4]数据-汇总表'!$C$17:$C$26</definedName>
    <definedName name="项目类型">'数据-汇总表'!$C$17:$C$26</definedName>
    <definedName name="写字楼等级" localSheetId="42">'[4]不动产比较法-办公'!$B$113:$M$113</definedName>
    <definedName name="写字楼等级">'不动产比较法-办公'!$B$113:$M$113</definedName>
    <definedName name="一级">区片价!$I$1:$I$6</definedName>
    <definedName name="一修多修正项2" localSheetId="42">[4]典型户型修正!$5:$5</definedName>
    <definedName name="一修多修正项2">典型户型修正!$5:$5</definedName>
    <definedName name="一修多修正项3" localSheetId="42">[4]典型户型修正!$7:$7</definedName>
    <definedName name="一修多修正项3">典型户型修正!$7:$7</definedName>
    <definedName name="一修多修正项4" localSheetId="42">[4]典型户型修正!$9:$9</definedName>
    <definedName name="一修多修正项4">典型户型修正!$9:$9</definedName>
    <definedName name="一修多修正项5" localSheetId="42">[4]典型户型修正!$11:$11</definedName>
    <definedName name="一修多修正项5">典型户型修正!$11:$11</definedName>
    <definedName name="一修多修正项6" localSheetId="42">[4]典型户型修正!$13:$13</definedName>
    <definedName name="一修多修正项6">典型户型修正!$13:$13</definedName>
    <definedName name="一修多修正项7" localSheetId="42">[4]典型户型修正!$15:$15</definedName>
    <definedName name="一修多修正项7">典型户型修正!$15:$15</definedName>
    <definedName name="一修多修正项8" localSheetId="42">[4]典型户型修正!$17:$17</definedName>
    <definedName name="一修多修正项8">典型户型修正!$17:$17</definedName>
    <definedName name="用途类型" localSheetId="42">[4]定义!$A$1:$A$50</definedName>
    <definedName name="用途类型">定义!$A$1:$A$50</definedName>
    <definedName name="有无电梯" localSheetId="42">'[4]不动产比较法-仓储'!$B$84:$M$84</definedName>
    <definedName name="有无电梯">'不动产比较法-仓储'!$B$84:$M$84</definedName>
    <definedName name="主用途" localSheetId="42">[4]定义!$F$1:$F$10</definedName>
    <definedName name="主用途">定义!$F$1:$F$10</definedName>
    <definedName name="住宅朝向" localSheetId="42">'[4]不动产比较法-住宅'!$B$88:$M$88</definedName>
    <definedName name="住宅朝向">'不动产比较法-住宅'!$B$88:$M$88</definedName>
    <definedName name="住宅房型" localSheetId="42">'[4]不动产比较法-住宅'!$B$118:$M$118</definedName>
    <definedName name="住宅房型">'不动产比较法-住宅'!$B$118:$M$118</definedName>
    <definedName name="住宅公共部分装修" localSheetId="42">'[4]不动产比较法-住宅'!$B$109:$M$109</definedName>
    <definedName name="住宅公共部分装修">'不动产比较法-住宅'!$B$109:$M$109</definedName>
    <definedName name="住宅基础设施水平" localSheetId="42">'[4]不动产比较法-住宅'!$B$116:$M$116</definedName>
    <definedName name="住宅基础设施水平">'不动产比较法-住宅'!$B$116:$M$116</definedName>
    <definedName name="住宅建筑结构" localSheetId="42">'[4]不动产比较法-住宅'!$B$105:$M$105</definedName>
    <definedName name="住宅建筑结构">'不动产比较法-住宅'!$B$105:$M$105</definedName>
    <definedName name="住宅建筑类型" localSheetId="42">'[4]不动产比较法-住宅'!$B$100:$M$100</definedName>
    <definedName name="住宅建筑类型">'不动产比较法-住宅'!$B$100:$M$100</definedName>
    <definedName name="住宅建筑品质" localSheetId="42">'[4]不动产比较法-住宅'!$B$107:$M$107</definedName>
    <definedName name="住宅建筑品质">'不动产比较法-住宅'!$B$107:$M$107</definedName>
    <definedName name="住宅交易情况" localSheetId="42">'[4]不动产比较法-住宅'!$A$61:$M$61</definedName>
    <definedName name="住宅交易情况">'不动产比较法-住宅'!$A$61:$M$61</definedName>
    <definedName name="住宅楼层" localSheetId="42">'[4]不动产比较法-住宅'!$B$86:$M$86</definedName>
    <definedName name="住宅楼层">'不动产比较法-住宅'!$B$86:$M$86</definedName>
    <definedName name="住宅内部装修" localSheetId="42">'[4]不动产比较法-住宅'!$B$122:$M$122</definedName>
    <definedName name="住宅内部装修">'不动产比较法-住宅'!$B$122:$M$122</definedName>
    <definedName name="住宅物业管理" localSheetId="42">'[4]不动产比较法-住宅'!$B$114:$M$114</definedName>
    <definedName name="住宅物业管理">'不动产比较法-住宅'!$B$114:$M$114</definedName>
    <definedName name="住宅用途" localSheetId="42">'[4]不动产比较法-住宅'!$B$63:$M$63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 i="72" l="1"/>
  <c r="C7" i="72"/>
  <c r="C6" i="72"/>
  <c r="C5" i="72"/>
  <c r="P9" i="72"/>
  <c r="P10" i="72"/>
  <c r="F10" i="72"/>
  <c r="F8" i="72"/>
  <c r="F7" i="72"/>
  <c r="G7" i="72" s="1"/>
  <c r="H7" i="72" s="1"/>
  <c r="F6" i="72"/>
  <c r="G6" i="72" s="1"/>
  <c r="H6" i="72" s="1"/>
  <c r="G5" i="72"/>
  <c r="H5" i="72" s="1"/>
  <c r="F4" i="72"/>
  <c r="G4" i="72" s="1"/>
  <c r="H4" i="72" s="1"/>
  <c r="N12" i="72"/>
  <c r="N11" i="72"/>
  <c r="N10" i="72"/>
  <c r="O10" i="72" s="1"/>
  <c r="N9" i="72"/>
  <c r="O9" i="72" s="1"/>
  <c r="N8" i="72"/>
  <c r="N7" i="72"/>
  <c r="N6" i="72"/>
  <c r="N5" i="72"/>
  <c r="N4" i="72"/>
  <c r="E14" i="72"/>
  <c r="A12" i="72"/>
  <c r="A11" i="72"/>
  <c r="A10" i="72"/>
  <c r="A9" i="72"/>
  <c r="A8" i="72"/>
  <c r="A7" i="72"/>
  <c r="A6" i="72"/>
  <c r="A5" i="72"/>
  <c r="A4" i="72"/>
  <c r="A3" i="72"/>
  <c r="G13" i="72"/>
  <c r="H13" i="72" s="1"/>
  <c r="G9" i="72"/>
  <c r="G8" i="72"/>
  <c r="H8" i="72" s="1"/>
  <c r="G3" i="72"/>
  <c r="H3" i="72" s="1"/>
  <c r="F11" i="72" l="1"/>
  <c r="G11" i="72" s="1"/>
  <c r="H9" i="72"/>
  <c r="G10" i="72"/>
  <c r="H10" i="72" s="1"/>
  <c r="I10" i="72" s="1"/>
  <c r="G12" i="72"/>
  <c r="H12" i="72" s="1"/>
  <c r="I4" i="72"/>
  <c r="I6" i="72"/>
  <c r="J6" i="72" s="1"/>
  <c r="I8" i="72"/>
  <c r="I9" i="72"/>
  <c r="J9" i="72" s="1"/>
  <c r="R9" i="72" s="1"/>
  <c r="L9" i="72" s="1"/>
  <c r="I3" i="72"/>
  <c r="I5" i="72"/>
  <c r="J5" i="72" s="1"/>
  <c r="I7" i="72"/>
  <c r="J7" i="72" s="1"/>
  <c r="I13" i="72"/>
  <c r="H11" i="72" l="1"/>
  <c r="I11" i="72" s="1"/>
  <c r="J3" i="72"/>
  <c r="R3" i="72" s="1"/>
  <c r="L3" i="72" s="1"/>
  <c r="I12" i="72"/>
  <c r="J12" i="72" s="1"/>
  <c r="J13" i="72"/>
  <c r="R13" i="72" s="1"/>
  <c r="L13" i="72" s="1"/>
  <c r="K7" i="72"/>
  <c r="K6" i="72"/>
  <c r="K9" i="72"/>
  <c r="M9" i="72" s="1"/>
  <c r="J10" i="72"/>
  <c r="K10" i="72" s="1"/>
  <c r="R7" i="72"/>
  <c r="L7" i="72" s="1"/>
  <c r="K5" i="72"/>
  <c r="R5" i="72"/>
  <c r="L5" i="72" s="1"/>
  <c r="J11" i="72"/>
  <c r="J8" i="72"/>
  <c r="R6" i="72"/>
  <c r="L6" i="72" s="1"/>
  <c r="J4" i="72"/>
  <c r="M7" i="72" l="1"/>
  <c r="O7" i="72" s="1"/>
  <c r="P7" i="72" s="1"/>
  <c r="M6" i="72"/>
  <c r="O6" i="72" s="1"/>
  <c r="P6" i="72" s="1"/>
  <c r="K3" i="72"/>
  <c r="M3" i="72" s="1"/>
  <c r="O3" i="72" s="1"/>
  <c r="P3" i="72" s="1"/>
  <c r="K13" i="72"/>
  <c r="M13" i="72" s="1"/>
  <c r="O13" i="72" s="1"/>
  <c r="P13" i="72" s="1"/>
  <c r="R12" i="72"/>
  <c r="L12" i="72" s="1"/>
  <c r="K12" i="72"/>
  <c r="M5" i="72"/>
  <c r="O5" i="72" s="1"/>
  <c r="P5" i="72" s="1"/>
  <c r="R4" i="72"/>
  <c r="L4" i="72" s="1"/>
  <c r="K4" i="72"/>
  <c r="M4" i="72" s="1"/>
  <c r="O4" i="72" s="1"/>
  <c r="P4" i="72" s="1"/>
  <c r="R11" i="72"/>
  <c r="L11" i="72" s="1"/>
  <c r="R8" i="72"/>
  <c r="L8" i="72" s="1"/>
  <c r="R10" i="72"/>
  <c r="L10" i="72" s="1"/>
  <c r="M10" i="72" s="1"/>
  <c r="K8" i="72"/>
  <c r="M8" i="72" s="1"/>
  <c r="O8" i="72" s="1"/>
  <c r="P8" i="72" s="1"/>
  <c r="K11" i="72"/>
  <c r="M11" i="72" s="1"/>
  <c r="O11" i="72" s="1"/>
  <c r="P11" i="72" s="1"/>
  <c r="M12" i="72" l="1"/>
  <c r="O12" i="72" l="1"/>
  <c r="P12" i="72" s="1"/>
  <c r="P14" i="72" s="1"/>
  <c r="F1" i="46"/>
  <c r="D27" i="71" l="1"/>
  <c r="D29" i="71" s="1"/>
  <c r="D24" i="71"/>
  <c r="D19" i="71"/>
  <c r="E11" i="71"/>
  <c r="E10" i="71"/>
  <c r="C12" i="71" s="1"/>
  <c r="C14" i="71" s="1"/>
  <c r="D5" i="71"/>
  <c r="D6" i="71" s="1"/>
  <c r="I43" i="40"/>
  <c r="I36" i="40"/>
  <c r="I9" i="40"/>
  <c r="I7" i="40"/>
  <c r="G43" i="40"/>
  <c r="E43" i="40"/>
  <c r="G36" i="40"/>
  <c r="E36" i="40"/>
  <c r="C36" i="40"/>
  <c r="G13" i="40"/>
  <c r="E13" i="40"/>
  <c r="C12" i="40"/>
  <c r="G9" i="40"/>
  <c r="E9" i="40"/>
  <c r="G7" i="40"/>
  <c r="E7" i="40"/>
  <c r="C7" i="40"/>
  <c r="D29" i="46"/>
  <c r="F20" i="6"/>
  <c r="F19" i="6"/>
  <c r="A3" i="3"/>
  <c r="AH5" i="59" l="1"/>
  <c r="AG5" i="59"/>
  <c r="AE5" i="59"/>
  <c r="AF5" i="59"/>
  <c r="AD5" i="59"/>
  <c r="Q6" i="59"/>
  <c r="AB5" i="59"/>
  <c r="P6" i="59"/>
  <c r="AA5" i="59"/>
  <c r="O6" i="59"/>
  <c r="Y5" i="59"/>
  <c r="Z5" i="59"/>
  <c r="N6" i="59"/>
  <c r="X5" i="59"/>
  <c r="Q5" i="59"/>
  <c r="P5" i="59"/>
  <c r="O5" i="59"/>
  <c r="N5" i="59"/>
  <c r="F6" i="59"/>
  <c r="F5" i="59"/>
  <c r="E6" i="59"/>
  <c r="E5" i="59"/>
  <c r="C6" i="59"/>
  <c r="C5" i="59"/>
  <c r="D5" i="59"/>
  <c r="B6" i="59"/>
  <c r="B5" i="59"/>
  <c r="D6" i="59"/>
  <c r="M19" i="46"/>
  <c r="J50" i="15"/>
  <c r="J51" i="15"/>
  <c r="D8" i="59"/>
  <c r="AH6" i="59"/>
  <c r="AG6" i="59"/>
  <c r="AE6" i="59"/>
  <c r="AF6" i="59"/>
  <c r="AD6" i="59"/>
  <c r="I3" i="59"/>
  <c r="L3" i="59"/>
  <c r="K3" i="59"/>
  <c r="J3" i="59"/>
  <c r="AE7" i="59"/>
  <c r="AF7" i="59"/>
  <c r="AG7" i="59"/>
  <c r="AH7" i="59"/>
  <c r="AD7" i="59"/>
  <c r="Q7" i="59"/>
  <c r="AB6" i="59"/>
  <c r="P7" i="59"/>
  <c r="AA6" i="59"/>
  <c r="O7" i="59"/>
  <c r="Y6" i="59"/>
  <c r="Z6" i="59"/>
  <c r="N7" i="59"/>
  <c r="X6" i="59"/>
  <c r="N8" i="59"/>
  <c r="Q8" i="59"/>
  <c r="P8" i="59"/>
  <c r="O8" i="59"/>
  <c r="K59" i="15"/>
  <c r="P62" i="15"/>
  <c r="P75" i="15"/>
  <c r="Q74" i="44"/>
  <c r="Q61" i="44"/>
  <c r="Q60" i="44"/>
  <c r="Q53" i="44"/>
  <c r="J51" i="44"/>
  <c r="J52" i="44"/>
  <c r="M48" i="44"/>
  <c r="A16" i="55"/>
  <c r="A15" i="55"/>
  <c r="A14" i="55"/>
  <c r="A11" i="55"/>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C1" i="65"/>
  <c r="N1" i="65" s="1"/>
  <c r="T7" i="59"/>
  <c r="D7"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s="1"/>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s="1"/>
  <c r="Z31" i="39"/>
  <c r="Q31" i="39"/>
  <c r="D105" i="39"/>
  <c r="E105" i="39"/>
  <c r="F31" i="39"/>
  <c r="AA31" i="39"/>
  <c r="G20" i="20"/>
  <c r="B85" i="46" s="1"/>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s="1"/>
  <c r="K87" i="46"/>
  <c r="J87" i="46" s="1"/>
  <c r="D87" i="46"/>
  <c r="M86" i="46"/>
  <c r="D86" i="46"/>
  <c r="K86" i="46"/>
  <c r="J86" i="46"/>
  <c r="M85" i="46"/>
  <c r="N85" i="46" s="1"/>
  <c r="D85" i="46"/>
  <c r="K85" i="46"/>
  <c r="J85" i="46"/>
  <c r="M84" i="46"/>
  <c r="N84" i="46" s="1"/>
  <c r="K84" i="46"/>
  <c r="J84" i="46" s="1"/>
  <c r="M83" i="46"/>
  <c r="N83" i="46"/>
  <c r="K83" i="46"/>
  <c r="J83" i="46"/>
  <c r="M82" i="46"/>
  <c r="N82" i="46" s="1"/>
  <c r="K82" i="46"/>
  <c r="J82" i="46" s="1"/>
  <c r="D82" i="46"/>
  <c r="M81" i="46"/>
  <c r="N81" i="46" s="1"/>
  <c r="K81" i="46"/>
  <c r="J81" i="46" s="1"/>
  <c r="M80" i="46"/>
  <c r="N80" i="46" s="1"/>
  <c r="K80" i="46"/>
  <c r="J80" i="46" s="1"/>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G5" i="3" s="1"/>
  <c r="B3"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s="1"/>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s="1"/>
  <c r="E115" i="40"/>
  <c r="F115" i="40"/>
  <c r="G115" i="40" s="1"/>
  <c r="H115" i="40" s="1"/>
  <c r="I115" i="40" s="1"/>
  <c r="J115" i="40" s="1"/>
  <c r="K115" i="40" s="1"/>
  <c r="L115" i="40" s="1"/>
  <c r="M115" i="40" s="1"/>
  <c r="H38" i="40"/>
  <c r="AB38" i="40" s="1"/>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s="1"/>
  <c r="D98" i="40"/>
  <c r="E98" i="40"/>
  <c r="B97" i="40"/>
  <c r="D94" i="40"/>
  <c r="D92" i="40"/>
  <c r="D90" i="40"/>
  <c r="H21" i="40"/>
  <c r="AB21" i="40" s="1"/>
  <c r="D88" i="40"/>
  <c r="E88" i="40"/>
  <c r="D86" i="40"/>
  <c r="E86" i="40"/>
  <c r="J17" i="40"/>
  <c r="W17" i="40" s="1"/>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D5" i="3" s="1"/>
  <c r="BE13" i="3"/>
  <c r="BF13" i="3"/>
  <c r="BF5" i="3" s="1"/>
  <c r="BG13" i="3"/>
  <c r="BG5" i="3" s="1"/>
  <c r="BH13" i="3"/>
  <c r="BH5" i="3" s="1"/>
  <c r="BI13" i="3"/>
  <c r="BI5" i="3" s="1"/>
  <c r="BJ13" i="3"/>
  <c r="BK13" i="3"/>
  <c r="BK5" i="3" s="1"/>
  <c r="BM13" i="3"/>
  <c r="BN13" i="3"/>
  <c r="BO13" i="3"/>
  <c r="BP13" i="3"/>
  <c r="BP5"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E58" i="39" s="1"/>
  <c r="BL19" i="3"/>
  <c r="AZ19" i="3"/>
  <c r="BA18" i="3"/>
  <c r="F36" i="44"/>
  <c r="F114" i="34"/>
  <c r="G114" i="34"/>
  <c r="H114" i="34"/>
  <c r="I114" i="34"/>
  <c r="J114" i="34"/>
  <c r="K114" i="34"/>
  <c r="L114" i="34"/>
  <c r="M114" i="34"/>
  <c r="H38" i="34"/>
  <c r="U38" i="34"/>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s="1"/>
  <c r="AP11" i="1"/>
  <c r="B11" i="1"/>
  <c r="E11" i="1"/>
  <c r="K11" i="1"/>
  <c r="M11" i="1" s="1"/>
  <c r="B9" i="1"/>
  <c r="E9" i="1"/>
  <c r="K9" i="1"/>
  <c r="M9" i="1" s="1"/>
  <c r="B7" i="1"/>
  <c r="E7" i="1" s="1"/>
  <c r="K7" i="1"/>
  <c r="M7" i="1" s="1"/>
  <c r="C20" i="43"/>
  <c r="F6" i="1"/>
  <c r="AP6" i="1" s="1"/>
  <c r="G11" i="1"/>
  <c r="M22" i="44"/>
  <c r="F32" i="15"/>
  <c r="F59" i="15" s="1"/>
  <c r="F29" i="12"/>
  <c r="C29" i="12" s="1"/>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U21" i="40"/>
  <c r="W25" i="40"/>
  <c r="W42" i="40"/>
  <c r="U35" i="40"/>
  <c r="F37" i="40"/>
  <c r="J37" i="40"/>
  <c r="AC37" i="40" s="1"/>
  <c r="H37" i="40"/>
  <c r="U37" i="40" s="1"/>
  <c r="G113" i="40"/>
  <c r="H113" i="40"/>
  <c r="I113" i="40"/>
  <c r="J113" i="40"/>
  <c r="K113" i="40"/>
  <c r="L113" i="40"/>
  <c r="M113" i="40"/>
  <c r="F39" i="40"/>
  <c r="AA39" i="40" s="1"/>
  <c r="H39" i="40"/>
  <c r="J39" i="40"/>
  <c r="AC39" i="40" s="1"/>
  <c r="W38" i="40"/>
  <c r="F29" i="40"/>
  <c r="S29" i="40" s="1"/>
  <c r="H29" i="40"/>
  <c r="J29" i="40"/>
  <c r="W29" i="40" s="1"/>
  <c r="F98" i="40"/>
  <c r="G98" i="40"/>
  <c r="H98" i="40"/>
  <c r="I98" i="40"/>
  <c r="J98" i="40"/>
  <c r="K98" i="40"/>
  <c r="L98" i="40"/>
  <c r="M98" i="40"/>
  <c r="S25" i="40"/>
  <c r="F88" i="40"/>
  <c r="G88" i="40"/>
  <c r="F19" i="40"/>
  <c r="AA19" i="40" s="1"/>
  <c r="H19" i="40"/>
  <c r="J19" i="40"/>
  <c r="W19" i="40" s="1"/>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M18" i="15"/>
  <c r="BA16" i="3"/>
  <c r="BA17" i="3"/>
  <c r="AZ17" i="3" s="1"/>
  <c r="C24" i="12"/>
  <c r="F3" i="35"/>
  <c r="K1" i="43"/>
  <c r="K1" i="12"/>
  <c r="G1" i="44"/>
  <c r="I4" i="6"/>
  <c r="G3" i="46" s="1"/>
  <c r="AZ15" i="3"/>
  <c r="BO5" i="3"/>
  <c r="BN5" i="3"/>
  <c r="BL18" i="3"/>
  <c r="AZ18" i="3" s="1"/>
  <c r="BC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C6" i="46" s="1"/>
  <c r="M3" i="46"/>
  <c r="M5" i="46"/>
  <c r="H6" i="48"/>
  <c r="E9" i="46"/>
  <c r="H15" i="48"/>
  <c r="H5" i="48"/>
  <c r="H14" i="48"/>
  <c r="F38" i="46"/>
  <c r="F36" i="46"/>
  <c r="F34" i="46"/>
  <c r="J17" i="46"/>
  <c r="C17" i="46"/>
  <c r="F39" i="46"/>
  <c r="H13" i="48"/>
  <c r="H11" i="48"/>
  <c r="E8" i="46"/>
  <c r="C7" i="46"/>
  <c r="I17" i="46"/>
  <c r="E17" i="46"/>
  <c r="D71" i="46"/>
  <c r="D84" i="46"/>
  <c r="E80" i="46" s="1"/>
  <c r="B78" i="46" s="1"/>
  <c r="C24" i="46" s="1"/>
  <c r="D69" i="46"/>
  <c r="E69" i="46"/>
  <c r="B67" i="46"/>
  <c r="E47" i="46"/>
  <c r="E58" i="46"/>
  <c r="A4" i="64"/>
  <c r="A4" i="51"/>
  <c r="B6" i="63" s="1"/>
  <c r="C51" i="10"/>
  <c r="H58" i="46"/>
  <c r="H62" i="46"/>
  <c r="H75" i="46"/>
  <c r="I100" i="46"/>
  <c r="B56" i="46"/>
  <c r="N100" i="46"/>
  <c r="H100" i="46"/>
  <c r="F108" i="46"/>
  <c r="B45" i="46"/>
  <c r="E100" i="46"/>
  <c r="G100" i="46"/>
  <c r="H66" i="46"/>
  <c r="C100" i="46"/>
  <c r="J100" i="46"/>
  <c r="M100" i="46"/>
  <c r="AA12" i="36"/>
  <c r="U12" i="35"/>
  <c r="AB12" i="35"/>
  <c r="W11" i="35"/>
  <c r="AA11" i="35"/>
  <c r="S14" i="37"/>
  <c r="U13" i="37"/>
  <c r="S13" i="21"/>
  <c r="C24" i="9"/>
  <c r="C25" i="9"/>
  <c r="AP7" i="1"/>
  <c r="G7" i="1"/>
  <c r="AP9" i="1"/>
  <c r="G9" i="1"/>
  <c r="AP8" i="1"/>
  <c r="G8" i="1"/>
  <c r="I20" i="46"/>
  <c r="B46" i="50"/>
  <c r="B4" i="63" s="1"/>
  <c r="C46" i="36"/>
  <c r="D46" i="36" s="1"/>
  <c r="C59" i="34"/>
  <c r="D59" i="34" s="1"/>
  <c r="C48" i="35"/>
  <c r="D48" i="35"/>
  <c r="C52" i="37"/>
  <c r="D52" i="37"/>
  <c r="C67" i="40"/>
  <c r="D65" i="40"/>
  <c r="P24" i="46"/>
  <c r="B68" i="40"/>
  <c r="P25" i="46"/>
  <c r="B73" i="39"/>
  <c r="P23" i="46"/>
  <c r="P21" i="46"/>
  <c r="P22" i="46"/>
  <c r="C72" i="39"/>
  <c r="D70" i="39"/>
  <c r="O19" i="46"/>
  <c r="K17" i="4"/>
  <c r="A22" i="51" s="1"/>
  <c r="B16" i="63" s="1"/>
  <c r="H73" i="46"/>
  <c r="H74" i="46"/>
  <c r="H59" i="46"/>
  <c r="H60" i="46"/>
  <c r="H10" i="48"/>
  <c r="P13" i="1"/>
  <c r="K10" i="1"/>
  <c r="M10" i="1" s="1"/>
  <c r="S11" i="1"/>
  <c r="R11" i="1"/>
  <c r="S13" i="1"/>
  <c r="R13" i="1"/>
  <c r="B6" i="1"/>
  <c r="E6" i="1" s="1"/>
  <c r="B10" i="1"/>
  <c r="E10" i="1"/>
  <c r="S10" i="1"/>
  <c r="B8" i="1"/>
  <c r="E8" i="1"/>
  <c r="B12" i="1"/>
  <c r="E12" i="1"/>
  <c r="S12" i="1"/>
  <c r="K6" i="1"/>
  <c r="M6" i="1" s="1"/>
  <c r="C15" i="43"/>
  <c r="O9" i="1"/>
  <c r="O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7" i="52"/>
  <c r="B10" i="52"/>
  <c r="B9" i="52"/>
  <c r="B4" i="52"/>
  <c r="B8" i="52"/>
  <c r="E9" i="52"/>
  <c r="E10" i="52"/>
  <c r="C4" i="4" s="1"/>
  <c r="B20" i="55" s="1"/>
  <c r="B70" i="63" s="1"/>
  <c r="B23" i="52"/>
  <c r="B16" i="52"/>
  <c r="B6" i="52"/>
  <c r="E5" i="52"/>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S39" i="40"/>
  <c r="AB37" i="40"/>
  <c r="AA37" i="40"/>
  <c r="S37" i="40"/>
  <c r="U29" i="40"/>
  <c r="AB29" i="40"/>
  <c r="AA29" i="40"/>
  <c r="AC19" i="40"/>
  <c r="S19" i="40"/>
  <c r="AB19" i="40"/>
  <c r="U19" i="40"/>
  <c r="W31" i="39"/>
  <c r="AC31" i="39"/>
  <c r="B20" i="31"/>
  <c r="R22" i="31"/>
  <c r="B21" i="31"/>
  <c r="E5" i="6"/>
  <c r="D21" i="12" s="1"/>
  <c r="C21" i="12" s="1"/>
  <c r="C15" i="12"/>
  <c r="E552" i="3"/>
  <c r="E101" i="3"/>
  <c r="E57" i="3"/>
  <c r="E274"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2" i="46"/>
  <c r="A9" i="64"/>
  <c r="A9" i="51"/>
  <c r="B9" i="63" s="1"/>
  <c r="E52" i="37"/>
  <c r="F52" i="37" s="1"/>
  <c r="G52" i="37" s="1"/>
  <c r="H52" i="37" s="1"/>
  <c r="I52" i="37" s="1"/>
  <c r="J52" i="37" s="1"/>
  <c r="K52" i="37" s="1"/>
  <c r="L52" i="37" s="1"/>
  <c r="M52" i="37" s="1"/>
  <c r="N52" i="37" s="1"/>
  <c r="O52" i="37" s="1"/>
  <c r="E48" i="35"/>
  <c r="F48" i="35" s="1"/>
  <c r="E46" i="36"/>
  <c r="F46" i="36" s="1"/>
  <c r="G46" i="36" s="1"/>
  <c r="D72" i="39"/>
  <c r="E70" i="39"/>
  <c r="D67" i="40"/>
  <c r="E65" i="40"/>
  <c r="G66" i="36"/>
  <c r="J18" i="36"/>
  <c r="AE8" i="1"/>
  <c r="AE7" i="1"/>
  <c r="AE6" i="1"/>
  <c r="H7" i="37"/>
  <c r="J7" i="37"/>
  <c r="F7" i="37"/>
  <c r="AA7" i="37" s="1"/>
  <c r="R42" i="37" s="1"/>
  <c r="W18" i="36"/>
  <c r="AC18" i="36"/>
  <c r="AG6" i="1"/>
  <c r="L20" i="6"/>
  <c r="L19" i="6"/>
  <c r="AC7" i="37"/>
  <c r="V42" i="37" s="1"/>
  <c r="I42" i="37" s="1"/>
  <c r="W7" i="37"/>
  <c r="F7" i="21"/>
  <c r="J7" i="21"/>
  <c r="H7" i="21"/>
  <c r="U7" i="21" s="1"/>
  <c r="E67" i="40"/>
  <c r="F65" i="40"/>
  <c r="G65" i="40" s="1"/>
  <c r="E72" i="39"/>
  <c r="F70" i="39"/>
  <c r="G70" i="39" s="1"/>
  <c r="U7" i="37"/>
  <c r="AB7" i="37"/>
  <c r="T42" i="37"/>
  <c r="G42" i="37" s="1"/>
  <c r="S8" i="1"/>
  <c r="S9" i="1"/>
  <c r="AC7" i="21"/>
  <c r="V48" i="21"/>
  <c r="I48" i="21" s="1"/>
  <c r="W7" i="21"/>
  <c r="AB7" i="21"/>
  <c r="T48" i="21" s="1"/>
  <c r="G48" i="21" s="1"/>
  <c r="S7" i="21"/>
  <c r="AA7" i="21"/>
  <c r="R48" i="21" s="1"/>
  <c r="F72" i="39"/>
  <c r="F67" i="40"/>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31" i="15"/>
  <c r="F33" i="44"/>
  <c r="F10" i="67"/>
  <c r="B9" i="67"/>
  <c r="J4" i="65"/>
  <c r="M26" i="15"/>
  <c r="F7" i="15"/>
  <c r="F9" i="15"/>
  <c r="F11" i="67"/>
  <c r="B12" i="67"/>
  <c r="J3" i="65"/>
  <c r="F6" i="15"/>
  <c r="M8" i="15"/>
  <c r="M24" i="44"/>
  <c r="F37" i="44"/>
  <c r="B13" i="67"/>
  <c r="I6" i="65"/>
  <c r="F16" i="15"/>
  <c r="M9" i="15"/>
  <c r="L49" i="44"/>
  <c r="E14" i="67"/>
  <c r="N4" i="65"/>
  <c r="F42" i="15"/>
  <c r="J15" i="15"/>
  <c r="F14" i="67"/>
  <c r="M6" i="15"/>
  <c r="M10" i="44"/>
  <c r="L47" i="15"/>
  <c r="F38" i="44"/>
  <c r="E8" i="67"/>
  <c r="N7" i="65"/>
  <c r="M11" i="44"/>
  <c r="M29" i="44"/>
  <c r="F9" i="44"/>
  <c r="E11" i="67"/>
  <c r="F39" i="44"/>
  <c r="M30" i="44"/>
  <c r="F9" i="67"/>
  <c r="N6" i="65"/>
  <c r="F43" i="44"/>
  <c r="F8" i="44"/>
  <c r="F40" i="15"/>
  <c r="E9" i="67"/>
  <c r="I7" i="65"/>
  <c r="F18" i="44"/>
  <c r="M8" i="44"/>
  <c r="F8" i="15"/>
  <c r="L48" i="15"/>
  <c r="E12" i="67"/>
  <c r="N5" i="65"/>
  <c r="M24" i="15"/>
  <c r="M26" i="44"/>
  <c r="F43" i="15"/>
  <c r="M23" i="44"/>
  <c r="F12" i="67"/>
  <c r="J6" i="65"/>
  <c r="M28" i="15"/>
  <c r="F36" i="15"/>
  <c r="F13" i="15"/>
  <c r="F13" i="67"/>
  <c r="B10" i="67"/>
  <c r="F11" i="44"/>
  <c r="M23" i="15"/>
  <c r="C19" i="44"/>
  <c r="E13" i="67"/>
  <c r="N3" i="65"/>
  <c r="J17" i="44"/>
  <c r="F28" i="44"/>
  <c r="F38" i="15"/>
  <c r="I4" i="65"/>
  <c r="B14" i="67"/>
  <c r="J5" i="65"/>
  <c r="F15" i="44"/>
  <c r="M22" i="15"/>
  <c r="M29" i="15"/>
  <c r="F8" i="67"/>
  <c r="I3" i="65"/>
  <c r="M27" i="15"/>
  <c r="J36" i="15"/>
  <c r="M31" i="44"/>
  <c r="F41" i="15"/>
  <c r="E10" i="67"/>
  <c r="J7" i="65"/>
  <c r="F26" i="15"/>
  <c r="F10" i="44"/>
  <c r="F37" i="15"/>
  <c r="F46" i="44"/>
  <c r="F35" i="15"/>
  <c r="M25" i="44"/>
  <c r="F45" i="44"/>
  <c r="D20" i="9"/>
  <c r="B11" i="67"/>
  <c r="D21" i="9"/>
  <c r="I5" i="65"/>
  <c r="M28" i="44"/>
  <c r="B8" i="67"/>
  <c r="L48" i="44"/>
  <c r="F40" i="44"/>
  <c r="D19" i="9"/>
  <c r="M21" i="15"/>
  <c r="M43" i="9" l="1"/>
  <c r="D18" i="9"/>
  <c r="M44" i="9" s="1"/>
  <c r="A30" i="51"/>
  <c r="B22" i="63" s="1"/>
  <c r="A30" i="64"/>
  <c r="F100" i="40"/>
  <c r="G100" i="40" s="1"/>
  <c r="H100" i="40" s="1"/>
  <c r="I100" i="40" s="1"/>
  <c r="J100" i="40" s="1"/>
  <c r="K100" i="40" s="1"/>
  <c r="L100" i="40" s="1"/>
  <c r="M100" i="40" s="1"/>
  <c r="H30" i="40"/>
  <c r="AB30" i="40" s="1"/>
  <c r="J30" i="40"/>
  <c r="AC30" i="40" s="1"/>
  <c r="F30" i="40"/>
  <c r="AA30" i="40" s="1"/>
  <c r="AC29" i="40"/>
  <c r="W23" i="40"/>
  <c r="AA21" i="40"/>
  <c r="S17" i="40"/>
  <c r="AB32" i="40"/>
  <c r="W37" i="40"/>
  <c r="W39" i="40"/>
  <c r="S27" i="40"/>
  <c r="U38" i="40"/>
  <c r="S38" i="40"/>
  <c r="U30" i="40"/>
  <c r="W30" i="40"/>
  <c r="AC27" i="40"/>
  <c r="U25" i="40"/>
  <c r="AA23" i="40"/>
  <c r="AB23" i="40"/>
  <c r="U17" i="40"/>
  <c r="AC13" i="40"/>
  <c r="W11" i="40"/>
  <c r="F80" i="46"/>
  <c r="D23" i="15"/>
  <c r="E86" i="3"/>
  <c r="E28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561" i="3"/>
  <c r="E23" i="3"/>
  <c r="AN6" i="3"/>
  <c r="E41" i="3"/>
  <c r="E280" i="3"/>
  <c r="E471" i="3"/>
  <c r="E59" i="3"/>
  <c r="E418" i="3"/>
  <c r="E270" i="3"/>
  <c r="E408" i="3"/>
  <c r="E464" i="3"/>
  <c r="E92" i="3"/>
  <c r="E157" i="3"/>
  <c r="E238" i="3"/>
  <c r="E209" i="3"/>
  <c r="E414" i="3"/>
  <c r="E161" i="3"/>
  <c r="E44" i="3"/>
  <c r="E450" i="3"/>
  <c r="E202" i="3"/>
  <c r="E534" i="3"/>
  <c r="E472" i="3"/>
  <c r="E83" i="3"/>
  <c r="E186" i="3"/>
  <c r="E124" i="3"/>
  <c r="E311" i="3"/>
  <c r="E222" i="3"/>
  <c r="E263" i="3"/>
  <c r="E388" i="3"/>
  <c r="E424" i="3"/>
  <c r="E430" i="3"/>
  <c r="E82" i="3"/>
  <c r="E146" i="3"/>
  <c r="E164" i="3"/>
  <c r="E77" i="3"/>
  <c r="E99" i="3"/>
  <c r="E434" i="3"/>
  <c r="E262" i="3"/>
  <c r="E250" i="3"/>
  <c r="E395" i="3"/>
  <c r="E411" i="3"/>
  <c r="E297" i="3"/>
  <c r="G16" i="1"/>
  <c r="J12" i="40" s="1"/>
  <c r="W12" i="40" s="1"/>
  <c r="AZ22" i="3"/>
  <c r="A18" i="51"/>
  <c r="B14" i="63" s="1"/>
  <c r="L5" i="54"/>
  <c r="B39" i="63" s="1"/>
  <c r="K5" i="54"/>
  <c r="T41" i="4"/>
  <c r="A18" i="64"/>
  <c r="B74" i="63" s="1"/>
  <c r="C53" i="10"/>
  <c r="A17" i="64"/>
  <c r="A17" i="51"/>
  <c r="B13" i="63" s="1"/>
  <c r="H70" i="46"/>
  <c r="H64" i="46"/>
  <c r="H63" i="46"/>
  <c r="H69" i="46"/>
  <c r="H77" i="46"/>
  <c r="H65" i="46"/>
  <c r="H76" i="46"/>
  <c r="G17" i="46"/>
  <c r="C16" i="46" s="1"/>
  <c r="C5" i="46" s="1"/>
  <c r="H22" i="46"/>
  <c r="AI11" i="46"/>
  <c r="AI13" i="46" s="1"/>
  <c r="E22" i="46"/>
  <c r="Z7" i="46"/>
  <c r="F22" i="46"/>
  <c r="N104" i="45"/>
  <c r="G101" i="46"/>
  <c r="G104" i="46" s="1"/>
  <c r="AF11" i="46"/>
  <c r="AF13" i="46" s="1"/>
  <c r="AD11" i="46"/>
  <c r="AD13" i="46" s="1"/>
  <c r="AG11" i="46"/>
  <c r="AG13" i="46" s="1"/>
  <c r="N101" i="46"/>
  <c r="N109" i="46" s="1"/>
  <c r="E101" i="46"/>
  <c r="E103" i="46" s="1"/>
  <c r="L101" i="46"/>
  <c r="L106" i="46" s="1"/>
  <c r="B113" i="46"/>
  <c r="D118" i="46" s="1"/>
  <c r="E118" i="46" s="1"/>
  <c r="F118" i="46" s="1"/>
  <c r="J22" i="46"/>
  <c r="Q16" i="1"/>
  <c r="H16" i="1"/>
  <c r="E53" i="40"/>
  <c r="C101" i="46"/>
  <c r="C105" i="46" s="1"/>
  <c r="J101" i="46"/>
  <c r="G22" i="46"/>
  <c r="I101" i="46"/>
  <c r="D101" i="46"/>
  <c r="D106" i="46" s="1"/>
  <c r="M101" i="46"/>
  <c r="M103" i="46" s="1"/>
  <c r="H101" i="46"/>
  <c r="H107" i="46" s="1"/>
  <c r="K101" i="46"/>
  <c r="F101" i="46"/>
  <c r="F107" i="46" s="1"/>
  <c r="AC11" i="46"/>
  <c r="AC13" i="46" s="1"/>
  <c r="Y11" i="46"/>
  <c r="Y13" i="46" s="1"/>
  <c r="Z11" i="46"/>
  <c r="Z13" i="46" s="1"/>
  <c r="AH11" i="46"/>
  <c r="AH13" i="46" s="1"/>
  <c r="AA11" i="46"/>
  <c r="AA13" i="46" s="1"/>
  <c r="AJ11" i="46"/>
  <c r="AJ13" i="46" s="1"/>
  <c r="AE11" i="46"/>
  <c r="AE13" i="46" s="1"/>
  <c r="E109" i="46"/>
  <c r="E413"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213" i="3"/>
  <c r="E106" i="46"/>
  <c r="E105" i="46"/>
  <c r="E104" i="46"/>
  <c r="B116" i="46"/>
  <c r="C116" i="46" s="1"/>
  <c r="E102" i="46"/>
  <c r="E107" i="46"/>
  <c r="D12" i="11"/>
  <c r="C12" i="11" s="1"/>
  <c r="B118" i="46"/>
  <c r="C118" i="46" s="1"/>
  <c r="B117" i="46"/>
  <c r="C117" i="46" s="1"/>
  <c r="O6" i="1"/>
  <c r="P6" i="1" s="1"/>
  <c r="F24" i="43"/>
  <c r="C26" i="43" s="1"/>
  <c r="D24" i="43" s="1"/>
  <c r="L27" i="6"/>
  <c r="D117" i="46"/>
  <c r="E117" i="46" s="1"/>
  <c r="F117" i="46" s="1"/>
  <c r="G117" i="46" s="1"/>
  <c r="H117" i="46" s="1"/>
  <c r="I117" i="46"/>
  <c r="J117" i="46" s="1"/>
  <c r="K117" i="46" s="1"/>
  <c r="L117" i="46" s="1"/>
  <c r="M117" i="46" s="1"/>
  <c r="D115" i="46"/>
  <c r="E115" i="46" s="1"/>
  <c r="F115" i="46" s="1"/>
  <c r="G115" i="46" s="1"/>
  <c r="H115" i="46" s="1"/>
  <c r="I116" i="46"/>
  <c r="J116" i="46" s="1"/>
  <c r="K116" i="46" s="1"/>
  <c r="L116" i="46" s="1"/>
  <c r="M116" i="46" s="1"/>
  <c r="BL13" i="3"/>
  <c r="BL5" i="3" s="1"/>
  <c r="O10" i="1"/>
  <c r="P10" i="1" s="1"/>
  <c r="E14" i="6"/>
  <c r="E15" i="6"/>
  <c r="E11" i="6"/>
  <c r="G118" i="46"/>
  <c r="H118" i="46" s="1"/>
  <c r="D116" i="46"/>
  <c r="E116" i="46" s="1"/>
  <c r="F116" i="46" s="1"/>
  <c r="G116" i="46" s="1"/>
  <c r="H116" i="46" s="1"/>
  <c r="B115" i="46"/>
  <c r="I118" i="46"/>
  <c r="J118" i="46" s="1"/>
  <c r="K118" i="46" s="1"/>
  <c r="L118" i="46" s="1"/>
  <c r="M118" i="46" s="1"/>
  <c r="I115" i="46"/>
  <c r="J115" i="46" s="1"/>
  <c r="K115" i="46" s="1"/>
  <c r="L115" i="46" s="1"/>
  <c r="M115" i="46" s="1"/>
  <c r="J102" i="46"/>
  <c r="K105" i="46"/>
  <c r="K104" i="46"/>
  <c r="J109" i="46"/>
  <c r="C23" i="46" s="1"/>
  <c r="J105" i="46"/>
  <c r="J103" i="46"/>
  <c r="E29" i="6"/>
  <c r="K15" i="1" s="1"/>
  <c r="AB11" i="46"/>
  <c r="AB13" i="46" s="1"/>
  <c r="F28" i="6"/>
  <c r="E28" i="6" s="1"/>
  <c r="K14" i="1" s="1"/>
  <c r="I105" i="46"/>
  <c r="I104" i="46"/>
  <c r="I103" i="46"/>
  <c r="I106" i="46"/>
  <c r="M107" i="46"/>
  <c r="M102" i="46"/>
  <c r="M109" i="46"/>
  <c r="M106" i="46"/>
  <c r="H103" i="46"/>
  <c r="G30" i="6"/>
  <c r="G31" i="6" s="1"/>
  <c r="O7" i="1"/>
  <c r="P7" i="1" s="1"/>
  <c r="E12" i="6"/>
  <c r="E10" i="6"/>
  <c r="E13" i="6"/>
  <c r="E30" i="6"/>
  <c r="M105" i="46"/>
  <c r="M104" i="46"/>
  <c r="I109" i="46"/>
  <c r="O11" i="1"/>
  <c r="P11" i="1" s="1"/>
  <c r="P9" i="1"/>
  <c r="O8" i="1"/>
  <c r="P8" i="1" s="1"/>
  <c r="P12" i="1"/>
  <c r="F27" i="6"/>
  <c r="BA13" i="3"/>
  <c r="E4" i="52"/>
  <c r="E16" i="52"/>
  <c r="B11" i="52"/>
  <c r="E8" i="52"/>
  <c r="B5" i="52"/>
  <c r="B13" i="52"/>
  <c r="B22" i="52"/>
  <c r="E21" i="52"/>
  <c r="B14" i="52"/>
  <c r="E6" i="52"/>
  <c r="E4" i="4" s="1"/>
  <c r="B21" i="55" s="1"/>
  <c r="B72" i="63" s="1"/>
  <c r="E7" i="52"/>
  <c r="AP16" i="1"/>
  <c r="F22" i="11" s="1"/>
  <c r="AC12" i="40"/>
  <c r="F12" i="40"/>
  <c r="AA12" i="40" s="1"/>
  <c r="F12" i="39"/>
  <c r="AA12" i="39" s="1"/>
  <c r="J12" i="39"/>
  <c r="H12" i="39"/>
  <c r="H12" i="40"/>
  <c r="AB12" i="40" s="1"/>
  <c r="R49" i="21"/>
  <c r="E48" i="21"/>
  <c r="G52" i="21"/>
  <c r="H52" i="21" s="1"/>
  <c r="G53" i="21"/>
  <c r="H53" i="21" s="1"/>
  <c r="I53" i="21"/>
  <c r="J53" i="21" s="1"/>
  <c r="I52" i="21"/>
  <c r="J52" i="21" s="1"/>
  <c r="G47" i="37"/>
  <c r="H47" i="37" s="1"/>
  <c r="G46" i="37"/>
  <c r="H46" i="37" s="1"/>
  <c r="H70" i="39"/>
  <c r="G72" i="39"/>
  <c r="H65" i="40"/>
  <c r="G67" i="40"/>
  <c r="I46" i="37"/>
  <c r="J46" i="37" s="1"/>
  <c r="I47" i="37"/>
  <c r="J47" i="37" s="1"/>
  <c r="E42" i="37"/>
  <c r="R43" i="37"/>
  <c r="H46" i="36"/>
  <c r="I46" i="36" s="1"/>
  <c r="J46" i="36" s="1"/>
  <c r="K46" i="36" s="1"/>
  <c r="L46" i="36" s="1"/>
  <c r="M46" i="36" s="1"/>
  <c r="N46" i="36" s="1"/>
  <c r="O46" i="36" s="1"/>
  <c r="H7" i="36"/>
  <c r="J7" i="36"/>
  <c r="F7" i="35"/>
  <c r="G48" i="35"/>
  <c r="H48" i="35" s="1"/>
  <c r="I48" i="35" s="1"/>
  <c r="J48" i="35" s="1"/>
  <c r="K48" i="35" s="1"/>
  <c r="L48" i="35" s="1"/>
  <c r="M48" i="35" s="1"/>
  <c r="N48" i="35" s="1"/>
  <c r="O48" i="35" s="1"/>
  <c r="J7" i="35"/>
  <c r="H7" i="35"/>
  <c r="F7" i="34"/>
  <c r="E59" i="34"/>
  <c r="F59" i="34" s="1"/>
  <c r="G59" i="34" s="1"/>
  <c r="H59" i="34" s="1"/>
  <c r="I59" i="34" s="1"/>
  <c r="J59" i="34" s="1"/>
  <c r="K59" i="34" s="1"/>
  <c r="L59" i="34" s="1"/>
  <c r="M59" i="34" s="1"/>
  <c r="N59" i="34" s="1"/>
  <c r="O59" i="34" s="1"/>
  <c r="J7" i="34"/>
  <c r="H7" i="34"/>
  <c r="F7" i="33"/>
  <c r="E58" i="33"/>
  <c r="F58" i="33" s="1"/>
  <c r="G58" i="33" s="1"/>
  <c r="H58" i="33" s="1"/>
  <c r="I58" i="33" s="1"/>
  <c r="J58" i="33" s="1"/>
  <c r="K58" i="33" s="1"/>
  <c r="L58" i="33" s="1"/>
  <c r="M58" i="33" s="1"/>
  <c r="N58" i="33" s="1"/>
  <c r="O58" i="33" s="1"/>
  <c r="J7" i="33"/>
  <c r="H7" i="33"/>
  <c r="S7" i="37"/>
  <c r="F7" i="36"/>
  <c r="C36" i="44"/>
  <c r="F62" i="15"/>
  <c r="C61" i="15" s="1"/>
  <c r="C34" i="15"/>
  <c r="L44" i="9"/>
  <c r="J22" i="44"/>
  <c r="J20" i="15"/>
  <c r="Q73" i="44"/>
  <c r="F70" i="15"/>
  <c r="F64" i="15"/>
  <c r="M9" i="44"/>
  <c r="J8" i="44" s="1"/>
  <c r="F67" i="15"/>
  <c r="C6"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8" i="15"/>
  <c r="F65" i="15"/>
  <c r="F50" i="15"/>
  <c r="L58" i="15"/>
  <c r="L59" i="15"/>
  <c r="C8" i="44"/>
  <c r="M7" i="15"/>
  <c r="J6" i="15" s="1"/>
  <c r="F49" i="15"/>
  <c r="C29" i="44"/>
  <c r="F63" i="15"/>
  <c r="Q72" i="15"/>
  <c r="I1" i="65"/>
  <c r="M19" i="44"/>
  <c r="M17" i="15"/>
  <c r="F58" i="15"/>
  <c r="E3" i="65"/>
  <c r="C16" i="15"/>
  <c r="E2" i="65"/>
  <c r="C17" i="15"/>
  <c r="C18" i="44"/>
  <c r="S30" i="40" l="1"/>
  <c r="G103" i="46"/>
  <c r="L109" i="46"/>
  <c r="N103" i="46"/>
  <c r="D109" i="46"/>
  <c r="D105" i="46"/>
  <c r="G105" i="46"/>
  <c r="N105" i="46"/>
  <c r="N104" i="46"/>
  <c r="H109" i="46"/>
  <c r="H102" i="46"/>
  <c r="C102" i="46"/>
  <c r="G106" i="46"/>
  <c r="G102" i="46"/>
  <c r="G109" i="46"/>
  <c r="N107" i="46"/>
  <c r="G107" i="46"/>
  <c r="L104" i="46"/>
  <c r="D5" i="46"/>
  <c r="H81" i="46"/>
  <c r="H80" i="46"/>
  <c r="H84" i="46"/>
  <c r="H86" i="46"/>
  <c r="H85" i="46"/>
  <c r="H82" i="46"/>
  <c r="H87" i="46"/>
  <c r="H83" i="46"/>
  <c r="E16" i="6"/>
  <c r="D102" i="46"/>
  <c r="H105" i="46"/>
  <c r="D107" i="46"/>
  <c r="N102" i="46"/>
  <c r="L107" i="46"/>
  <c r="L103" i="46"/>
  <c r="N106" i="46"/>
  <c r="L105" i="46"/>
  <c r="L102" i="46"/>
  <c r="D22" i="46"/>
  <c r="C21" i="46" s="1"/>
  <c r="A25" i="64"/>
  <c r="A25" i="51"/>
  <c r="B18" i="63" s="1"/>
  <c r="A3" i="55"/>
  <c r="B56" i="63" s="1"/>
  <c r="B38" i="63"/>
  <c r="F109" i="46"/>
  <c r="F103" i="46"/>
  <c r="F104" i="46"/>
  <c r="F106" i="46"/>
  <c r="F105" i="46"/>
  <c r="F102" i="46"/>
  <c r="H106" i="46"/>
  <c r="H104" i="46"/>
  <c r="D104" i="46"/>
  <c r="D103" i="46"/>
  <c r="C106" i="46"/>
  <c r="C107" i="46"/>
  <c r="C109" i="46"/>
  <c r="C104" i="46"/>
  <c r="C103" i="46"/>
  <c r="K109" i="46"/>
  <c r="K102" i="46"/>
  <c r="K106" i="46"/>
  <c r="K107" i="46"/>
  <c r="K103" i="46"/>
  <c r="I102" i="46"/>
  <c r="I107" i="46"/>
  <c r="J104" i="46"/>
  <c r="J107" i="46"/>
  <c r="J106" i="46"/>
  <c r="F18" i="11"/>
  <c r="C18" i="11" s="1"/>
  <c r="F33" i="12"/>
  <c r="C34" i="12" s="1"/>
  <c r="D33" i="12" s="1"/>
  <c r="E6" i="3"/>
  <c r="S12" i="39"/>
  <c r="F30" i="6"/>
  <c r="F31" i="6" s="1"/>
  <c r="C115" i="46"/>
  <c r="D113" i="46"/>
  <c r="E62" i="40"/>
  <c r="E67" i="39"/>
  <c r="M14" i="1"/>
  <c r="K16" i="1"/>
  <c r="E58" i="40"/>
  <c r="E63" i="39"/>
  <c r="E66" i="39"/>
  <c r="E61" i="40"/>
  <c r="BA5" i="3"/>
  <c r="E27" i="6" s="1"/>
  <c r="AZ13" i="3"/>
  <c r="AZ5" i="3" s="1"/>
  <c r="E60" i="40"/>
  <c r="E65" i="39"/>
  <c r="E64" i="39"/>
  <c r="E59" i="40"/>
  <c r="S12" i="40"/>
  <c r="U12" i="40"/>
  <c r="U12" i="39"/>
  <c r="AB12" i="39"/>
  <c r="AC12" i="39"/>
  <c r="W12" i="39"/>
  <c r="AC7" i="33"/>
  <c r="V48" i="33" s="1"/>
  <c r="I48" i="33" s="1"/>
  <c r="W7" i="33"/>
  <c r="AA7" i="33"/>
  <c r="R48" i="33" s="1"/>
  <c r="S7" i="33"/>
  <c r="W7" i="34"/>
  <c r="AC7" i="34"/>
  <c r="V49" i="34" s="1"/>
  <c r="I49" i="34" s="1"/>
  <c r="S7" i="34"/>
  <c r="AA7" i="34"/>
  <c r="R49" i="34" s="1"/>
  <c r="AC7" i="35"/>
  <c r="V38" i="35" s="1"/>
  <c r="I38" i="35" s="1"/>
  <c r="W7" i="35"/>
  <c r="AA7" i="35"/>
  <c r="R38" i="35" s="1"/>
  <c r="S7" i="35"/>
  <c r="AB7" i="36"/>
  <c r="T36" i="36" s="1"/>
  <c r="G36" i="36" s="1"/>
  <c r="U7" i="36"/>
  <c r="C43" i="37"/>
  <c r="B3" i="37" s="1"/>
  <c r="B2" i="37" s="1"/>
  <c r="C42" i="37"/>
  <c r="E53" i="21"/>
  <c r="F53" i="21" s="1"/>
  <c r="E52" i="21"/>
  <c r="F52" i="21" s="1"/>
  <c r="AA7" i="36"/>
  <c r="R36" i="36" s="1"/>
  <c r="S7" i="36"/>
  <c r="AB7" i="33"/>
  <c r="T48" i="33" s="1"/>
  <c r="G48" i="33" s="1"/>
  <c r="U7" i="33"/>
  <c r="AB7" i="34"/>
  <c r="T49" i="34" s="1"/>
  <c r="G49" i="34" s="1"/>
  <c r="U7" i="34"/>
  <c r="AB7" i="35"/>
  <c r="T38" i="35" s="1"/>
  <c r="G38" i="35" s="1"/>
  <c r="U7" i="35"/>
  <c r="W7" i="36"/>
  <c r="AC7" i="36"/>
  <c r="V36" i="36" s="1"/>
  <c r="I36" i="36" s="1"/>
  <c r="E46" i="37"/>
  <c r="F46" i="37" s="1"/>
  <c r="E47" i="37"/>
  <c r="F47" i="37" s="1"/>
  <c r="I65" i="40"/>
  <c r="H67" i="40"/>
  <c r="I70" i="39"/>
  <c r="H72" i="39"/>
  <c r="C48" i="21"/>
  <c r="C49" i="21"/>
  <c r="B3" i="21" s="1"/>
  <c r="B2" i="21" s="1"/>
  <c r="L47" i="44"/>
  <c r="B40" i="1"/>
  <c r="F17" i="11"/>
  <c r="C17" i="11" s="1"/>
  <c r="Q74" i="15"/>
  <c r="Q61" i="15"/>
  <c r="P17" i="46"/>
  <c r="G20" i="46" s="1"/>
  <c r="C20" i="46" s="1"/>
  <c r="N17" i="46"/>
  <c r="O17" i="46"/>
  <c r="M17" i="46"/>
  <c r="Q75" i="44"/>
  <c r="Q62" i="44"/>
  <c r="Q75" i="15"/>
  <c r="Q62" i="15"/>
  <c r="C48" i="15"/>
  <c r="F1" i="15"/>
  <c r="Q53" i="15"/>
  <c r="F1" i="44"/>
  <c r="Q54" i="44"/>
  <c r="M13" i="44"/>
  <c r="J12" i="44" s="1"/>
  <c r="J7" i="44" s="1"/>
  <c r="F11" i="15"/>
  <c r="F13" i="44"/>
  <c r="C12" i="44" s="1"/>
  <c r="C7" i="44" s="1"/>
  <c r="M11" i="15"/>
  <c r="J10" i="15" s="1"/>
  <c r="J5" i="15" s="1"/>
  <c r="Q76" i="44"/>
  <c r="Q63" i="44"/>
  <c r="C35" i="46" l="1"/>
  <c r="C33" i="46"/>
  <c r="C36" i="46"/>
  <c r="C34" i="46"/>
  <c r="T13" i="46"/>
  <c r="V13" i="46" s="1"/>
  <c r="T16" i="46"/>
  <c r="V16" i="46" s="1"/>
  <c r="T8" i="46"/>
  <c r="V8" i="46" s="1"/>
  <c r="T15" i="46"/>
  <c r="V15" i="46" s="1"/>
  <c r="T14" i="46"/>
  <c r="V14" i="46" s="1"/>
  <c r="C29" i="46"/>
  <c r="C39" i="46"/>
  <c r="T9" i="46"/>
  <c r="V9" i="46" s="1"/>
  <c r="T12" i="46"/>
  <c r="V12" i="46" s="1"/>
  <c r="C38" i="46"/>
  <c r="T11" i="46"/>
  <c r="V11" i="46" s="1"/>
  <c r="T10" i="46"/>
  <c r="V10" i="46" s="1"/>
  <c r="C37" i="46"/>
  <c r="C19" i="11"/>
  <c r="S3" i="46"/>
  <c r="T3" i="46" s="1"/>
  <c r="V3" i="46" s="1"/>
  <c r="S4" i="46"/>
  <c r="T4" i="46" s="1"/>
  <c r="V4" i="46" s="1"/>
  <c r="S7" i="46"/>
  <c r="T7" i="46" s="1"/>
  <c r="V7" i="46" s="1"/>
  <c r="S2" i="46"/>
  <c r="T2" i="46" s="1"/>
  <c r="V2" i="46" s="1"/>
  <c r="S5" i="46"/>
  <c r="T5" i="46" s="1"/>
  <c r="V5" i="46" s="1"/>
  <c r="S6" i="46"/>
  <c r="T6" i="46" s="1"/>
  <c r="V6" i="46" s="1"/>
  <c r="O14" i="1"/>
  <c r="O16" i="1" s="1"/>
  <c r="M16" i="1"/>
  <c r="N16" i="1" s="1"/>
  <c r="C29" i="43" s="1"/>
  <c r="K26" i="6"/>
  <c r="M26" i="6" s="1"/>
  <c r="I26" i="6" s="1"/>
  <c r="S26" i="6" s="1"/>
  <c r="K20" i="6"/>
  <c r="E31" i="6"/>
  <c r="K19" i="6"/>
  <c r="S6" i="1" s="1"/>
  <c r="K21" i="6"/>
  <c r="M21" i="6" s="1"/>
  <c r="I21" i="6" s="1"/>
  <c r="S21" i="6" s="1"/>
  <c r="K23" i="6"/>
  <c r="M23" i="6" s="1"/>
  <c r="I23" i="6" s="1"/>
  <c r="S23" i="6" s="1"/>
  <c r="K24" i="6"/>
  <c r="M24" i="6" s="1"/>
  <c r="I24" i="6" s="1"/>
  <c r="S24" i="6" s="1"/>
  <c r="K25" i="6"/>
  <c r="M25" i="6" s="1"/>
  <c r="I25" i="6" s="1"/>
  <c r="S25" i="6" s="1"/>
  <c r="K22" i="6"/>
  <c r="M22" i="6" s="1"/>
  <c r="I22" i="6" s="1"/>
  <c r="S22" i="6" s="1"/>
  <c r="E3" i="6"/>
  <c r="AY6" i="3"/>
  <c r="I40" i="36"/>
  <c r="J40" i="36" s="1"/>
  <c r="R50" i="34"/>
  <c r="E49" i="34"/>
  <c r="I53" i="34"/>
  <c r="J53" i="34" s="1"/>
  <c r="I54" i="34"/>
  <c r="J54" i="34" s="1"/>
  <c r="J70" i="39"/>
  <c r="I72" i="39"/>
  <c r="J65" i="40"/>
  <c r="I67" i="40"/>
  <c r="G43" i="35"/>
  <c r="H43" i="35" s="1"/>
  <c r="G42" i="35"/>
  <c r="H42" i="35" s="1"/>
  <c r="G53" i="34"/>
  <c r="H53" i="34" s="1"/>
  <c r="G54" i="34"/>
  <c r="H54" i="34" s="1"/>
  <c r="G52" i="33"/>
  <c r="H52" i="33" s="1"/>
  <c r="G53" i="33"/>
  <c r="H53" i="33" s="1"/>
  <c r="E36" i="36"/>
  <c r="R37" i="36"/>
  <c r="G40" i="36"/>
  <c r="H40" i="36" s="1"/>
  <c r="G41" i="36"/>
  <c r="H41" i="36" s="1"/>
  <c r="R39" i="35"/>
  <c r="E38" i="35"/>
  <c r="I42" i="35"/>
  <c r="J42" i="35" s="1"/>
  <c r="I43" i="35"/>
  <c r="J43" i="35" s="1"/>
  <c r="R49" i="33"/>
  <c r="E48" i="33"/>
  <c r="I53" i="33" s="1"/>
  <c r="J53" i="33" s="1"/>
  <c r="I52" i="33"/>
  <c r="J52" i="33" s="1"/>
  <c r="J20" i="44"/>
  <c r="J28" i="44"/>
  <c r="J31" i="44" s="1"/>
  <c r="J26" i="44"/>
  <c r="C40" i="44"/>
  <c r="C34" i="44"/>
  <c r="J18" i="15"/>
  <c r="J26" i="15"/>
  <c r="J29" i="15" s="1"/>
  <c r="J24" i="15"/>
  <c r="F21" i="43"/>
  <c r="F24" i="15"/>
  <c r="C24" i="15" s="1"/>
  <c r="F26" i="44"/>
  <c r="C26" i="44" s="1"/>
  <c r="F26" i="12"/>
  <c r="C10" i="15"/>
  <c r="C5" i="15" s="1"/>
  <c r="C52" i="15"/>
  <c r="C47" i="15" s="1"/>
  <c r="C20" i="11"/>
  <c r="C21" i="11" s="1"/>
  <c r="C22" i="11" s="1"/>
  <c r="C23" i="11" s="1"/>
  <c r="B2" i="11" s="1"/>
  <c r="L52" i="44"/>
  <c r="G38" i="46" l="1"/>
  <c r="I38" i="46" s="1"/>
  <c r="E38" i="46"/>
  <c r="E29" i="46"/>
  <c r="C30" i="46"/>
  <c r="E30" i="46" s="1"/>
  <c r="G34" i="46"/>
  <c r="I34" i="46" s="1"/>
  <c r="E34" i="46"/>
  <c r="E33" i="46"/>
  <c r="G33" i="46"/>
  <c r="I33" i="46" s="1"/>
  <c r="G37" i="46"/>
  <c r="I37" i="46" s="1"/>
  <c r="E37" i="46"/>
  <c r="G39" i="46"/>
  <c r="I39" i="46" s="1"/>
  <c r="E39" i="46"/>
  <c r="G36" i="46"/>
  <c r="I36" i="46" s="1"/>
  <c r="E36" i="46"/>
  <c r="G35" i="46"/>
  <c r="I35" i="46" s="1"/>
  <c r="E35" i="46"/>
  <c r="P14" i="1"/>
  <c r="P16" i="1" s="1"/>
  <c r="C13" i="12" s="1"/>
  <c r="M20" i="6"/>
  <c r="I20" i="6" s="1"/>
  <c r="S20" i="6" s="1"/>
  <c r="S7" i="1"/>
  <c r="C13" i="43"/>
  <c r="L16" i="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504" i="3"/>
  <c r="AY537" i="3"/>
  <c r="AY100" i="3"/>
  <c r="AY53" i="3"/>
  <c r="AY83" i="3"/>
  <c r="AY73" i="3"/>
  <c r="AY47" i="3"/>
  <c r="AY74" i="3"/>
  <c r="AY182" i="3"/>
  <c r="AY144" i="3"/>
  <c r="AY126" i="3"/>
  <c r="AY98" i="3"/>
  <c r="AY45" i="3"/>
  <c r="AY57" i="3"/>
  <c r="AY106" i="3"/>
  <c r="AY136" i="3"/>
  <c r="AY217" i="3"/>
  <c r="AY262" i="3"/>
  <c r="AY291" i="3"/>
  <c r="AY232" i="3"/>
  <c r="AY383" i="3"/>
  <c r="AY349"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BL6" i="3"/>
  <c r="AY64" i="3"/>
  <c r="AY154" i="3"/>
  <c r="AY42" i="3"/>
  <c r="AY160" i="3"/>
  <c r="AY515" i="3"/>
  <c r="AY75" i="3"/>
  <c r="AY175" i="3"/>
  <c r="AY277" i="3"/>
  <c r="AY264" i="3"/>
  <c r="AY384"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13" i="3"/>
  <c r="AY103" i="3"/>
  <c r="AY21" i="3"/>
  <c r="AY52" i="3"/>
  <c r="AY191" i="3"/>
  <c r="AY204" i="3"/>
  <c r="AY92" i="3"/>
  <c r="AY31" i="3"/>
  <c r="AY118" i="3"/>
  <c r="AY234" i="3"/>
  <c r="AY209"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14" i="3"/>
  <c r="AY177" i="3"/>
  <c r="AY454" i="3"/>
  <c r="AY263" i="3"/>
  <c r="AY499" i="3"/>
  <c r="AY524" i="3"/>
  <c r="AY391" i="3"/>
  <c r="AY231" i="3"/>
  <c r="AY507" i="3"/>
  <c r="AY300" i="3"/>
  <c r="AY509" i="3"/>
  <c r="AY260" i="3"/>
  <c r="AY554" i="3"/>
  <c r="AY423" i="3"/>
  <c r="AY539" i="3"/>
  <c r="AY228" i="3"/>
  <c r="AY532" i="3"/>
  <c r="AY18" i="3"/>
  <c r="AY564" i="3"/>
  <c r="D16" i="43"/>
  <c r="C16" i="43" s="1"/>
  <c r="C21" i="4"/>
  <c r="O5" i="54" s="1"/>
  <c r="B45" i="63" s="1"/>
  <c r="D10" i="11"/>
  <c r="D16" i="12"/>
  <c r="E6" i="6"/>
  <c r="D45" i="9"/>
  <c r="D46" i="9"/>
  <c r="L38" i="9"/>
  <c r="B14" i="66" s="1"/>
  <c r="B1" i="66" s="1"/>
  <c r="D44" i="9"/>
  <c r="K27" i="6"/>
  <c r="M19" i="6"/>
  <c r="E41" i="36"/>
  <c r="F41" i="36" s="1"/>
  <c r="E40" i="36"/>
  <c r="F40" i="36" s="1"/>
  <c r="E54" i="34"/>
  <c r="F54" i="34" s="1"/>
  <c r="E53" i="34"/>
  <c r="F53" i="34" s="1"/>
  <c r="C49" i="33"/>
  <c r="B3" i="33" s="1"/>
  <c r="B2" i="33" s="1"/>
  <c r="C48" i="33"/>
  <c r="C38" i="35"/>
  <c r="C39" i="35"/>
  <c r="B3" i="35" s="1"/>
  <c r="B2" i="35" s="1"/>
  <c r="C37" i="36"/>
  <c r="B3" i="36" s="1"/>
  <c r="B2" i="36" s="1"/>
  <c r="C36" i="36"/>
  <c r="K65" i="40"/>
  <c r="J67" i="40"/>
  <c r="K70" i="39"/>
  <c r="J72" i="39"/>
  <c r="C49" i="34"/>
  <c r="C50" i="34"/>
  <c r="B3" i="34" s="1"/>
  <c r="B2" i="34" s="1"/>
  <c r="E53" i="33"/>
  <c r="F53" i="33" s="1"/>
  <c r="E52" i="33"/>
  <c r="F52" i="33" s="1"/>
  <c r="E43" i="35"/>
  <c r="F43" i="35" s="1"/>
  <c r="E42" i="35"/>
  <c r="F42" i="35" s="1"/>
  <c r="I41" i="36"/>
  <c r="J41" i="36" s="1"/>
  <c r="Q69" i="44"/>
  <c r="L58" i="44"/>
  <c r="L61" i="44" s="1"/>
  <c r="B3" i="11"/>
  <c r="B5" i="11"/>
  <c r="B4" i="11"/>
  <c r="C59" i="15"/>
  <c r="C65" i="15"/>
  <c r="C32" i="15"/>
  <c r="C38" i="15"/>
  <c r="C23" i="43"/>
  <c r="D21" i="43" s="1"/>
  <c r="Q67" i="44"/>
  <c r="Q49" i="44"/>
  <c r="Q55" i="44" s="1"/>
  <c r="Q58" i="44"/>
  <c r="C27" i="12"/>
  <c r="D26" i="12" s="1"/>
  <c r="C32" i="12" s="1"/>
  <c r="D30" i="12" s="1"/>
  <c r="F7" i="67"/>
  <c r="E4" i="67" l="1"/>
  <c r="C27" i="46"/>
  <c r="C26" i="46"/>
  <c r="T7" i="1"/>
  <c r="C17" i="12"/>
  <c r="C14" i="12"/>
  <c r="S16" i="1"/>
  <c r="C14" i="43"/>
  <c r="C17" i="43"/>
  <c r="M27" i="6"/>
  <c r="I19" i="6"/>
  <c r="C16" i="12"/>
  <c r="D19" i="12"/>
  <c r="C19" i="12" s="1"/>
  <c r="C7" i="66"/>
  <c r="C6" i="66"/>
  <c r="C8" i="66"/>
  <c r="D22" i="12"/>
  <c r="C22" i="12" s="1"/>
  <c r="C20" i="12" s="1"/>
  <c r="D13" i="11"/>
  <c r="C13" i="11" s="1"/>
  <c r="E68" i="39"/>
  <c r="C22" i="4"/>
  <c r="D19" i="6"/>
  <c r="D21" i="6"/>
  <c r="D25" i="6"/>
  <c r="D10" i="6"/>
  <c r="D13" i="6"/>
  <c r="H21" i="6"/>
  <c r="H24" i="6"/>
  <c r="D6" i="6"/>
  <c r="D23" i="6"/>
  <c r="D14" i="6"/>
  <c r="D28" i="6"/>
  <c r="D20" i="6"/>
  <c r="D8" i="6"/>
  <c r="H23" i="6"/>
  <c r="E44" i="9"/>
  <c r="F46" i="9"/>
  <c r="E46" i="9"/>
  <c r="E45" i="9"/>
  <c r="F44" i="9"/>
  <c r="E63" i="40"/>
  <c r="H19" i="6"/>
  <c r="K38" i="9"/>
  <c r="C14" i="66" s="1"/>
  <c r="B2" i="66" s="1"/>
  <c r="D24" i="6"/>
  <c r="R24" i="6" s="1"/>
  <c r="D26" i="6"/>
  <c r="D22" i="6"/>
  <c r="D11" i="6"/>
  <c r="D12" i="6"/>
  <c r="H20" i="6"/>
  <c r="H25" i="6"/>
  <c r="D9" i="6"/>
  <c r="D5" i="6"/>
  <c r="D29" i="6"/>
  <c r="H22" i="6"/>
  <c r="D15" i="6"/>
  <c r="H26" i="6"/>
  <c r="F45" i="9"/>
  <c r="L70" i="39"/>
  <c r="K72" i="39"/>
  <c r="L65" i="40"/>
  <c r="K67" i="40"/>
  <c r="Q59" i="44"/>
  <c r="Q64" i="44" s="1"/>
  <c r="Q68" i="44"/>
  <c r="Q77" i="44" s="1"/>
  <c r="E7" i="67"/>
  <c r="E3" i="67" l="1"/>
  <c r="B2" i="46"/>
  <c r="C18" i="12"/>
  <c r="T11" i="1"/>
  <c r="T13" i="1"/>
  <c r="T12" i="1"/>
  <c r="T8" i="1"/>
  <c r="T6" i="1"/>
  <c r="T9" i="1"/>
  <c r="T10" i="1"/>
  <c r="H27" i="6"/>
  <c r="R23" i="6"/>
  <c r="C23" i="12"/>
  <c r="C35" i="12" s="1"/>
  <c r="C33" i="12" s="1"/>
  <c r="D16" i="6"/>
  <c r="D30" i="6"/>
  <c r="C18" i="43"/>
  <c r="C19" i="43" s="1"/>
  <c r="R26" i="6"/>
  <c r="D6" i="66"/>
  <c r="D8" i="66"/>
  <c r="D7" i="66"/>
  <c r="R25" i="6"/>
  <c r="R19" i="6"/>
  <c r="D27" i="6"/>
  <c r="D31" i="6" s="1"/>
  <c r="I27" i="6"/>
  <c r="S19" i="6"/>
  <c r="S27" i="6" s="1"/>
  <c r="R22" i="6"/>
  <c r="R20" i="6"/>
  <c r="R7" i="1" s="1"/>
  <c r="R21" i="6"/>
  <c r="A20" i="64"/>
  <c r="A20" i="51"/>
  <c r="B15" i="63" s="1"/>
  <c r="N5" i="54"/>
  <c r="B43" i="63" s="1"/>
  <c r="A6" i="64"/>
  <c r="A6" i="51"/>
  <c r="B7" i="63" s="1"/>
  <c r="L67" i="40"/>
  <c r="M65" i="40"/>
  <c r="M70" i="39"/>
  <c r="L72" i="39"/>
  <c r="C16" i="44"/>
  <c r="C14" i="15"/>
  <c r="C19" i="9"/>
  <c r="B7" i="67"/>
  <c r="L43" i="9" l="1"/>
  <c r="D22" i="9"/>
  <c r="G19" i="9"/>
  <c r="C28" i="12"/>
  <c r="C26" i="12" s="1"/>
  <c r="C31" i="12" s="1"/>
  <c r="C30" i="12" s="1"/>
  <c r="C36" i="12" s="1"/>
  <c r="B2" i="12" s="1"/>
  <c r="B5" i="12" s="1"/>
  <c r="B2" i="67"/>
  <c r="B4" i="46"/>
  <c r="B3" i="46"/>
  <c r="D4" i="46"/>
  <c r="C18" i="15"/>
  <c r="C15" i="15"/>
  <c r="C20" i="44"/>
  <c r="C17" i="44"/>
  <c r="T16" i="1"/>
  <c r="R27" i="6"/>
  <c r="R6" i="1"/>
  <c r="R16" i="1" s="1"/>
  <c r="B3" i="12"/>
  <c r="C25" i="43"/>
  <c r="C24" i="43" s="1"/>
  <c r="C22" i="43"/>
  <c r="C21" i="43" s="1"/>
  <c r="I6" i="6"/>
  <c r="I5" i="6"/>
  <c r="N65" i="40"/>
  <c r="N67" i="40" s="1"/>
  <c r="J9" i="40" s="1"/>
  <c r="M67" i="40"/>
  <c r="J9" i="39"/>
  <c r="M72" i="39"/>
  <c r="N70" i="39"/>
  <c r="N72" i="39" s="1"/>
  <c r="F9" i="39" s="1"/>
  <c r="C20" i="9"/>
  <c r="C21" i="9"/>
  <c r="G21" i="9" l="1"/>
  <c r="G20" i="9"/>
  <c r="N43" i="9"/>
  <c r="C32" i="9"/>
  <c r="G22" i="9"/>
  <c r="B4" i="12"/>
  <c r="B4" i="67"/>
  <c r="B3" i="67"/>
  <c r="C21" i="44"/>
  <c r="C19" i="15"/>
  <c r="C20" i="15" s="1"/>
  <c r="C23" i="15" s="1"/>
  <c r="C22" i="44"/>
  <c r="C28" i="44" s="1"/>
  <c r="C28" i="43"/>
  <c r="C30" i="43" s="1"/>
  <c r="C32" i="43" s="1"/>
  <c r="B2" i="43" s="1"/>
  <c r="B5" i="43" s="1"/>
  <c r="AC9" i="40"/>
  <c r="V44" i="40" s="1"/>
  <c r="I44" i="40" s="1"/>
  <c r="W9" i="40"/>
  <c r="S9" i="39"/>
  <c r="AA9" i="39"/>
  <c r="R49" i="39" s="1"/>
  <c r="AC9" i="39"/>
  <c r="V49" i="39" s="1"/>
  <c r="I49" i="39" s="1"/>
  <c r="W9" i="39"/>
  <c r="F9" i="40"/>
  <c r="H9" i="40"/>
  <c r="H9" i="39"/>
  <c r="O43" i="9" l="1"/>
  <c r="C33" i="9"/>
  <c r="O38" i="9"/>
  <c r="C42" i="9"/>
  <c r="C35" i="9"/>
  <c r="F42" i="9" s="1"/>
  <c r="C34" i="9"/>
  <c r="B4" i="43"/>
  <c r="C26" i="15"/>
  <c r="C29" i="15" s="1"/>
  <c r="C25" i="44"/>
  <c r="C31" i="44" s="1"/>
  <c r="B3" i="43"/>
  <c r="AB9" i="40"/>
  <c r="T44" i="40" s="1"/>
  <c r="G44" i="40" s="1"/>
  <c r="U9" i="40"/>
  <c r="E49" i="39"/>
  <c r="I54" i="39" s="1"/>
  <c r="J54" i="39" s="1"/>
  <c r="R50" i="39"/>
  <c r="U9" i="39"/>
  <c r="AB9" i="39"/>
  <c r="T49" i="39" s="1"/>
  <c r="G49" i="39" s="1"/>
  <c r="AA9" i="40"/>
  <c r="R44" i="40" s="1"/>
  <c r="S9" i="40"/>
  <c r="I53" i="39"/>
  <c r="J53" i="39" s="1"/>
  <c r="I48" i="40"/>
  <c r="J48" i="40" s="1"/>
  <c r="E42" i="9" l="1"/>
  <c r="P5" i="54" s="1"/>
  <c r="B46" i="63" s="1"/>
  <c r="M38" i="9"/>
  <c r="K27" i="9" s="1"/>
  <c r="R5" i="54"/>
  <c r="B48" i="63" s="1"/>
  <c r="N68" i="9"/>
  <c r="D14" i="66"/>
  <c r="D63" i="9"/>
  <c r="D42" i="9"/>
  <c r="Q5" i="54" s="1"/>
  <c r="B47" i="63" s="1"/>
  <c r="N38" i="9"/>
  <c r="K28" i="9" s="1"/>
  <c r="K26" i="9"/>
  <c r="K25" i="9"/>
  <c r="Q51" i="44"/>
  <c r="J16" i="44"/>
  <c r="C38" i="44"/>
  <c r="C35" i="44"/>
  <c r="C33" i="44" s="1"/>
  <c r="J21" i="44"/>
  <c r="J19" i="44" s="1"/>
  <c r="C15" i="44"/>
  <c r="J19" i="15"/>
  <c r="J17" i="15" s="1"/>
  <c r="J14" i="15"/>
  <c r="J59" i="15"/>
  <c r="J60" i="15" s="1"/>
  <c r="C36" i="15"/>
  <c r="Q50" i="15"/>
  <c r="C33" i="15"/>
  <c r="C31" i="15" s="1"/>
  <c r="C13" i="15"/>
  <c r="C56" i="15"/>
  <c r="G53" i="39"/>
  <c r="H53" i="39" s="1"/>
  <c r="G54" i="39"/>
  <c r="H54" i="39" s="1"/>
  <c r="C50" i="39"/>
  <c r="C49" i="39"/>
  <c r="E44" i="40"/>
  <c r="R45" i="40"/>
  <c r="E54" i="39"/>
  <c r="F54" i="39" s="1"/>
  <c r="E53" i="39"/>
  <c r="F53" i="39" s="1"/>
  <c r="G48" i="40"/>
  <c r="H48" i="40" s="1"/>
  <c r="G49" i="40"/>
  <c r="H49" i="40" s="1"/>
  <c r="C103" i="9" l="1"/>
  <c r="C111" i="9"/>
  <c r="C104" i="9" s="1"/>
  <c r="D77" i="9"/>
  <c r="N75" i="9" s="1"/>
  <c r="C96" i="9"/>
  <c r="C91" i="9" s="1"/>
  <c r="C90" i="9"/>
  <c r="D71" i="9"/>
  <c r="D66" i="9" s="1"/>
  <c r="N72" i="9" s="1"/>
  <c r="D70" i="9"/>
  <c r="C82" i="9"/>
  <c r="C81" i="9" s="1"/>
  <c r="C85" i="9" s="1"/>
  <c r="C86" i="9" s="1"/>
  <c r="D72" i="9" s="1"/>
  <c r="E14" i="66"/>
  <c r="B5" i="66"/>
  <c r="F14" i="66"/>
  <c r="C63" i="15"/>
  <c r="C60" i="15"/>
  <c r="C58" i="15" s="1"/>
  <c r="J22" i="15"/>
  <c r="J13" i="15"/>
  <c r="J23" i="15" s="1"/>
  <c r="C39" i="44"/>
  <c r="C32" i="44" s="1"/>
  <c r="C42" i="44" s="1"/>
  <c r="Q72" i="44"/>
  <c r="C43" i="44"/>
  <c r="J15" i="44"/>
  <c r="J25" i="44" s="1"/>
  <c r="J24" i="44"/>
  <c r="J35" i="15"/>
  <c r="C37" i="15"/>
  <c r="C30" i="15" s="1"/>
  <c r="C39" i="15" s="1"/>
  <c r="Q71" i="15"/>
  <c r="C55" i="15"/>
  <c r="C64" i="15" s="1"/>
  <c r="Q49" i="15"/>
  <c r="L46" i="15"/>
  <c r="C45" i="40"/>
  <c r="C44" i="40"/>
  <c r="E48" i="40"/>
  <c r="F48" i="40" s="1"/>
  <c r="E49" i="40"/>
  <c r="F49" i="40" s="1"/>
  <c r="I49" i="40"/>
  <c r="J49" i="40" s="1"/>
  <c r="B66" i="39"/>
  <c r="F66" i="39" s="1"/>
  <c r="B64" i="39"/>
  <c r="F64" i="39" s="1"/>
  <c r="B61" i="39"/>
  <c r="F61" i="39" s="1"/>
  <c r="B65" i="39"/>
  <c r="F65" i="39" s="1"/>
  <c r="B59" i="39"/>
  <c r="F59" i="39" s="1"/>
  <c r="B58" i="39"/>
  <c r="F58" i="39" s="1"/>
  <c r="B63" i="39"/>
  <c r="F63" i="39" s="1"/>
  <c r="B62" i="39"/>
  <c r="F62" i="39" s="1"/>
  <c r="B60" i="39"/>
  <c r="F60" i="39" s="1"/>
  <c r="B67" i="39"/>
  <c r="F67" i="39" s="1"/>
  <c r="F68" i="39"/>
  <c r="B2" i="39" s="1"/>
  <c r="L51" i="15"/>
  <c r="C97" i="9" l="1"/>
  <c r="J18" i="44"/>
  <c r="J27" i="44" s="1"/>
  <c r="D5" i="66"/>
  <c r="C5" i="66"/>
  <c r="C98" i="9"/>
  <c r="E98" i="9" s="1"/>
  <c r="E99" i="9" s="1"/>
  <c r="C113" i="9"/>
  <c r="J16" i="15"/>
  <c r="J25" i="15" s="1"/>
  <c r="J39" i="15"/>
  <c r="J40" i="15" s="1"/>
  <c r="L57" i="15"/>
  <c r="L60" i="15" s="1"/>
  <c r="Q68" i="15"/>
  <c r="C57" i="15"/>
  <c r="C66" i="15" s="1"/>
  <c r="C67" i="15" s="1"/>
  <c r="C40" i="15"/>
  <c r="Q70" i="15"/>
  <c r="Q69" i="15" s="1"/>
  <c r="Q71" i="44"/>
  <c r="Q70" i="44" s="1"/>
  <c r="C44" i="44"/>
  <c r="C45" i="44" s="1"/>
  <c r="B2" i="44" s="1"/>
  <c r="B4" i="39"/>
  <c r="B3" i="39"/>
  <c r="B5" i="39"/>
  <c r="B55" i="40"/>
  <c r="F55" i="40" s="1"/>
  <c r="B61" i="40"/>
  <c r="F61" i="40" s="1"/>
  <c r="B57" i="40"/>
  <c r="F57" i="40" s="1"/>
  <c r="B54" i="40"/>
  <c r="F54" i="40" s="1"/>
  <c r="B60" i="40"/>
  <c r="F60" i="40" s="1"/>
  <c r="B53" i="40"/>
  <c r="F53" i="40" s="1"/>
  <c r="B59" i="40"/>
  <c r="F59" i="40" s="1"/>
  <c r="B56" i="40"/>
  <c r="F56" i="40" s="1"/>
  <c r="B62" i="40"/>
  <c r="F62" i="40" s="1"/>
  <c r="B58" i="40"/>
  <c r="F58" i="40" s="1"/>
  <c r="F63" i="40"/>
  <c r="B2" i="40" s="1"/>
  <c r="C99" i="9" l="1"/>
  <c r="C114" i="9"/>
  <c r="E114" i="9" s="1"/>
  <c r="E115" i="9" s="1"/>
  <c r="Q57" i="15"/>
  <c r="Q66" i="15"/>
  <c r="B2" i="15"/>
  <c r="B3" i="15" s="1"/>
  <c r="Q48" i="15"/>
  <c r="Q54" i="15" s="1"/>
  <c r="C43" i="15"/>
  <c r="J42" i="15"/>
  <c r="J43" i="15" s="1"/>
  <c r="B3" i="44"/>
  <c r="B5" i="44"/>
  <c r="B4" i="44"/>
  <c r="C70" i="15"/>
  <c r="C46" i="15"/>
  <c r="Q58" i="15"/>
  <c r="Q67" i="15"/>
  <c r="B3" i="40"/>
  <c r="B5" i="40"/>
  <c r="B4" i="40"/>
  <c r="C115" i="9" l="1"/>
  <c r="D76" i="9" s="1"/>
  <c r="D74" i="9" s="1"/>
  <c r="N74" i="9" s="1"/>
  <c r="O77" i="9" s="1"/>
  <c r="O79" i="9" s="1"/>
  <c r="Q76" i="15"/>
  <c r="Q63" i="15"/>
  <c r="O78" i="9" l="1"/>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<sst xmlns="http://schemas.openxmlformats.org/spreadsheetml/2006/main" count="8079" uniqueCount="3345">
  <si>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</si>
  <si>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</si>
  <si>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</si>
  <si>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</si>
  <si>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</si>
  <si>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</si>
  <si>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</si>
  <si>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</si>
  <si>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</si>
  <si>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</si>
  <si>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</si>
  <si>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</si>
  <si>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</si>
  <si>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</si>
  <si>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</si>
  <si>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</si>
  <si>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</si>
  <si>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</si>
  <si>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</si>
  <si>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</si>
  <si>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</si>
  <si>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</si>
  <si>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</si>
  <si>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</si>
  <si>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</si>
  <si>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</si>
  <si>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</si>
  <si>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</si>
  <si>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</si>
  <si>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</si>
  <si>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</si>
  <si>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</si>
  <si>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</si>
  <si>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</si>
  <si>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</si>
  <si>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</si>
  <si>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</si>
  <si>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</si>
  <si>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</si>
  <si>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</si>
  <si>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</si>
  <si>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</si>
  <si>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</si>
  <si>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</si>
  <si>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</si>
  <si>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</si>
  <si>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</si>
  <si>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</si>
  <si>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</si>
  <si>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</si>
  <si>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</si>
  <si>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</si>
  <si>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</si>
  <si>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</si>
  <si>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</si>
  <si>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</si>
  <si>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</si>
  <si>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</si>
  <si>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</si>
  <si>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</si>
  <si>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</si>
  <si>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</si>
  <si>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</si>
  <si>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</si>
  <si>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</si>
  <si>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</si>
  <si>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</si>
  <si>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</si>
  <si>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</si>
  <si>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</si>
  <si>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</si>
  <si>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</si>
  <si>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</si>
  <si>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</si>
  <si>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</si>
  <si>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</si>
  <si>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</si>
  <si>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</si>
  <si>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</si>
  <si>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</si>
  <si>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</si>
  <si>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</si>
  <si>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</si>
  <si>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</si>
  <si>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</si>
  <si>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</si>
  <si>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</si>
  <si>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</si>
  <si>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</si>
  <si>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</si>
  <si>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</si>
  <si>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</si>
  <si>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</si>
  <si>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</si>
  <si>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</si>
  <si>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</si>
  <si>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</si>
  <si>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</si>
  <si>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</si>
  <si>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</si>
  <si>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</si>
  <si>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</si>
  <si>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</si>
  <si>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</si>
  <si>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</si>
  <si>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</si>
  <si>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</si>
  <si>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</si>
  <si>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</si>
  <si>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</si>
  <si>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</si>
  <si>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</si>
  <si>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</si>
  <si>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</si>
  <si>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</si>
  <si>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</si>
  <si>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</si>
  <si>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</si>
  <si>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</si>
  <si>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</si>
  <si>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</si>
  <si>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</si>
  <si>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</si>
  <si>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</si>
  <si>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</si>
  <si>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</si>
  <si>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</si>
  <si>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</si>
  <si>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</si>
  <si>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</si>
  <si>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</si>
  <si>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</si>
  <si>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</si>
  <si>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</si>
  <si>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</si>
  <si>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</si>
  <si>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</si>
  <si>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</si>
  <si>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</si>
  <si>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</si>
  <si>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</si>
  <si>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</si>
  <si>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</si>
  <si>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</si>
  <si>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</si>
  <si>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</si>
  <si>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</si>
  <si>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</si>
  <si>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</si>
  <si>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</si>
  <si>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</si>
  <si>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</si>
  <si>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</si>
  <si>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</si>
  <si>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</si>
  <si>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</si>
  <si>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</si>
  <si>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</si>
  <si>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</si>
  <si>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</si>
  <si>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</si>
  <si>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</si>
  <si>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</si>
  <si>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</si>
  <si>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</si>
  <si>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</si>
  <si>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</si>
  <si>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</si>
  <si>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</si>
  <si>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</si>
  <si>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</si>
  <si>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</si>
  <si>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</si>
  <si>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</si>
  <si>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</si>
  <si>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</si>
  <si>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</si>
  <si>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</si>
  <si>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</si>
  <si>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</si>
  <si>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</si>
  <si>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</si>
  <si>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</si>
  <si>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</si>
  <si>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</si>
  <si>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</si>
  <si>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</si>
  <si>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</si>
  <si>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</si>
  <si>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</si>
  <si>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</si>
  <si>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</si>
  <si>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</si>
  <si>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</si>
  <si>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</si>
  <si>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</si>
  <si>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</si>
  <si>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</si>
  <si>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</si>
  <si>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</si>
  <si>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</si>
  <si>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</si>
  <si>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</si>
  <si>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</si>
  <si>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</si>
  <si>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</si>
  <si>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</si>
  <si>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</si>
  <si>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</si>
  <si>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</si>
  <si>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</si>
  <si>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</si>
  <si>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</si>
  <si>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</si>
  <si>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</si>
  <si>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</si>
  <si>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</si>
  <si>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</si>
  <si>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</si>
  <si>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</si>
  <si>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</si>
  <si>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</si>
  <si>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</si>
  <si>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</si>
  <si>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</si>
  <si>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</si>
  <si>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</si>
  <si>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</si>
  <si>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</si>
  <si>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</si>
  <si>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</si>
  <si>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</si>
  <si>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</si>
  <si>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</si>
  <si>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</si>
  <si>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</si>
  <si>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</si>
  <si>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</si>
  <si>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</si>
  <si>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</si>
  <si>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</si>
  <si>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</si>
  <si>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</si>
  <si>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</si>
  <si>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</si>
  <si>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</si>
  <si>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</si>
  <si>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</si>
  <si>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</si>
  <si>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</si>
  <si>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</si>
  <si>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</si>
  <si>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</si>
  <si>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</si>
  <si>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</si>
  <si>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</si>
  <si>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</si>
  <si>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</si>
  <si>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</si>
  <si>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</si>
  <si>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</si>
  <si>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</si>
  <si>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</si>
  <si>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</si>
  <si>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</si>
  <si>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</si>
  <si>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</si>
  <si>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</si>
  <si>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</si>
  <si>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</si>
  <si>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</si>
  <si>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</si>
  <si>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</si>
  <si>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</si>
  <si>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</si>
  <si>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</si>
  <si>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</si>
  <si>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</si>
  <si>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</si>
  <si>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</si>
  <si>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</si>
  <si>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</si>
  <si>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</si>
  <si>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</si>
  <si>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</si>
  <si>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</si>
  <si>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</si>
  <si>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</si>
  <si>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</si>
  <si>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</si>
  <si>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</si>
  <si>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</si>
  <si>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</si>
  <si>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</si>
  <si>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</si>
  <si>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</si>
  <si>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</si>
  <si>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</si>
  <si>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</si>
  <si>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</si>
  <si>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</si>
  <si>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</si>
  <si>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</si>
  <si>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</si>
  <si>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</si>
  <si>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</si>
  <si>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</si>
  <si>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</si>
  <si>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</si>
  <si>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</si>
  <si>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</si>
  <si>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</si>
  <si>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</si>
  <si>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</si>
  <si>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</si>
  <si>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</si>
  <si>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</si>
  <si>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</si>
  <si>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</si>
  <si>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</si>
  <si>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</si>
  <si>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</si>
  <si>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</si>
  <si>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</si>
  <si>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</si>
  <si>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</si>
  <si>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</si>
  <si>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</si>
  <si>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</si>
  <si>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</si>
  <si>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</si>
  <si>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</si>
  <si>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</si>
  <si>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</si>
  <si>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</si>
  <si>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</si>
  <si>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</si>
  <si>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</si>
  <si>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</si>
  <si>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</si>
  <si>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</si>
  <si>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</si>
  <si>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</si>
  <si>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</si>
  <si>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</si>
  <si>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</si>
  <si>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</si>
  <si>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</si>
  <si>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</si>
  <si>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</si>
  <si>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</si>
  <si>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</si>
  <si>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</si>
  <si>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</si>
  <si>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</si>
  <si>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</si>
  <si>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</si>
  <si>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</si>
  <si>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</si>
  <si>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</si>
  <si>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</si>
  <si>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</si>
  <si>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</si>
  <si>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</si>
  <si>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</si>
  <si>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</si>
  <si>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</si>
  <si>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</si>
  <si>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</si>
  <si>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</si>
  <si>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</si>
  <si>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</si>
  <si>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</si>
  <si>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</si>
  <si>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</si>
  <si>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</si>
  <si>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</si>
  <si>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</si>
  <si>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</si>
  <si>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</si>
  <si>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</si>
  <si>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</si>
  <si>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</si>
  <si>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</si>
  <si>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</si>
  <si>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</si>
  <si>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</si>
  <si>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</si>
  <si>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</si>
  <si>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</si>
  <si>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</si>
  <si>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</si>
  <si>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</si>
  <si>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</si>
  <si>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</si>
  <si>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</si>
  <si>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</si>
  <si>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</si>
  <si>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</si>
  <si>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</si>
  <si>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</si>
  <si>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</si>
  <si>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</si>
  <si>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</si>
  <si>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</si>
  <si>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</si>
  <si>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</si>
  <si>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</si>
  <si>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</si>
  <si>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</si>
  <si>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</si>
  <si>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</si>
  <si>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</si>
  <si>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</si>
  <si>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</si>
  <si>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</si>
  <si>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</si>
  <si>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</si>
  <si>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</si>
  <si>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</si>
  <si>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</si>
  <si>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</si>
  <si>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</si>
  <si>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</si>
  <si>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</si>
  <si>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</si>
  <si>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</si>
  <si>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</si>
  <si>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</si>
  <si>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</si>
  <si>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</si>
  <si>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</si>
  <si>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</si>
  <si>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</si>
  <si>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</si>
  <si>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</si>
  <si>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</si>
  <si>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</si>
  <si>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</si>
  <si>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</si>
  <si>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</si>
  <si>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</si>
  <si>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</si>
  <si>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</si>
  <si>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</si>
  <si>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</si>
  <si>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</si>
  <si>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</si>
  <si>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</si>
  <si>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</si>
  <si>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</si>
  <si>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</si>
  <si>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</si>
  <si>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</si>
  <si>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</si>
  <si>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</si>
  <si>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</si>
  <si>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</si>
  <si>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</si>
  <si>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</si>
  <si>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</si>
  <si>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</si>
  <si>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</si>
  <si>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</si>
  <si>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</si>
  <si>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</si>
  <si>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</si>
  <si>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</si>
  <si>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</si>
  <si>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</si>
  <si>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</si>
  <si>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</si>
  <si>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</si>
  <si>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</si>
  <si>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</si>
  <si>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</si>
  <si>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</si>
  <si>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</si>
  <si>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</si>
  <si>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</si>
  <si>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</si>
  <si>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</si>
  <si>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</si>
  <si>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</si>
  <si>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</si>
  <si>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</si>
  <si>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</si>
  <si>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</si>
  <si>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</si>
  <si>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</si>
  <si>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</si>
  <si>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</si>
  <si>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</si>
  <si>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</si>
  <si>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</si>
  <si>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</si>
  <si>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</si>
  <si>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</si>
  <si>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</si>
  <si>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</si>
  <si>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</si>
  <si>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</si>
  <si>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</si>
  <si>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</si>
  <si>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</si>
  <si>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</si>
  <si>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</si>
  <si>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</si>
  <si>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</si>
  <si>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</si>
  <si>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</si>
  <si>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</si>
  <si>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</si>
  <si>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</si>
  <si>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</si>
  <si>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</si>
  <si>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</si>
  <si>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</si>
  <si>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</si>
  <si>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</si>
  <si>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</si>
  <si>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</si>
  <si>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</si>
  <si>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</si>
  <si>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</si>
  <si>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</si>
  <si>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</si>
  <si>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</si>
  <si>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</si>
  <si>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</si>
  <si>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</si>
  <si>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</si>
  <si>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</si>
  <si>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</si>
  <si>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</si>
  <si>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</si>
  <si>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</si>
  <si>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</si>
  <si>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</si>
  <si>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</si>
  <si>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</si>
  <si>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</si>
  <si>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</si>
  <si>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</si>
  <si>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</si>
  <si>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</si>
  <si>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</si>
  <si>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</si>
  <si>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</si>
  <si>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</si>
  <si>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</si>
  <si>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</si>
  <si>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</si>
  <si>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</si>
  <si>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</si>
  <si>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</si>
  <si>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</si>
  <si>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</si>
  <si>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</si>
  <si>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</si>
  <si>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</si>
  <si>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</si>
  <si>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</si>
  <si>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</si>
  <si>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</si>
  <si>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</si>
  <si>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</si>
  <si>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</si>
  <si>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</si>
  <si>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</si>
  <si>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</si>
  <si>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</si>
  <si>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</si>
  <si>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</si>
  <si>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</si>
  <si>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</si>
  <si>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</si>
  <si>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</si>
  <si>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</si>
  <si>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</si>
  <si>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</si>
  <si>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</si>
  <si>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</si>
  <si>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</si>
  <si>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</si>
  <si>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</si>
  <si>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</si>
  <si>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</si>
  <si>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</si>
  <si>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</si>
  <si>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</si>
  <si>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</si>
  <si>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</si>
  <si>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</si>
  <si>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</si>
  <si>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</si>
  <si>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</si>
  <si>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</si>
  <si>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</si>
  <si>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</si>
  <si>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</si>
  <si>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</si>
  <si>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</si>
  <si>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</si>
  <si>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</si>
  <si>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</si>
  <si>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</si>
  <si>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</si>
  <si>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</si>
  <si>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</si>
  <si>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</si>
  <si>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</si>
  <si>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</si>
  <si>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</si>
  <si>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</si>
  <si>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</si>
  <si>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</si>
  <si>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</si>
  <si>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</si>
  <si>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</si>
  <si>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</si>
  <si>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</si>
  <si>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</si>
  <si>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</si>
  <si>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</si>
  <si>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</si>
  <si>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</si>
  <si>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</si>
  <si>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</si>
  <si>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</si>
  <si>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</si>
  <si>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</si>
  <si>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</si>
  <si>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</si>
  <si>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</si>
  <si>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</si>
  <si>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</si>
  <si>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</si>
  <si>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</si>
  <si>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</si>
  <si>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</si>
  <si>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</si>
  <si>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</si>
  <si>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</si>
  <si>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</si>
  <si>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</si>
  <si>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</si>
  <si>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</si>
  <si>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</si>
  <si>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</si>
  <si>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</si>
  <si>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</si>
  <si>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</si>
  <si>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</si>
  <si>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</si>
  <si>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</si>
  <si>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</si>
  <si>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</si>
  <si>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</si>
  <si>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</si>
  <si>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</si>
  <si>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</si>
  <si>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</si>
  <si>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</si>
  <si>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</si>
  <si>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</si>
  <si>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</si>
  <si>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</si>
  <si>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</si>
  <si>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</si>
  <si>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</si>
  <si>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</si>
  <si>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</si>
  <si>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</si>
  <si>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</si>
  <si>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</si>
  <si>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</si>
  <si>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</si>
  <si>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</si>
  <si>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</si>
  <si>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</si>
  <si>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</si>
  <si>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</si>
  <si>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</si>
  <si>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</si>
  <si>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</si>
  <si>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</si>
  <si>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</si>
  <si>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</si>
  <si>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</si>
  <si>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</si>
  <si>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</si>
  <si>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</si>
  <si>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</si>
  <si>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</si>
  <si>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</si>
  <si>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</si>
  <si>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</si>
  <si>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</si>
  <si>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</si>
  <si>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</si>
  <si>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</si>
  <si>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</si>
  <si>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</si>
  <si>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</si>
  <si>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</si>
  <si>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</si>
  <si>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</si>
  <si>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</si>
  <si>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</si>
  <si>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</si>
  <si>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</si>
  <si>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</si>
  <si>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</si>
  <si>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</si>
  <si>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</si>
  <si>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</si>
  <si>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</si>
  <si>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</si>
  <si>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</si>
  <si>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</si>
  <si>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</si>
  <si>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</si>
  <si>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</si>
  <si>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</si>
  <si>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</si>
  <si>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</si>
  <si>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</si>
  <si>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</si>
  <si>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</si>
  <si>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</si>
  <si>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</si>
  <si>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</si>
  <si>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</si>
  <si>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</si>
  <si>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</si>
  <si>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</si>
  <si>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</si>
  <si>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</si>
  <si>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</si>
  <si>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</si>
  <si>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</si>
  <si>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</si>
  <si>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</si>
  <si>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</si>
  <si>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</si>
  <si>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</si>
  <si>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</si>
  <si>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</si>
  <si>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</si>
  <si>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</si>
  <si>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</si>
  <si>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</si>
  <si>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</si>
  <si>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</si>
  <si>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</si>
  <si>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</si>
  <si>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</si>
  <si>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</si>
  <si>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</si>
  <si>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</si>
  <si>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</si>
  <si>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</si>
  <si>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</si>
  <si>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</si>
  <si>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</si>
  <si>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</si>
  <si>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</si>
  <si>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</si>
  <si>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</si>
  <si>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</si>
  <si>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</si>
  <si>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</si>
  <si>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</si>
  <si>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</si>
  <si>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</si>
  <si>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</si>
  <si>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</si>
  <si>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</si>
  <si>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</si>
  <si>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</si>
  <si>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</si>
  <si>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</si>
  <si>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</si>
  <si>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</si>
  <si>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</si>
  <si>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</si>
  <si>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</si>
  <si>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</si>
  <si>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</si>
  <si>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</si>
  <si>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</si>
  <si>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</si>
  <si>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</si>
  <si>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</si>
  <si>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</si>
  <si>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</si>
  <si>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</si>
  <si>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</si>
  <si>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</si>
  <si>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</si>
  <si>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</si>
  <si>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</si>
  <si>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</si>
  <si>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</si>
  <si>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</si>
  <si>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</si>
  <si>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</si>
  <si>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</si>
  <si>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</si>
  <si>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</si>
  <si>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</si>
  <si>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</si>
  <si>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</si>
  <si>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</si>
  <si>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</si>
  <si>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</si>
  <si>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</si>
  <si>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</si>
  <si>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</si>
  <si>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</si>
  <si>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</si>
  <si>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</si>
  <si>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</si>
  <si>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</si>
  <si>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</si>
  <si>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</si>
  <si>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</si>
  <si>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</si>
  <si>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</si>
  <si>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</si>
  <si>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</si>
  <si>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</si>
  <si>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</si>
  <si>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</si>
  <si>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</si>
  <si>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</si>
  <si>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</si>
  <si>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</si>
  <si>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</si>
  <si>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</si>
  <si>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</si>
  <si>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</si>
  <si>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</si>
  <si>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</si>
  <si>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</si>
  <si>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</si>
  <si>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</si>
  <si>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</si>
  <si>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</si>
  <si>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</si>
  <si>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</si>
  <si>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</si>
  <si>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</si>
  <si>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</si>
  <si>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</si>
  <si>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</si>
  <si>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</si>
  <si>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</si>
  <si>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</si>
  <si>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</si>
  <si>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</si>
  <si>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</si>
  <si>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</si>
  <si>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</si>
  <si>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</si>
  <si>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</si>
  <si>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</si>
  <si>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</si>
  <si>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</si>
  <si>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</si>
  <si>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</si>
  <si>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</si>
  <si>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</si>
  <si>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</si>
  <si>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</si>
  <si>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</si>
  <si>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</si>
  <si>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</si>
  <si>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</si>
  <si>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</si>
  <si>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</si>
  <si>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</si>
  <si>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</si>
  <si>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</si>
  <si>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</si>
  <si>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</si>
  <si>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</si>
  <si>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</si>
  <si>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</si>
  <si>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</si>
  <si>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</si>
  <si>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</si>
  <si>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</si>
  <si>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</si>
  <si>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</si>
  <si>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</si>
  <si>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</si>
  <si>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</si>
  <si>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</si>
  <si>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</si>
  <si>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</si>
  <si>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</si>
  <si>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</si>
  <si>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</si>
  <si>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</si>
  <si>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</si>
  <si>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</si>
  <si>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</si>
  <si>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</si>
  <si>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</si>
  <si>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</si>
  <si>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</si>
  <si>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</si>
  <si>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</si>
  <si>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</si>
  <si>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</si>
  <si>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</si>
  <si>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</si>
  <si>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</si>
  <si>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</si>
  <si>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</si>
  <si>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</si>
  <si>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</si>
  <si>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</si>
  <si>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</si>
  <si>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</si>
  <si>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</si>
  <si>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</si>
  <si>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</si>
  <si>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</si>
  <si>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</si>
  <si>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</si>
  <si>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</si>
  <si>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</si>
  <si>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</si>
  <si>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</si>
  <si>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</si>
  <si>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</si>
  <si>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</si>
  <si>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</si>
  <si>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</si>
  <si>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</si>
  <si>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</si>
  <si>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</si>
  <si>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</si>
  <si>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</si>
  <si>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</si>
  <si>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</si>
  <si>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</si>
  <si>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</si>
  <si>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</si>
  <si>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</si>
  <si>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</si>
  <si>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</si>
  <si>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</si>
  <si>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</si>
  <si>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</si>
  <si>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</si>
  <si>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</si>
  <si>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</si>
  <si>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</si>
  <si>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</si>
  <si>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</si>
  <si>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</si>
  <si>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</si>
  <si>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</si>
  <si>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</si>
  <si>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</si>
  <si>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</si>
  <si>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</si>
  <si>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</si>
  <si>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</si>
  <si>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</si>
  <si>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</si>
  <si>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</si>
  <si>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</si>
  <si>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</si>
  <si>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</si>
  <si>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</si>
  <si>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</si>
  <si>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</si>
  <si>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</si>
  <si>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</si>
  <si>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</si>
  <si>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</si>
  <si>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</si>
  <si>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</si>
  <si>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</si>
  <si>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</si>
  <si>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</si>
  <si>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</si>
  <si>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</si>
  <si>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</si>
  <si>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</si>
  <si>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</si>
  <si>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</si>
  <si>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</si>
  <si>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</si>
  <si>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</si>
  <si>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</si>
  <si>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</si>
  <si>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</si>
  <si>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</si>
  <si>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</si>
  <si>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</si>
  <si>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</si>
  <si>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</si>
  <si>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</si>
  <si>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</si>
  <si>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</si>
  <si>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</si>
  <si>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</si>
  <si>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</si>
  <si>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</si>
  <si>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</si>
  <si>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</si>
  <si>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</si>
  <si>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</si>
  <si>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</si>
  <si>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</si>
  <si>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</si>
  <si>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</si>
  <si>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</si>
  <si>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</si>
  <si>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</si>
  <si>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</si>
  <si>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</si>
  <si>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</si>
  <si>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</si>
  <si>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</si>
  <si>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</si>
  <si>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</si>
  <si>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</si>
  <si>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</si>
  <si>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</si>
  <si>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</si>
  <si>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</si>
  <si>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</si>
  <si>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</si>
  <si>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</si>
  <si>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</si>
  <si>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</si>
  <si>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</si>
  <si>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</si>
  <si>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</si>
  <si>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</si>
  <si>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</si>
  <si>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</si>
  <si>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</si>
  <si>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</si>
  <si>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</si>
  <si>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</si>
  <si>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</si>
  <si>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</si>
  <si>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</si>
  <si>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</si>
  <si>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</si>
  <si>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</si>
  <si>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</si>
  <si>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</si>
  <si>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</si>
  <si>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</si>
  <si>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</si>
  <si>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</si>
  <si>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</si>
  <si>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</si>
  <si>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</si>
  <si>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</si>
  <si>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</si>
  <si>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</si>
  <si>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</si>
  <si>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</si>
  <si>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</si>
  <si>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</si>
  <si>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</si>
  <si>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</si>
  <si>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</si>
  <si>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</si>
  <si>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</si>
  <si>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</si>
  <si>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</si>
  <si>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</si>
  <si>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</si>
  <si>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</si>
  <si>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</si>
  <si>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</si>
  <si>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</si>
  <si>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</si>
  <si>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</si>
  <si>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</si>
  <si>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</si>
  <si>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</si>
  <si>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</si>
  <si>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</si>
  <si>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</si>
  <si>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</si>
  <si>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</si>
  <si>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</si>
  <si>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</si>
  <si>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</si>
  <si>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</si>
  <si>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</si>
  <si>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</si>
  <si>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</si>
  <si>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</si>
  <si>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</si>
  <si>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</si>
  <si>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</si>
  <si>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</si>
  <si>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</si>
  <si>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</si>
  <si>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</si>
  <si>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</si>
  <si>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</si>
  <si>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</si>
  <si>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</si>
  <si>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</si>
  <si>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</si>
  <si>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</si>
  <si>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</si>
  <si>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</si>
  <si>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</si>
  <si>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</si>
  <si>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</si>
  <si>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</si>
  <si>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</si>
  <si>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</si>
  <si>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</si>
  <si>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</si>
  <si>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</si>
  <si>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</si>
  <si>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</si>
  <si>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</si>
  <si>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</si>
  <si>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</si>
  <si>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</si>
  <si>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</si>
  <si>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</si>
  <si>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</si>
  <si>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</si>
  <si>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</si>
  <si>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</si>
  <si>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</si>
  <si>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</si>
  <si>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</si>
  <si>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</si>
  <si>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</si>
  <si>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</si>
  <si>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</si>
  <si>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</si>
  <si>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</si>
  <si>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</si>
  <si>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</si>
  <si>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</si>
  <si>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</si>
  <si>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</si>
  <si>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</si>
  <si>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</si>
  <si>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</si>
  <si>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</si>
  <si>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</si>
  <si>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</si>
  <si>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</si>
  <si>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</si>
  <si>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</si>
  <si>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</si>
  <si>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</si>
  <si>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</si>
  <si>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</si>
  <si>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</si>
  <si>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</si>
  <si>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</si>
  <si>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</si>
  <si>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</si>
  <si>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</si>
  <si>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</si>
  <si>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</si>
  <si>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</si>
  <si>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</si>
  <si>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</si>
  <si>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</si>
  <si>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</si>
  <si>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</si>
  <si>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</si>
  <si>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</si>
  <si>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</si>
  <si>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</si>
  <si>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</si>
  <si>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</si>
  <si>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</si>
  <si>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</si>
  <si>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</si>
  <si>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</si>
  <si>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</si>
  <si>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</si>
  <si>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</si>
  <si>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</si>
  <si>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</si>
  <si>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</si>
  <si>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</si>
  <si>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</si>
  <si>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</si>
  <si>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</si>
  <si>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</si>
  <si>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</si>
  <si>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</si>
  <si>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</si>
  <si>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</si>
  <si>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</si>
  <si>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</si>
  <si>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</si>
  <si>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</si>
  <si>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</si>
  <si>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</si>
  <si>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</si>
  <si>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</si>
  <si>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</si>
  <si>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</si>
  <si>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</si>
  <si>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</si>
  <si>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</si>
  <si>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</si>
  <si>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</si>
  <si>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</si>
  <si>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</si>
  <si>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</si>
  <si>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</si>
  <si>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</si>
  <si>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</si>
  <si>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</si>
  <si>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</si>
  <si>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</si>
  <si>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</si>
  <si>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</si>
  <si>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</si>
  <si>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</si>
  <si>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</si>
  <si>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</si>
  <si>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</si>
  <si>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</si>
  <si>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</si>
  <si>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</si>
  <si>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</si>
  <si>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</si>
  <si>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</si>
  <si>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</si>
  <si>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</si>
  <si>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</si>
  <si>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</si>
  <si>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</si>
  <si>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</si>
  <si>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</si>
  <si>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</si>
  <si>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</si>
  <si>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</si>
  <si>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</si>
  <si>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</si>
  <si>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</si>
  <si>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</si>
  <si>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</si>
  <si>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</si>
  <si>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</si>
  <si>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</si>
  <si>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</si>
  <si>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</si>
  <si>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</si>
  <si>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</si>
  <si>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</si>
  <si>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</si>
  <si>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</si>
  <si>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</si>
  <si>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</si>
  <si>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</si>
  <si>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</si>
  <si>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</si>
  <si>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</si>
  <si>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</si>
  <si>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</si>
  <si>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</si>
  <si>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</si>
  <si>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</si>
  <si>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</si>
  <si>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</si>
  <si>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</si>
  <si>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</si>
  <si>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</si>
  <si>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</si>
  <si>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</si>
  <si>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</si>
  <si>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</si>
  <si>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</si>
  <si>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</si>
  <si>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</si>
  <si>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</si>
  <si>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</si>
  <si>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</si>
  <si>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</si>
  <si>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</si>
  <si>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</si>
  <si>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</si>
  <si>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</si>
  <si>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</si>
  <si>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</si>
  <si>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</si>
  <si>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</si>
  <si>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</si>
  <si>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</si>
  <si>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</si>
  <si>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</si>
  <si>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</si>
  <si>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</si>
  <si>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</si>
  <si>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</si>
  <si>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</si>
  <si>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</si>
  <si>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</si>
  <si>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</si>
  <si>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</si>
  <si>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</si>
  <si>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</si>
  <si>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</si>
  <si>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</si>
  <si>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</si>
  <si>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</si>
  <si>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</si>
  <si>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</si>
  <si>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</si>
  <si>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</si>
  <si>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</si>
  <si>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</si>
  <si>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</si>
  <si>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</si>
  <si>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</si>
  <si>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</si>
  <si>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</si>
  <si>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</si>
  <si>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</si>
  <si>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</si>
  <si>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</si>
  <si>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</si>
  <si>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</si>
  <si>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</si>
  <si>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</si>
  <si>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</si>
  <si>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</si>
  <si>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</si>
  <si>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</si>
  <si>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</si>
  <si>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</si>
  <si>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</si>
  <si>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</si>
  <si>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</si>
  <si>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</si>
  <si>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</si>
  <si>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</si>
  <si>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</si>
  <si>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</si>
  <si>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</si>
  <si>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</si>
  <si>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</si>
  <si>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</si>
  <si>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</si>
  <si>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</si>
  <si>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</si>
  <si>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</si>
  <si>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</si>
  <si>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</si>
  <si>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</si>
  <si>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</si>
  <si>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</si>
  <si>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</si>
  <si>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</si>
  <si>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</si>
  <si>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</si>
  <si>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</si>
  <si>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</si>
  <si>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</si>
  <si>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</si>
  <si>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</si>
  <si>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</si>
  <si>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</si>
  <si>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</si>
  <si>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</si>
  <si>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</si>
  <si>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</si>
  <si>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</si>
  <si>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</si>
  <si>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</si>
  <si>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</si>
  <si>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</si>
  <si>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</si>
  <si>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</si>
  <si>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</si>
  <si>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</si>
  <si>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</si>
  <si>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</si>
  <si>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</si>
  <si>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</si>
  <si>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</si>
  <si>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</si>
  <si>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</si>
  <si>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</si>
  <si>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</si>
  <si>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</si>
  <si>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</si>
  <si>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</si>
  <si>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</si>
  <si>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</si>
  <si>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</si>
  <si>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</si>
  <si>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</si>
  <si>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</si>
  <si>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</si>
  <si>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</si>
  <si>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</si>
  <si>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</si>
  <si>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</si>
  <si>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</si>
  <si>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</si>
  <si>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</si>
  <si>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</si>
  <si>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</si>
  <si>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</si>
  <si>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</si>
  <si>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</si>
  <si>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</si>
  <si>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</si>
  <si>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</si>
  <si>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</si>
  <si>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</si>
  <si>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</si>
  <si>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</si>
  <si>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</si>
  <si>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</si>
  <si>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</si>
  <si>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</si>
  <si>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</si>
  <si>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</si>
  <si>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</si>
  <si>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</si>
  <si>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</si>
  <si>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</si>
  <si>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</si>
  <si>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</si>
  <si>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</si>
  <si>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</si>
  <si>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</si>
  <si>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</si>
  <si>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</si>
  <si>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</si>
  <si>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</si>
  <si>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</si>
  <si>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</si>
  <si>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</si>
  <si>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</si>
  <si>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</si>
  <si>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</si>
  <si>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</si>
  <si>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</si>
  <si>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</si>
  <si>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</si>
  <si>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</si>
  <si>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</si>
  <si>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</si>
  <si>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</si>
  <si>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</si>
  <si>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</si>
  <si>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</si>
  <si>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</si>
  <si>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</si>
  <si>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</si>
  <si>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</si>
  <si>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</si>
  <si>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</si>
  <si>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</si>
  <si>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</si>
  <si>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</si>
  <si>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</si>
  <si>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</si>
  <si>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</si>
  <si>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</si>
  <si>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</si>
  <si>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</si>
  <si>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</si>
  <si>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</si>
  <si>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</si>
  <si>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</si>
  <si>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</si>
  <si>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</si>
  <si>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</si>
  <si>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</si>
  <si>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</si>
  <si>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</si>
  <si>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</si>
  <si>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</si>
  <si>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</si>
  <si>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</si>
  <si>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</si>
  <si>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</si>
  <si>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</si>
  <si>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</si>
  <si>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</si>
  <si>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</si>
  <si>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</si>
  <si>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</si>
  <si>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</si>
  <si>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</si>
  <si>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</si>
  <si>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</si>
  <si>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</si>
  <si>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</si>
  <si>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</si>
  <si>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</si>
  <si>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</si>
  <si>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</si>
  <si>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</si>
  <si>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</si>
  <si>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</si>
  <si>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</si>
  <si>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</si>
  <si>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</si>
  <si>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</si>
  <si>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</si>
  <si>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</si>
  <si>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</si>
  <si>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</si>
  <si>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</si>
  <si>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</si>
  <si>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</si>
  <si>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</si>
  <si>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</si>
  <si>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</si>
  <si>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</si>
  <si>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</si>
  <si>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</si>
  <si>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</si>
  <si>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</si>
  <si>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</si>
  <si>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</si>
  <si>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</si>
  <si>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</si>
  <si>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</si>
  <si>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</si>
  <si>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</si>
  <si>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</si>
  <si>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</si>
  <si>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</si>
  <si>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</si>
  <si>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</si>
  <si>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</si>
  <si>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</si>
  <si>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</si>
  <si>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</si>
  <si>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</si>
  <si>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</si>
  <si>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</si>
  <si>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</si>
  <si>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</si>
  <si>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</si>
  <si>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</si>
  <si>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</si>
  <si>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</si>
  <si>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</si>
  <si>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</si>
  <si>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</si>
  <si>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</si>
  <si>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</si>
  <si>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</si>
  <si>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</si>
  <si>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</si>
  <si>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</si>
  <si>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</si>
  <si>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</si>
  <si>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</si>
  <si>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</si>
  <si>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</si>
  <si>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</si>
  <si>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</si>
  <si>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</si>
  <si>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</si>
  <si>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</si>
  <si>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</si>
  <si>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</si>
  <si>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</si>
  <si>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</si>
  <si>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</si>
  <si>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</si>
  <si>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</si>
  <si>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</si>
  <si>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</si>
  <si>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</si>
  <si>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</si>
  <si>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</si>
  <si>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</si>
  <si>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</si>
  <si>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</si>
  <si>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</si>
  <si>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</si>
  <si>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</si>
  <si>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</si>
  <si>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</si>
  <si>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</si>
  <si>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</si>
  <si>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</si>
  <si>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</si>
  <si>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</si>
  <si>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</si>
  <si>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</si>
  <si>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</si>
  <si>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</si>
  <si>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</si>
  <si>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</si>
  <si>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</si>
  <si>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</si>
  <si>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</si>
  <si>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</si>
  <si>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</si>
  <si>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</si>
  <si>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</si>
  <si>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</si>
  <si>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</si>
  <si>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</si>
  <si>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</si>
  <si>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</si>
  <si>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</si>
  <si>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</si>
  <si>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</si>
  <si>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</si>
  <si>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</si>
  <si>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</si>
  <si>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</si>
  <si>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</si>
  <si>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</si>
  <si>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</si>
  <si>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</si>
  <si>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</si>
  <si>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</si>
  <si>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</si>
  <si>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</si>
  <si>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</si>
  <si>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</si>
  <si>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</si>
  <si>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</si>
  <si>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</si>
  <si>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</si>
  <si>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</si>
  <si>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</si>
  <si>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</si>
  <si>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</si>
  <si>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</si>
  <si>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</si>
  <si>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</si>
  <si>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</si>
  <si>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</si>
  <si>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</si>
  <si>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</si>
  <si>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</si>
  <si>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</si>
  <si>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</si>
  <si>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</si>
  <si>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</si>
  <si>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</si>
  <si>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</si>
  <si>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</si>
  <si>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</si>
  <si>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</si>
  <si>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</si>
  <si>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</si>
  <si>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</si>
  <si>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</si>
  <si>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</si>
  <si>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</si>
  <si>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</si>
  <si>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</si>
  <si>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</si>
  <si>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</si>
  <si>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</si>
  <si>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</si>
  <si>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</si>
  <si>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</si>
  <si>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</si>
  <si>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</si>
  <si>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</si>
  <si>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</si>
  <si>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</si>
  <si>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</si>
  <si>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</si>
  <si>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</si>
  <si>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</si>
  <si>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</si>
  <si>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</si>
  <si>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</si>
  <si>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</si>
  <si>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</si>
  <si>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</si>
  <si>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</si>
  <si>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</si>
  <si>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</si>
  <si>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</si>
  <si>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</si>
  <si>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</si>
  <si>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</si>
  <si>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</si>
  <si>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</si>
  <si>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</si>
  <si>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</si>
  <si>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</si>
  <si>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</si>
  <si>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</si>
  <si>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</si>
  <si>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</si>
  <si>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</si>
  <si>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</si>
  <si>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</si>
  <si>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</si>
  <si>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</si>
  <si>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</si>
  <si>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</si>
  <si>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</si>
  <si>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</si>
  <si>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</si>
  <si>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</si>
  <si>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</si>
  <si>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</si>
  <si>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</si>
  <si>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</si>
  <si>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</si>
  <si>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</si>
  <si>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</si>
  <si>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</si>
  <si>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</si>
  <si>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</si>
  <si>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</si>
  <si>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</si>
  <si>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</si>
  <si>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</si>
  <si>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</si>
  <si>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</si>
  <si>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</si>
  <si>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</si>
  <si>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</si>
  <si>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</si>
  <si>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</si>
  <si>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</si>
  <si>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</si>
  <si>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</si>
  <si>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</si>
  <si>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</si>
  <si>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</si>
  <si>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</si>
  <si>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</si>
  <si>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</si>
  <si>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</si>
  <si>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</si>
  <si>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</si>
  <si>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</si>
  <si>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</si>
  <si>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</si>
  <si>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</si>
  <si>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</si>
  <si>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</si>
  <si>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</si>
  <si>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</si>
  <si>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</si>
  <si>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</si>
  <si>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</si>
  <si>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</si>
  <si>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</si>
  <si>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</si>
  <si>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</si>
  <si>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</si>
  <si>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</si>
  <si>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</si>
  <si>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</si>
  <si>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</si>
  <si>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</si>
  <si>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</si>
  <si>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</si>
  <si>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</si>
  <si>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</si>
  <si>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</si>
  <si>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</si>
  <si>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</si>
  <si>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</si>
  <si>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</si>
  <si>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</si>
  <si>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</si>
  <si>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</si>
  <si>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</si>
  <si>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</si>
  <si>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</si>
  <si>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</si>
  <si>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</si>
  <si>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</si>
  <si>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</si>
  <si>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</si>
  <si>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</si>
  <si>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</si>
  <si>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</si>
  <si>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</si>
  <si>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</si>
  <si>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</si>
  <si>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</si>
  <si>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</si>
  <si>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</si>
  <si>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</si>
  <si>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</si>
  <si>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</si>
  <si>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</si>
  <si>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</si>
  <si>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</si>
  <si>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</si>
  <si>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</si>
  <si>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</si>
  <si>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</si>
  <si>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</si>
  <si>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</si>
  <si>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</si>
  <si>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</si>
  <si>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</si>
  <si>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</si>
  <si>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</si>
  <si>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</si>
  <si>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</si>
  <si>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</si>
  <si>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</si>
  <si>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</si>
  <si>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</si>
  <si>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</si>
  <si>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</si>
  <si>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</si>
  <si>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</si>
  <si>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</si>
  <si>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</si>
  <si>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</si>
  <si>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</si>
  <si>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</si>
  <si>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</si>
  <si>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</si>
  <si>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</si>
  <si>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</si>
  <si>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</si>
  <si>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</si>
  <si>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</si>
  <si>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</si>
  <si>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</si>
  <si>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</si>
  <si>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</si>
  <si>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</si>
  <si>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</si>
  <si>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</si>
  <si>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</si>
  <si>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</si>
  <si>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</si>
  <si>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</si>
  <si>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</si>
  <si>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</si>
  <si>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</si>
  <si>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</si>
  <si>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</si>
  <si>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</si>
  <si>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</si>
  <si>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</si>
  <si>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</si>
  <si>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</si>
  <si>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</si>
  <si>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</si>
  <si>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</si>
  <si>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</si>
  <si>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</si>
  <si>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</si>
  <si>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</si>
  <si>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</si>
  <si>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</si>
  <si>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</si>
  <si>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</si>
  <si>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</si>
  <si>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</si>
  <si>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</si>
  <si>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</si>
  <si>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</si>
  <si>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</si>
  <si>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</si>
  <si>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</si>
  <si>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</si>
  <si>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</si>
  <si>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</si>
  <si>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</si>
  <si>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</si>
  <si>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</si>
  <si>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</si>
  <si>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</si>
  <si>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</si>
  <si>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</si>
  <si>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</si>
  <si>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</si>
  <si>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</si>
  <si>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</si>
  <si>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</si>
  <si>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</si>
  <si>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</si>
  <si>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</si>
  <si>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</si>
  <si>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</si>
  <si>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</si>
  <si>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</si>
  <si>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</si>
  <si>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</si>
  <si>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</si>
  <si>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</si>
  <si>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</si>
  <si>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</si>
  <si>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</si>
  <si>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</si>
  <si>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</si>
  <si>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</si>
  <si>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</si>
  <si>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</si>
  <si>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</si>
  <si>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</si>
  <si>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</si>
  <si>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</si>
  <si>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</si>
  <si>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</si>
  <si>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</si>
  <si>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</si>
  <si>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</si>
  <si>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</si>
  <si>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</si>
  <si>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</si>
  <si>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</si>
  <si>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</si>
  <si>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</si>
  <si>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</si>
  <si>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</si>
  <si>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</si>
  <si>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</si>
  <si>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</si>
  <si>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</si>
  <si>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</si>
  <si>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</si>
  <si>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</si>
  <si>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</si>
  <si>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</si>
  <si>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</si>
  <si>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</si>
  <si>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</si>
  <si>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</si>
  <si>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</si>
  <si>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</si>
  <si>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</si>
  <si>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</si>
  <si>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</si>
  <si>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</si>
  <si>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</si>
  <si>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</si>
  <si>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</si>
  <si>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</si>
  <si>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</si>
  <si>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</si>
  <si>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</si>
  <si>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</si>
  <si>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</si>
  <si>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</si>
  <si>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</si>
  <si>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</si>
  <si>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</si>
  <si>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</si>
  <si>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</si>
  <si>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</si>
  <si>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</si>
  <si>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</si>
  <si>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</si>
  <si>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</si>
  <si>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</si>
  <si>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</si>
  <si>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</si>
  <si>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</si>
  <si>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</si>
  <si>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</si>
  <si>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</si>
  <si>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</si>
  <si>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</si>
  <si>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</si>
  <si>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</si>
  <si>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</si>
  <si>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</si>
  <si>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</si>
  <si>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</si>
  <si>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</si>
  <si>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</si>
  <si>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</si>
  <si>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</si>
  <si>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</si>
  <si>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</si>
  <si>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</si>
  <si>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</si>
  <si>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</si>
  <si>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</si>
  <si>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</si>
  <si>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</si>
  <si>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</si>
  <si>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</si>
  <si>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</si>
  <si>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</si>
  <si>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</si>
  <si>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</si>
  <si>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</si>
  <si>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</si>
  <si>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</si>
  <si>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</si>
  <si>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</si>
  <si>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</si>
  <si>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</si>
  <si>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</si>
  <si>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</si>
  <si>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</si>
  <si>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</si>
  <si>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</si>
  <si>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</si>
  <si>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</si>
  <si>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</si>
  <si>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</si>
  <si>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</si>
  <si>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</si>
  <si>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</si>
  <si>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</si>
  <si>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</si>
  <si>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</si>
  <si>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</si>
  <si>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</si>
  <si>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</si>
  <si>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</si>
  <si>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</si>
  <si>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</si>
  <si>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</si>
  <si>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</si>
  <si>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</si>
  <si>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</si>
  <si>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</si>
  <si>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</si>
  <si>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</si>
  <si>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</si>
  <si>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</si>
  <si>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</si>
  <si>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</si>
  <si>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</si>
  <si>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</si>
  <si>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</si>
  <si>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</si>
  <si>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</si>
  <si>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</si>
  <si>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</si>
  <si>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</si>
  <si>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</si>
  <si>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</si>
  <si>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</si>
  <si>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</si>
  <si>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</si>
  <si>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</si>
  <si>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</si>
  <si>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</si>
  <si>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</si>
  <si>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</si>
  <si>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</si>
  <si>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</si>
  <si>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</si>
  <si>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</si>
  <si>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</si>
  <si>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</si>
  <si>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</si>
  <si>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</si>
  <si>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</si>
  <si>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</si>
  <si>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</si>
  <si>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</si>
  <si>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</si>
  <si>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</si>
  <si>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</si>
  <si>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</si>
  <si>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</si>
  <si>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</si>
  <si>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</si>
  <si>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</si>
  <si>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</si>
  <si>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</si>
  <si>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</si>
  <si>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</si>
  <si>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</si>
  <si>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</si>
  <si>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</si>
  <si>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</si>
  <si>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</si>
  <si>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</si>
  <si>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</si>
  <si>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</si>
  <si>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</si>
  <si>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</si>
  <si>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</si>
  <si>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</si>
  <si>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</si>
  <si>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</si>
  <si>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</si>
  <si>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</si>
  <si>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</si>
  <si>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</si>
  <si>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</si>
  <si>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</si>
  <si>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</si>
  <si>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</si>
  <si>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</si>
  <si>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</si>
  <si>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</si>
  <si>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</si>
  <si>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</si>
  <si>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</si>
  <si>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</si>
  <si>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</si>
  <si>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</si>
  <si>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</si>
  <si>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</si>
  <si>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</si>
  <si>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</si>
  <si>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</si>
  <si>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</si>
  <si>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</si>
  <si>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</si>
  <si>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</si>
  <si>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</si>
  <si>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</si>
  <si>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</si>
  <si>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</si>
  <si>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</si>
  <si>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</si>
  <si>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</si>
  <si>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</si>
  <si>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</si>
  <si>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</si>
  <si>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</si>
  <si>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</si>
  <si>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</si>
  <si>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</si>
  <si>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</si>
  <si>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</si>
  <si>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</si>
  <si>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</si>
  <si>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</si>
  <si>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</si>
  <si>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</si>
  <si>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</si>
  <si>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</si>
  <si>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</si>
  <si>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</si>
  <si>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</si>
  <si>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</si>
  <si>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</si>
  <si>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</si>
  <si>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</si>
  <si>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</si>
  <si>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</si>
  <si>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</si>
  <si>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</si>
  <si>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</si>
  <si>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</si>
  <si>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</si>
  <si>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</si>
  <si>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</si>
  <si>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</si>
  <si>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</si>
  <si>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</si>
  <si>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</si>
  <si>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</si>
  <si>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</si>
  <si>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</si>
  <si>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</si>
  <si>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</si>
  <si>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</si>
  <si>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</si>
  <si>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</si>
  <si>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</si>
  <si>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</si>
  <si>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</si>
  <si>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</si>
  <si>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</si>
  <si>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</si>
  <si>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</si>
  <si>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</si>
  <si>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</si>
  <si>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</si>
  <si>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</si>
  <si>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</si>
  <si>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</si>
  <si>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</si>
  <si>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</si>
  <si>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</si>
  <si>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</si>
  <si>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</si>
  <si>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</si>
  <si>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</si>
  <si>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</si>
  <si>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</si>
  <si>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</si>
  <si>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</si>
  <si>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</si>
  <si>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</si>
  <si>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</si>
  <si>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</si>
  <si>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</si>
  <si>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</si>
  <si>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</si>
  <si>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</si>
  <si>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</si>
  <si>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</si>
  <si>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</si>
  <si>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</si>
  <si>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</si>
  <si>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</si>
  <si>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</si>
  <si>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</si>
  <si>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</si>
  <si>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</si>
  <si>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</si>
  <si>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</si>
  <si>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</si>
  <si>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</si>
  <si>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</si>
  <si>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</si>
  <si>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</si>
  <si>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</si>
  <si>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</si>
  <si>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</si>
  <si>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</si>
  <si>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</si>
  <si>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</si>
  <si>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</si>
  <si>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</si>
  <si>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</si>
  <si>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</si>
  <si>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</si>
  <si>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</si>
  <si>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</si>
  <si>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</si>
  <si>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</si>
  <si>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</si>
  <si>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</si>
  <si>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</si>
  <si>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</si>
  <si>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</si>
  <si>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</si>
  <si>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</si>
  <si>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</si>
  <si>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</si>
  <si>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</si>
  <si>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</si>
  <si>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</si>
  <si>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</si>
  <si>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</si>
  <si>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</si>
  <si>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</si>
  <si>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</si>
  <si>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</si>
  <si>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</si>
  <si>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</si>
  <si>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</si>
  <si>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</si>
  <si>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</si>
  <si>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</si>
  <si>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</si>
  <si>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</si>
  <si>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</si>
  <si>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</si>
  <si>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</si>
  <si>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</si>
  <si>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</si>
  <si>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</si>
  <si>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</si>
  <si>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</si>
  <si>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</si>
  <si>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</si>
  <si>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</si>
  <si>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</si>
  <si>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</si>
  <si>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</si>
  <si>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</si>
  <si>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</si>
  <si>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</si>
  <si>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</si>
  <si>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</si>
  <si>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</si>
  <si>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</si>
  <si>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</si>
  <si>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</si>
  <si>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</si>
  <si>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</si>
  <si>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</si>
  <si>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</si>
  <si>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</si>
  <si>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</si>
  <si>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</si>
  <si>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</si>
  <si>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</si>
  <si>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</si>
  <si>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</si>
  <si>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</si>
  <si>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</si>
  <si>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</si>
  <si>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</si>
  <si>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</si>
  <si>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</si>
  <si>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</si>
  <si>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</si>
  <si>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</si>
  <si>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</si>
  <si>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</si>
  <si>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</si>
  <si>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</si>
  <si>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</si>
  <si>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</si>
  <si>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</si>
  <si>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</si>
  <si>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</si>
  <si>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</si>
  <si>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</si>
  <si>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</si>
  <si>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</si>
  <si>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</si>
  <si>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</si>
  <si>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</si>
  <si>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</si>
  <si>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</si>
  <si>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</si>
  <si>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</si>
  <si>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</si>
  <si>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</si>
  <si>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</si>
  <si>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</si>
  <si>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</si>
  <si>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</si>
  <si>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</si>
  <si>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</si>
  <si>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</si>
  <si>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</si>
  <si>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</si>
  <si>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</si>
  <si>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</si>
  <si>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</si>
  <si>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</si>
  <si>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</si>
  <si>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</si>
  <si>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</si>
  <si>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</si>
  <si>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</si>
  <si>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</si>
  <si>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</si>
  <si>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</si>
  <si>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</si>
  <si>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</si>
  <si>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</si>
  <si>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</si>
  <si>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</si>
  <si>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</si>
  <si>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</si>
  <si>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</si>
  <si>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</si>
  <si>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</si>
  <si>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</si>
  <si>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</si>
  <si>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</si>
  <si>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</si>
  <si>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</si>
  <si>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</si>
  <si>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</si>
  <si>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</si>
  <si>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</si>
  <si>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</si>
  <si>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</si>
  <si>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</si>
  <si>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</si>
  <si>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</si>
  <si>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</si>
  <si>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</si>
  <si>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</si>
  <si>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</si>
  <si>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</si>
  <si>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</si>
  <si>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</si>
  <si>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</si>
  <si>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</si>
  <si>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</si>
  <si>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</si>
  <si>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</si>
  <si>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</si>
  <si>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</si>
  <si>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</si>
  <si>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</si>
  <si>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</si>
  <si>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</si>
  <si>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</si>
  <si>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</si>
  <si>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</si>
  <si>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</si>
  <si>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</si>
  <si>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</si>
  <si>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</si>
  <si>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</si>
  <si>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</si>
  <si>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</si>
  <si>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</si>
  <si>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</si>
  <si>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</si>
  <si>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</si>
  <si>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</si>
  <si>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</si>
  <si>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</si>
  <si>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</si>
  <si>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</si>
  <si>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</si>
  <si>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</si>
  <si>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</si>
  <si>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</si>
  <si>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</si>
  <si>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</si>
  <si>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</si>
  <si>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</si>
  <si>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</si>
  <si>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</si>
  <si>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</si>
  <si>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</si>
  <si>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</si>
  <si>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</si>
  <si>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</si>
  <si>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</si>
  <si>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</si>
  <si>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</si>
  <si>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</si>
  <si>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</si>
  <si>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</si>
  <si>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</si>
  <si>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</si>
  <si>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</si>
  <si>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</si>
  <si>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</si>
  <si>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</si>
  <si>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</si>
  <si>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</si>
  <si>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</si>
  <si>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</si>
  <si>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</si>
  <si>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</si>
  <si>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</si>
  <si>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</si>
  <si>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</si>
  <si>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</si>
  <si>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</si>
  <si>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</si>
  <si>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</si>
  <si>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</si>
  <si>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</si>
  <si>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</si>
  <si>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</si>
  <si>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</si>
  <si>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</si>
  <si>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</si>
  <si>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</si>
  <si>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</si>
  <si>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</si>
  <si>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</si>
  <si>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</si>
  <si>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</si>
  <si>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</si>
  <si>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</si>
  <si>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</si>
  <si>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</si>
  <si>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</si>
  <si>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</si>
  <si>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</si>
  <si>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</si>
  <si>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</si>
  <si>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</si>
  <si>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</si>
  <si>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</si>
  <si>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</si>
  <si>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</si>
  <si>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</si>
  <si>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</si>
  <si>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</si>
  <si>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</si>
  <si>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</si>
  <si>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</si>
  <si>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</si>
  <si>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</si>
  <si>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</si>
  <si>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</si>
  <si>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</si>
  <si>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</si>
  <si>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</si>
  <si>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</si>
  <si>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</si>
  <si>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</si>
  <si>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</si>
  <si>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</si>
  <si>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</si>
  <si>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</si>
  <si>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</si>
  <si>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</si>
  <si>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</si>
  <si>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</si>
  <si>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</si>
  <si>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</si>
  <si>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</si>
  <si>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</si>
  <si>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</si>
  <si>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</si>
  <si>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</si>
  <si>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</si>
  <si>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</si>
  <si>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</si>
  <si>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</si>
  <si>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</si>
  <si>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</si>
  <si>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</si>
  <si>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</si>
  <si>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</si>
  <si>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</si>
  <si>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</si>
  <si>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</si>
  <si>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</si>
  <si>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</si>
  <si>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</si>
  <si>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</si>
  <si>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</si>
  <si>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</si>
  <si>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</si>
  <si>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</si>
  <si>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</si>
  <si>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</si>
  <si>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</si>
  <si>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</si>
  <si>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</si>
  <si>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</si>
  <si>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</si>
  <si>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</si>
  <si>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</si>
  <si>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</si>
  <si>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</si>
  <si>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</si>
  <si>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</si>
  <si>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</si>
  <si>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</si>
  <si>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</si>
  <si>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</si>
  <si>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</si>
  <si>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</si>
  <si>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</si>
  <si>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</si>
  <si>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</si>
  <si>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</si>
  <si>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</si>
  <si>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</si>
  <si>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</si>
  <si>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</si>
  <si>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</si>
  <si>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</si>
  <si>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</si>
  <si>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</si>
  <si>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</si>
  <si>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</si>
  <si>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</si>
  <si>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</si>
  <si>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</si>
  <si>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</si>
  <si>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</si>
  <si>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</si>
  <si>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</si>
  <si>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</si>
  <si>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</si>
  <si>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</si>
  <si>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</si>
  <si>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</si>
  <si>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</si>
  <si>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</si>
  <si>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</si>
  <si>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</si>
  <si>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</si>
  <si>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</si>
  <si>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</si>
  <si>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</si>
  <si>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</si>
  <si>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</si>
  <si>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</si>
  <si>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</si>
  <si>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</si>
  <si>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</si>
  <si>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</si>
  <si>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</si>
  <si>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</si>
  <si>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</si>
  <si>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</si>
  <si>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</si>
  <si>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</si>
  <si>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</si>
  <si>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</si>
  <si>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</si>
  <si>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</si>
  <si>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</si>
  <si>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</si>
  <si>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</si>
  <si>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</si>
  <si>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</si>
  <si>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</si>
  <si>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</si>
  <si>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</si>
  <si>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</si>
  <si>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</si>
  <si>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</si>
  <si>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</si>
  <si>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</si>
  <si>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</si>
  <si>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</si>
  <si>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</si>
  <si>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</si>
  <si>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</si>
  <si>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</si>
  <si>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</si>
  <si>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</si>
  <si>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</si>
  <si>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</si>
  <si>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</si>
  <si>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</si>
  <si>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</si>
  <si>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</si>
  <si>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</si>
  <si>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</si>
  <si>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</si>
  <si>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</si>
  <si>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</si>
  <si>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</si>
  <si>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</si>
  <si>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</si>
  <si>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</si>
  <si>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</si>
  <si>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</si>
  <si>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</si>
  <si>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</si>
  <si>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</si>
  <si>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</si>
  <si>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</si>
  <si>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</si>
  <si>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</si>
  <si>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</si>
  <si>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</si>
  <si>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</si>
  <si>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</si>
  <si>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</si>
  <si>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</si>
  <si>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</si>
  <si>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</si>
  <si>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</si>
  <si>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</si>
  <si>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</si>
  <si>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</si>
  <si>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</si>
  <si>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</si>
  <si>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</si>
  <si>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</si>
  <si>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</si>
  <si>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</si>
  <si>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</si>
  <si>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</si>
  <si>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</si>
  <si>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</si>
  <si>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</si>
  <si>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</si>
  <si>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</si>
  <si>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</si>
  <si>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</si>
  <si>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</si>
  <si>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</si>
  <si>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</si>
  <si>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</si>
  <si>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</si>
  <si>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</si>
  <si>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</si>
  <si>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</si>
  <si>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</si>
  <si>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</si>
  <si>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</si>
  <si>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</si>
  <si>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</si>
  <si>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</si>
  <si>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</si>
  <si>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</si>
  <si>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</si>
  <si>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</si>
  <si>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</si>
  <si>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</si>
  <si>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</si>
  <si>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</si>
  <si>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</si>
  <si>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</si>
  <si>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</si>
  <si>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</si>
  <si>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</si>
  <si>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</si>
  <si>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</si>
  <si>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</si>
  <si>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</si>
  <si>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</si>
  <si>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</si>
  <si>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</si>
  <si>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</si>
  <si>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</si>
  <si>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</si>
  <si>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</si>
  <si>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</si>
  <si>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</si>
  <si>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</si>
  <si>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</si>
  <si>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</si>
  <si>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</si>
  <si>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</si>
  <si>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</si>
  <si>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</si>
  <si>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</si>
  <si>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</si>
  <si>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</si>
  <si>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</si>
  <si>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</si>
  <si>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</si>
  <si>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</si>
  <si>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</si>
  <si>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</si>
  <si>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</si>
  <si>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</si>
  <si>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</si>
  <si>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</si>
  <si>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</si>
  <si>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</si>
  <si>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</si>
  <si>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</si>
  <si>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</si>
  <si>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</si>
  <si>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</si>
  <si>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</si>
  <si>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</si>
  <si>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</si>
  <si>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</si>
  <si>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</si>
  <si>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</si>
  <si>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</si>
  <si>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</si>
  <si>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</si>
  <si>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</si>
  <si>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</si>
  <si>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</si>
  <si>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</si>
  <si>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</si>
  <si>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</si>
  <si>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</si>
  <si>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</si>
  <si>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</si>
  <si>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</si>
  <si>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</si>
  <si>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</si>
  <si>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</si>
  <si>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</si>
  <si>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</si>
  <si>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</si>
  <si>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</si>
  <si>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</si>
  <si>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</si>
  <si>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</si>
  <si>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</si>
  <si>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</si>
  <si>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</si>
  <si>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</si>
  <si>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</si>
  <si>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</si>
  <si>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</si>
  <si>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</si>
  <si>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</si>
  <si>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</si>
  <si>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</si>
  <si>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</si>
  <si>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</si>
  <si>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</si>
  <si>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</si>
  <si>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</si>
  <si>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</si>
  <si>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</si>
  <si>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</si>
  <si>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</si>
  <si>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</si>
  <si>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</si>
  <si>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</si>
  <si>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</si>
  <si>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</si>
  <si>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</si>
  <si>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</si>
  <si>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</si>
  <si>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</si>
  <si>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</si>
  <si>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</si>
  <si>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</si>
  <si>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</si>
  <si>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</si>
  <si>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</si>
  <si>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</si>
  <si>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</si>
  <si>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</si>
  <si>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</si>
  <si>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</si>
  <si>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</si>
  <si>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</si>
  <si>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</si>
  <si>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</si>
  <si>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</si>
  <si>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</si>
  <si>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</si>
  <si>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</si>
  <si>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</si>
  <si>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</si>
  <si>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</si>
  <si>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</si>
  <si>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</si>
  <si>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</si>
  <si>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</si>
  <si>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</si>
  <si>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</si>
  <si>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</si>
  <si>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</si>
  <si>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</si>
  <si>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</si>
  <si>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</si>
  <si>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</si>
  <si>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</si>
  <si>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</si>
  <si>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</si>
  <si>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</si>
  <si>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</si>
  <si>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</si>
  <si>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</si>
  <si>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</si>
  <si>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</si>
  <si>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</si>
  <si>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</si>
  <si>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</si>
  <si>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</si>
  <si>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</si>
  <si>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</si>
  <si>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</si>
  <si>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</si>
  <si>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</si>
  <si>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</si>
  <si>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</si>
  <si>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</si>
  <si>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</si>
  <si>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</si>
  <si>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</si>
  <si>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</si>
  <si>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</si>
  <si>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</si>
  <si>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</si>
  <si>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</si>
  <si>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</si>
  <si>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</si>
  <si>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</si>
  <si>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</si>
  <si>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</si>
  <si>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</si>
  <si>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</si>
  <si>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</si>
  <si>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</si>
  <si>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</si>
  <si>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</si>
  <si>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</si>
  <si>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</si>
  <si>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</si>
  <si>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</si>
  <si>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</si>
  <si>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</si>
  <si>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</si>
  <si>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</si>
  <si>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</si>
  <si>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</si>
  <si>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</si>
  <si>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</si>
  <si>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</si>
  <si>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</si>
  <si>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</si>
  <si>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</si>
  <si>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</si>
  <si>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</si>
  <si>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</si>
  <si>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</si>
  <si>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</si>
  <si>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</si>
  <si>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</si>
  <si>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</si>
  <si>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</si>
  <si>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</si>
  <si>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</si>
  <si>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</si>
  <si>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</si>
  <si>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</si>
  <si>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</si>
  <si>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</si>
  <si>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</si>
  <si>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</si>
  <si>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</si>
  <si>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</si>
  <si>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</si>
  <si>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</si>
  <si>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</si>
  <si>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</si>
  <si>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</si>
  <si>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</si>
  <si>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</si>
  <si>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</si>
  <si>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</si>
  <si>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</si>
  <si>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</si>
  <si>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</si>
  <si>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</si>
  <si>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</si>
  <si>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</si>
  <si>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</si>
  <si>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</si>
  <si>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</si>
  <si>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</si>
  <si>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</si>
  <si>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</si>
  <si>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</si>
  <si>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</si>
  <si>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</si>
  <si>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</si>
  <si>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</si>
  <si>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</si>
  <si>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</si>
  <si>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</si>
  <si>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</si>
  <si>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</si>
  <si>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</si>
  <si>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</si>
  <si>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</si>
  <si>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</si>
  <si>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</si>
  <si>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</si>
  <si>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</si>
  <si>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</si>
  <si>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</si>
  <si>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</si>
  <si>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</si>
  <si>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</si>
  <si>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</si>
  <si>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</si>
  <si>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</si>
  <si>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</si>
  <si>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</si>
  <si>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</si>
  <si>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</si>
  <si>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</si>
  <si>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</si>
  <si>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</si>
  <si>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</si>
  <si>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</si>
  <si>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</si>
  <si>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</si>
  <si>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</si>
  <si>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</si>
  <si>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</si>
  <si>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</si>
  <si>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</si>
  <si>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</si>
  <si>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</si>
  <si>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</si>
  <si>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</si>
  <si>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</si>
  <si>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</si>
  <si>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</si>
  <si>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</si>
  <si>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</si>
  <si>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</si>
  <si>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陈颖</t>
  </si>
  <si>
    <t>叶凌</t>
  </si>
  <si>
    <t>北京捷宸阳光科技发展有限公司</t>
    <phoneticPr fontId="7" type="noConversion"/>
  </si>
  <si>
    <t>市场价格</t>
  </si>
  <si>
    <t>核定资产</t>
  </si>
  <si>
    <t>通州区马驹桥镇金桥科技产业基地</t>
    <phoneticPr fontId="7" type="noConversion"/>
  </si>
  <si>
    <t>企业</t>
  </si>
  <si>
    <t>工业</t>
    <phoneticPr fontId="7" type="noConversion"/>
  </si>
  <si>
    <t>出让</t>
  </si>
  <si>
    <t>1#电池厂房</t>
    <phoneticPr fontId="4" type="noConversion"/>
  </si>
  <si>
    <t>生产检测车间</t>
    <phoneticPr fontId="4" type="noConversion"/>
  </si>
  <si>
    <t>地上</t>
  </si>
  <si>
    <t>地下</t>
  </si>
  <si>
    <t>标准厂房</t>
  </si>
  <si>
    <t>Ⅷ-通州环保园</t>
  </si>
  <si>
    <t>工业项目</t>
  </si>
  <si>
    <t>通路</t>
  </si>
  <si>
    <t>通电</t>
  </si>
  <si>
    <t>通讯</t>
  </si>
  <si>
    <t>通上水</t>
  </si>
  <si>
    <t>通下水</t>
  </si>
  <si>
    <t>燃气</t>
  </si>
  <si>
    <t>平整</t>
  </si>
  <si>
    <t>无</t>
  </si>
  <si>
    <t>京通国用（2008出）第061号</t>
    <phoneticPr fontId="4" type="noConversion"/>
  </si>
  <si>
    <t>京通国用（2008出）第062号</t>
    <phoneticPr fontId="4" type="noConversion"/>
  </si>
  <si>
    <t>2009规（通）建字0020号</t>
    <phoneticPr fontId="4" type="noConversion"/>
  </si>
  <si>
    <t>2009规（通）建字0019号</t>
    <phoneticPr fontId="4" type="noConversion"/>
  </si>
  <si>
    <t>1#标准厂房</t>
    <phoneticPr fontId="4" type="noConversion"/>
  </si>
  <si>
    <t>1#单身宿舍</t>
    <phoneticPr fontId="4" type="noConversion"/>
  </si>
  <si>
    <t>2#标准厂房</t>
    <phoneticPr fontId="4" type="noConversion"/>
  </si>
  <si>
    <r>
      <t>2#</t>
    </r>
    <r>
      <rPr>
        <sz val="11"/>
        <color indexed="8"/>
        <rFont val="宋体"/>
        <family val="3"/>
        <charset val="134"/>
      </rPr>
      <t>单身宿舍</t>
    </r>
    <phoneticPr fontId="4" type="noConversion"/>
  </si>
  <si>
    <t>门卫1</t>
    <phoneticPr fontId="4" type="noConversion"/>
  </si>
  <si>
    <t>门卫2</t>
    <phoneticPr fontId="4" type="noConversion"/>
  </si>
  <si>
    <t>连廊</t>
    <phoneticPr fontId="4" type="noConversion"/>
  </si>
  <si>
    <t>1#废水处理区操作间</t>
    <phoneticPr fontId="4" type="noConversion"/>
  </si>
  <si>
    <t>特殊厂房</t>
  </si>
  <si>
    <t>标准厂房</t>
    <phoneticPr fontId="8" type="noConversion"/>
  </si>
  <si>
    <t>特殊厂房</t>
    <phoneticPr fontId="8" type="noConversion"/>
  </si>
  <si>
    <t>工业用地</t>
  </si>
  <si>
    <t>六通一平</t>
  </si>
  <si>
    <t>增加</t>
  </si>
  <si>
    <t>容积率修正</t>
  </si>
  <si>
    <t>自定义容积率</t>
  </si>
  <si>
    <t>较好</t>
  </si>
  <si>
    <t>一般</t>
  </si>
  <si>
    <t>估价对象位于北京市通州区马驹桥镇金桥产业基地，园区建设成熟，产业集聚程度较好</t>
    <phoneticPr fontId="4" type="noConversion"/>
  </si>
  <si>
    <t>估价对象紧邻六环高速路、公共交通通达情况较好、综合评价交通便捷度较好</t>
    <phoneticPr fontId="4" type="noConversion"/>
  </si>
  <si>
    <t>估价对象所在区域公共配套设施齐备情况一般；基础设施水平一般；综合评价公用设施及基础设施水平一般</t>
    <phoneticPr fontId="4" type="noConversion"/>
  </si>
  <si>
    <t>该园区内无污染型企业，绿化条件一般，卫生条件一般，整体环境状况一般</t>
    <phoneticPr fontId="4" type="noConversion"/>
  </si>
  <si>
    <t>零星有其他用地，基本不影响本宗地</t>
  </si>
  <si>
    <t>城市高速路——六环路</t>
    <phoneticPr fontId="4" type="noConversion"/>
  </si>
  <si>
    <t>8级</t>
    <phoneticPr fontId="4" type="noConversion"/>
  </si>
  <si>
    <t>多面临街</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</si>
  <si>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</si>
  <si>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</si>
  <si>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</si>
  <si>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</si>
  <si>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</si>
  <si>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</si>
  <si>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</si>
  <si>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</si>
  <si>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</si>
  <si>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</si>
  <si>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</si>
  <si>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</si>
  <si>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</si>
  <si>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</si>
  <si>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</si>
  <si>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</si>
  <si>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</si>
  <si>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</si>
  <si>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</si>
  <si>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</si>
  <si>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</si>
  <si>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</si>
  <si>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</si>
  <si>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</si>
  <si>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</si>
  <si>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</si>
  <si>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</si>
  <si>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</si>
  <si>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</si>
  <si>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</si>
  <si>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</si>
  <si>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</si>
  <si>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</si>
  <si>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</si>
  <si>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</si>
  <si>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</si>
  <si>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</si>
  <si>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</si>
  <si>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</si>
  <si>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</si>
  <si>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</si>
  <si>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</si>
  <si>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</si>
  <si>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通州区</t>
  </si>
  <si>
    <t>通州区驹桥镇</t>
  </si>
  <si>
    <t>挂牌</t>
  </si>
  <si>
    <t>京土整储挂(通)工业[2015]001号</t>
  </si>
  <si>
    <t>W1物流用地</t>
  </si>
  <si>
    <t>开工中</t>
  </si>
  <si>
    <t>2015-09-30</t>
  </si>
  <si>
    <t>2015-10-20</t>
  </si>
  <si>
    <t>2015-11-03</t>
  </si>
  <si>
    <t>已成交</t>
  </si>
  <si>
    <t>北京北建通成国际物流有限公司</t>
  </si>
  <si>
    <t>50年</t>
  </si>
  <si>
    <t>通州物流基地YZ00-0606-0019地块W1物流用地</t>
  </si>
  <si>
    <t>京土整储挂(通)工业[2015]002号</t>
  </si>
  <si>
    <t>大兴区</t>
  </si>
  <si>
    <t>中关村科技园区大兴生物医药产业基地</t>
  </si>
  <si>
    <t>京土整储挂(兴)工业【2015】004号</t>
  </si>
  <si>
    <t>工业厂房用地</t>
  </si>
  <si>
    <t>≤1.4</t>
  </si>
  <si>
    <t>2015-08-04</t>
  </si>
  <si>
    <t>2015-08-24</t>
  </si>
  <si>
    <t>北京京孚徵慈工贸有限公司</t>
  </si>
  <si>
    <r>
      <rPr>
        <sz val="10"/>
        <rFont val="宋体"/>
        <family val="3"/>
        <charset val="134"/>
      </rPr>
      <t>北京经济技术开发区河西区</t>
    </r>
    <r>
      <rPr>
        <sz val="11"/>
        <color theme="1"/>
        <rFont val="宋体"/>
        <family val="3"/>
        <charset val="134"/>
        <scheme val="minor"/>
      </rPr>
      <t>X6-1M3</t>
    </r>
    <r>
      <rPr>
        <sz val="10"/>
        <rFont val="宋体"/>
        <family val="3"/>
        <charset val="134"/>
      </rPr>
      <t>地块</t>
    </r>
    <phoneticPr fontId="4" type="noConversion"/>
  </si>
  <si>
    <t>北京经济技术开发区河西区X6-1M3地块</t>
  </si>
  <si>
    <t>京开国土挂[2017]5号</t>
  </si>
  <si>
    <t>未开工</t>
  </si>
  <si>
    <t>2017-11-27</t>
  </si>
  <si>
    <t>2017-12-18</t>
  </si>
  <si>
    <t>2018-01-03</t>
  </si>
  <si>
    <t>北京佳讯云创科技有限公司</t>
  </si>
  <si>
    <t>顺义新城第14街区SY00-0014-6001M1一类工业用地项目</t>
  </si>
  <si>
    <t>顺义区</t>
  </si>
  <si>
    <t>顺义新城第14街区</t>
  </si>
  <si>
    <t>京土整储挂(顺)工业[2017]004号</t>
  </si>
  <si>
    <t>M1一类工业用地</t>
  </si>
  <si>
    <t>2017-11-20</t>
  </si>
  <si>
    <t>2017-12-11</t>
  </si>
  <si>
    <t>2017-12-25</t>
  </si>
  <si>
    <t>北京星汉特种印刷有限公司</t>
  </si>
  <si>
    <t>大兴新城东南片区DX00-0605-0013地块工业用地</t>
  </si>
  <si>
    <t>大兴区黄村镇</t>
  </si>
  <si>
    <t>京土整储挂(兴)工业[2017]002号</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</si>
  <si>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</si>
  <si>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</si>
  <si>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</si>
  <si>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</si>
  <si>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</si>
  <si>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</si>
  <si>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</si>
  <si>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</si>
  <si>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</si>
  <si>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</si>
  <si>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</si>
  <si>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</si>
  <si>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</si>
  <si>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</si>
  <si>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</si>
  <si>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t>大兴区黄村镇孙村组团</t>
  </si>
  <si>
    <t>京土整储挂(兴)工业[2017]001号</t>
  </si>
  <si>
    <t>工业厂房</t>
  </si>
  <si>
    <t>2017-04-18</t>
  </si>
  <si>
    <t>2017-05-08</t>
  </si>
  <si>
    <t>2017-05-22</t>
  </si>
  <si>
    <t>呷哺呷哺餐饮管理有限公司</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</si>
  <si>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4" type="noConversion"/>
  </si>
  <si>
    <t>顺义区天竺综合保税区(即顺义新城第26街区南部)</t>
  </si>
  <si>
    <t>京土整储挂(顺)工业[2017]002</t>
  </si>
  <si>
    <t>W2普通仓储用地</t>
  </si>
  <si>
    <t>2017-03-21</t>
  </si>
  <si>
    <t>2017-04-10</t>
  </si>
  <si>
    <t>2017-05-04</t>
  </si>
  <si>
    <t>经纬供应链管理(北京)有限公司</t>
  </si>
  <si>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4" type="noConversion"/>
  </si>
  <si>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</si>
  <si>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</si>
  <si>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</si>
  <si>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</si>
  <si>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</si>
  <si>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</si>
  <si>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</si>
  <si>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</si>
  <si>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</si>
  <si>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</si>
  <si>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</si>
  <si>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</si>
  <si>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</si>
  <si>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</si>
  <si>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</si>
  <si>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</si>
  <si>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</si>
  <si>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</si>
  <si>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</si>
  <si>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北京市高端制造业(房山)基地01街区01-03地块部分用地项目</t>
  </si>
  <si>
    <t>房山区</t>
  </si>
  <si>
    <t>房山区窦店镇</t>
  </si>
  <si>
    <t>京土整储挂(房)工业[2017]001号</t>
  </si>
  <si>
    <t>一类工业用地</t>
  </si>
  <si>
    <t>≤1.2</t>
  </si>
  <si>
    <t>北京天仁道和新材料有限公司</t>
  </si>
  <si>
    <t>北京经济技术开发区路东区B11M1地块</t>
  </si>
  <si>
    <t>京开国土挂[2016]7号</t>
  </si>
  <si>
    <t>2016-11-30</t>
  </si>
  <si>
    <t>2016-12-20</t>
  </si>
  <si>
    <t>2017-01-23</t>
  </si>
  <si>
    <t>纳微矽磊国际科技(北京)有限公司</t>
  </si>
  <si>
    <t>北京高端制造业(房山)基地03街区F区工业用地项目</t>
  </si>
  <si>
    <t>北京市房山区窦店镇</t>
  </si>
  <si>
    <t>京土整储挂(房)工业[2016]001号</t>
  </si>
  <si>
    <t>2016-10-24</t>
  </si>
  <si>
    <t>2016-11-14</t>
  </si>
  <si>
    <t>2016-11-24</t>
  </si>
  <si>
    <t>北京中关村前沿技术产业发展有限公司</t>
  </si>
  <si>
    <t>北京石化新材料科技产业基地核心区东区B5-10(2)地块工业用地项目</t>
  </si>
  <si>
    <t>北京市房山区城关街道前朱各庄村</t>
  </si>
  <si>
    <t>京土整储挂(房)工业[2016]002号</t>
  </si>
  <si>
    <t>≤1.0</t>
  </si>
  <si>
    <t>北京环宇京辉京城气体科技有限公司</t>
  </si>
  <si>
    <t>顺义区金马工业区D1-01-1地块</t>
  </si>
  <si>
    <t>顺义区高丽营镇东马各庄村南</t>
  </si>
  <si>
    <t>京土整储挂(顺)工业【2016】001号</t>
  </si>
  <si>
    <t>2016-09-20</t>
  </si>
  <si>
    <t>2016-10-11</t>
  </si>
  <si>
    <t>2016-10-25</t>
  </si>
  <si>
    <t>北京世纪澄通电子有限公司</t>
  </si>
  <si>
    <t>北京经济技术开发区路东区B10M1地块</t>
  </si>
  <si>
    <t>京开国土挂[2016]6号</t>
  </si>
  <si>
    <t>2016-09-13</t>
  </si>
  <si>
    <t>2016-10-10</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</si>
  <si>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</si>
  <si>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</si>
  <si>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</si>
  <si>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</si>
  <si>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</si>
  <si>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</si>
  <si>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</si>
  <si>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</si>
  <si>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</si>
  <si>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</si>
  <si>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</si>
  <si>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</si>
  <si>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</si>
  <si>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</si>
  <si>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</si>
  <si>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</si>
  <si>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</si>
  <si>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</si>
  <si>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</si>
  <si>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</si>
  <si>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</si>
  <si>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平谷区新城北部产业用地F13地块用地项目</t>
  </si>
  <si>
    <t>平谷区</t>
  </si>
  <si>
    <t>市平谷区兴谷经济开发区内</t>
  </si>
  <si>
    <t>京土整储挂(平)工业【2016】001号</t>
  </si>
  <si>
    <t>M2二类工业用地</t>
  </si>
  <si>
    <t>北京兴谷中心企业创新投资管理有限公司</t>
  </si>
  <si>
    <t>北京经济技术开发区河西区X18-1M2地块工业项目</t>
  </si>
  <si>
    <t>北京经济技术开发区河西区X18-1M2地块</t>
  </si>
  <si>
    <t>京开国土挂[2016]1号</t>
  </si>
  <si>
    <t>2016-01-05</t>
  </si>
  <si>
    <t>2016-01-25</t>
  </si>
  <si>
    <t>2016-02-06</t>
  </si>
  <si>
    <t>阿尔特置业(北京)有限公司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</si>
  <si>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</si>
  <si>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</si>
  <si>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</si>
  <si>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</si>
  <si>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</si>
  <si>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</si>
  <si>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</si>
  <si>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</si>
  <si>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2016-01-28</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</si>
  <si>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</si>
  <si>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</si>
  <si>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</si>
  <si>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</si>
  <si>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</si>
  <si>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北京经济技术开发区路南区N13M1地块</t>
  </si>
  <si>
    <t>京开国土挂[2015]5号</t>
  </si>
  <si>
    <t>2015-11-20</t>
  </si>
  <si>
    <t>2015-12-10</t>
  </si>
  <si>
    <t>2015-12-24</t>
  </si>
  <si>
    <t>北京石化新材料科技产业基地核心区东区B2-24-04地块</t>
  </si>
  <si>
    <t>北京石化新材料科技产业基地核心区东区B2街区内</t>
  </si>
  <si>
    <t>京土整储挂(房)工业[2015]003号</t>
  </si>
  <si>
    <t>北京迅邦润泽物流有限公司</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</si>
  <si>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4" type="noConversion"/>
  </si>
  <si>
    <t>工业</t>
    <phoneticPr fontId="29" type="noConversion"/>
  </si>
  <si>
    <t>物流</t>
  </si>
  <si>
    <t>物流</t>
    <phoneticPr fontId="29" type="noConversion"/>
  </si>
  <si>
    <t>正常</t>
  </si>
  <si>
    <t>六通</t>
  </si>
  <si>
    <t>高速路</t>
  </si>
  <si>
    <t>高速路</t>
    <phoneticPr fontId="29" type="noConversion"/>
  </si>
  <si>
    <t>快速路</t>
    <phoneticPr fontId="29" type="noConversion"/>
  </si>
  <si>
    <t>主干道</t>
  </si>
  <si>
    <t>主干道</t>
    <phoneticPr fontId="29" type="noConversion"/>
  </si>
  <si>
    <t>较规则</t>
  </si>
  <si>
    <t>较规则</t>
    <phoneticPr fontId="29" type="noConversion"/>
  </si>
  <si>
    <t>七通</t>
    <phoneticPr fontId="29" type="noConversion"/>
  </si>
  <si>
    <t>六通</t>
    <phoneticPr fontId="29" type="noConversion"/>
  </si>
  <si>
    <t>五通</t>
  </si>
  <si>
    <t>五通</t>
    <phoneticPr fontId="29" type="noConversion"/>
  </si>
  <si>
    <t>平整</t>
    <phoneticPr fontId="29" type="noConversion"/>
  </si>
  <si>
    <t>五通</t>
    <phoneticPr fontId="4" type="noConversion"/>
  </si>
  <si>
    <r>
      <t>8</t>
    </r>
    <r>
      <rPr>
        <sz val="11"/>
        <rFont val="宋体"/>
        <family val="3"/>
        <charset val="134"/>
      </rPr>
      <t>级</t>
    </r>
    <phoneticPr fontId="29" type="noConversion"/>
  </si>
  <si>
    <t>8级</t>
  </si>
  <si>
    <t>通州物流基地YZ00-0606-0015地块W1物流用地</t>
    <phoneticPr fontId="234" type="noConversion"/>
  </si>
  <si>
    <t>单位面积地价</t>
  </si>
  <si>
    <t>大兴区黄村镇孙村组团D-07B1地块</t>
    <phoneticPr fontId="234" type="noConversion"/>
  </si>
  <si>
    <t>合计（万元）</t>
    <phoneticPr fontId="234" type="noConversion"/>
  </si>
  <si>
    <t>合计</t>
    <phoneticPr fontId="234" type="noConversion"/>
  </si>
  <si>
    <t>用于生产经营的非住宅房屋的月租金</t>
    <phoneticPr fontId="234" type="noConversion"/>
  </si>
  <si>
    <t>日租金（元/平方米）</t>
    <phoneticPr fontId="234" type="noConversion"/>
  </si>
  <si>
    <t>天数（天）</t>
    <phoneticPr fontId="234" type="noConversion"/>
  </si>
  <si>
    <t>面积（平方米）</t>
    <phoneticPr fontId="234" type="noConversion"/>
  </si>
  <si>
    <t>月净利润</t>
    <phoneticPr fontId="234" type="noConversion"/>
  </si>
  <si>
    <t>年度</t>
    <phoneticPr fontId="234" type="noConversion"/>
  </si>
  <si>
    <t>1-5月</t>
    <phoneticPr fontId="234" type="noConversion"/>
  </si>
  <si>
    <t>月度</t>
    <phoneticPr fontId="234" type="noConversion"/>
  </si>
  <si>
    <r>
      <t>2</t>
    </r>
    <r>
      <rPr>
        <sz val="11"/>
        <color theme="1"/>
        <rFont val="宋体"/>
        <family val="3"/>
        <charset val="134"/>
        <scheme val="minor"/>
      </rPr>
      <t>017年净利润</t>
    </r>
    <phoneticPr fontId="234" type="noConversion"/>
  </si>
  <si>
    <t>——</t>
    <phoneticPr fontId="234" type="noConversion"/>
  </si>
  <si>
    <t>2018年1-5月净利润</t>
    <phoneticPr fontId="234" type="noConversion"/>
  </si>
  <si>
    <r>
      <t>前12个月</t>
    </r>
    <r>
      <rPr>
        <sz val="11"/>
        <color theme="1"/>
        <rFont val="宋体"/>
        <family val="3"/>
        <charset val="134"/>
        <scheme val="minor"/>
      </rPr>
      <t>平均净利润</t>
    </r>
    <phoneticPr fontId="234" type="noConversion"/>
  </si>
  <si>
    <t>修正系数</t>
    <phoneticPr fontId="234" type="noConversion"/>
  </si>
  <si>
    <t>员工月生活补助</t>
    <phoneticPr fontId="234" type="noConversion"/>
  </si>
  <si>
    <t>人数</t>
    <phoneticPr fontId="234" type="noConversion"/>
  </si>
  <si>
    <t>补偿金额(元/月）</t>
    <phoneticPr fontId="234" type="noConversion"/>
  </si>
  <si>
    <t>停产停业补偿期限</t>
    <phoneticPr fontId="234" type="noConversion"/>
  </si>
  <si>
    <t>期限（月）</t>
    <phoneticPr fontId="234" type="noConversion"/>
  </si>
  <si>
    <t>被征收房屋容积率小于0.5的修正</t>
    <phoneticPr fontId="234" type="noConversion"/>
  </si>
  <si>
    <t>停产停业损失补偿费=（用于生产经营的非住宅房屋的月租金+月净利润×修正系数+员工月生活补助）×停产停业补偿期限</t>
    <phoneticPr fontId="234" type="noConversion"/>
  </si>
  <si>
    <t>搬迁费</t>
    <phoneticPr fontId="234" type="noConversion"/>
  </si>
  <si>
    <t>建筑面积</t>
    <phoneticPr fontId="234" type="noConversion"/>
  </si>
  <si>
    <t>补偿标准（元/平方米）</t>
    <phoneticPr fontId="234" type="noConversion"/>
  </si>
  <si>
    <t>合计（万元）</t>
    <phoneticPr fontId="234" type="noConversion"/>
  </si>
  <si>
    <t>比较法-工业</t>
  </si>
  <si>
    <r>
      <rPr>
        <sz val="9"/>
        <color theme="1"/>
        <rFont val="宋体"/>
        <family val="3"/>
        <charset val="134"/>
      </rPr>
      <t>用途</t>
    </r>
  </si>
  <si>
    <r>
      <rPr>
        <sz val="9"/>
        <color theme="1"/>
        <rFont val="宋体"/>
        <family val="3"/>
        <charset val="134"/>
      </rPr>
      <t>幢号</t>
    </r>
  </si>
  <si>
    <r>
      <rPr>
        <sz val="9"/>
        <color theme="1"/>
        <rFont val="宋体"/>
        <family val="3"/>
        <charset val="134"/>
      </rPr>
      <t>结构</t>
    </r>
  </si>
  <si>
    <r>
      <rPr>
        <sz val="9"/>
        <color theme="1"/>
        <rFont val="宋体"/>
        <family val="3"/>
        <charset val="134"/>
      </rPr>
      <t>所在层次</t>
    </r>
    <phoneticPr fontId="234" type="noConversion"/>
  </si>
  <si>
    <r>
      <rPr>
        <sz val="9"/>
        <color theme="1"/>
        <rFont val="宋体"/>
        <family val="3"/>
        <charset val="134"/>
      </rPr>
      <t>建筑面积（㎡）</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</si>
  <si>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</si>
  <si>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</si>
  <si>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</si>
  <si>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</si>
  <si>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</si>
  <si>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</si>
  <si>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</si>
  <si>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</si>
  <si>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t>单方重置现价（元）</t>
    <phoneticPr fontId="234" type="noConversion"/>
  </si>
  <si>
    <r>
      <rPr>
        <sz val="9"/>
        <color theme="1"/>
        <rFont val="宋体"/>
        <family val="3"/>
        <charset val="134"/>
      </rPr>
      <t>重置现价评估总值（万元）</t>
    </r>
  </si>
  <si>
    <t>投资利润</t>
    <phoneticPr fontId="234" type="noConversion"/>
  </si>
  <si>
    <t>合计</t>
    <phoneticPr fontId="234" type="noConversion"/>
  </si>
  <si>
    <t>钢混</t>
    <phoneticPr fontId="234" type="noConversion"/>
  </si>
  <si>
    <t>2</t>
    <phoneticPr fontId="234" type="noConversion"/>
  </si>
  <si>
    <t>8</t>
    <phoneticPr fontId="234" type="noConversion"/>
  </si>
  <si>
    <t>4</t>
    <phoneticPr fontId="234" type="noConversion"/>
  </si>
  <si>
    <t>6</t>
    <phoneticPr fontId="234" type="noConversion"/>
  </si>
  <si>
    <t>6</t>
    <phoneticPr fontId="234" type="noConversion"/>
  </si>
  <si>
    <t>1</t>
    <phoneticPr fontId="234" type="noConversion"/>
  </si>
  <si>
    <t>1</t>
    <phoneticPr fontId="234" type="noConversion"/>
  </si>
  <si>
    <t>砖混</t>
    <phoneticPr fontId="234" type="noConversion"/>
  </si>
  <si>
    <r>
      <rPr>
        <sz val="9"/>
        <color theme="1"/>
        <rFont val="宋体"/>
        <family val="3"/>
        <charset val="134"/>
      </rPr>
      <t>工程进度（</t>
    </r>
    <r>
      <rPr>
        <sz val="9"/>
        <color theme="1"/>
        <rFont val="Arial"/>
        <family val="2"/>
      </rPr>
      <t>%</t>
    </r>
    <r>
      <rPr>
        <sz val="9"/>
        <color theme="1"/>
        <rFont val="宋体"/>
        <family val="3"/>
        <charset val="134"/>
      </rPr>
      <t>）</t>
    </r>
    <phoneticPr fontId="234" type="noConversion"/>
  </si>
  <si>
    <t>框架</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</si>
</sst>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2"/>
      <color indexed="12"/>
      <name val="宋体"/>
      <family val="3"/>
      <charset val="134"/>
    </font>
    <font>
      <sz val="9"/>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1" fillId="0" borderId="0">
      <alignment vertical="center"/>
    </xf>
    <xf numFmtId="0" fontId="1" fillId="0" borderId="0">
      <alignment vertical="center"/>
    </xf>
    <xf numFmtId="0" fontId="1" fillId="0" borderId="0">
      <alignment vertical="center"/>
    </xf>
    <xf numFmtId="0" fontId="278" fillId="0" borderId="0" applyNumberFormat="0" applyFill="0" applyBorder="0" applyAlignment="0" applyProtection="0">
      <alignment vertical="top"/>
      <protection locked="0"/>
    </xf>
  </cellStyleXfs>
  <cellXfs count="354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72" fillId="6" borderId="12"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60" fillId="0" borderId="51" xfId="0" applyNumberFormat="1" applyFont="1" applyFill="1" applyBorder="1" applyAlignment="1" applyProtection="1">
      <alignment horizontal="center" vertical="center" wrapText="1"/>
      <protection locked="0"/>
    </xf>
    <xf numFmtId="0" fontId="160" fillId="0" borderId="12" xfId="0" applyFont="1" applyBorder="1" applyAlignment="1" applyProtection="1">
      <alignment horizontal="center" vertical="center" wrapText="1"/>
      <protection locked="0"/>
    </xf>
    <xf numFmtId="0" fontId="160" fillId="0" borderId="46"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0" fontId="18" fillId="0" borderId="46"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0" fillId="0" borderId="0" xfId="0" applyAlignment="1">
      <alignment horizontal="center" vertical="center"/>
    </xf>
    <xf numFmtId="0" fontId="0" fillId="17" borderId="2" xfId="0" applyFill="1" applyBorder="1" applyAlignment="1"/>
    <xf numFmtId="0" fontId="0" fillId="17" borderId="0" xfId="0" applyFill="1" applyAlignment="1"/>
    <xf numFmtId="0" fontId="87" fillId="0" borderId="2" xfId="0" applyFont="1" applyBorder="1" applyAlignment="1"/>
    <xf numFmtId="0" fontId="0" fillId="0" borderId="2" xfId="0" applyBorder="1" applyAlignment="1"/>
    <xf numFmtId="0" fontId="87" fillId="8" borderId="2" xfId="0" applyFont="1" applyFill="1" applyBorder="1" applyAlignment="1"/>
    <xf numFmtId="0" fontId="0" fillId="8" borderId="2" xfId="0" applyFill="1" applyBorder="1" applyAlignment="1"/>
    <xf numFmtId="0" fontId="0" fillId="8" borderId="0" xfId="0" applyFill="1" applyAlignment="1"/>
    <xf numFmtId="0" fontId="145" fillId="0" borderId="6"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46" fillId="17" borderId="2" xfId="0" applyFont="1" applyFill="1" applyBorder="1" applyAlignment="1"/>
    <xf numFmtId="0" fontId="146" fillId="0" borderId="2" xfId="0" applyFont="1" applyBorder="1">
      <alignment vertical="center"/>
    </xf>
    <xf numFmtId="0" fontId="146" fillId="0" borderId="2" xfId="0" applyFont="1" applyBorder="1" applyAlignment="1">
      <alignment horizontal="center" vertical="center"/>
    </xf>
    <xf numFmtId="2" fontId="146"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146" fillId="0" borderId="0" xfId="0" applyFont="1">
      <alignment vertical="center"/>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7" fillId="18" borderId="2" xfId="0" applyFont="1" applyFill="1" applyBorder="1" applyAlignment="1">
      <alignment horizontal="center" vertical="center"/>
    </xf>
    <xf numFmtId="0" fontId="0" fillId="8" borderId="2" xfId="0" applyFill="1" applyBorder="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146" fillId="0" borderId="2" xfId="0" applyFont="1" applyFill="1" applyBorder="1" applyAlignment="1">
      <alignment horizontal="center" vertical="center"/>
    </xf>
    <xf numFmtId="2" fontId="0" fillId="0" borderId="2" xfId="0" applyNumberFormat="1" applyBorder="1" applyAlignment="1">
      <alignment horizontal="center" vertical="center"/>
    </xf>
    <xf numFmtId="0" fontId="146" fillId="0" borderId="5" xfId="0" applyFont="1" applyBorder="1" applyAlignment="1">
      <alignment horizontal="center" vertical="center"/>
    </xf>
    <xf numFmtId="0" fontId="146" fillId="0" borderId="9" xfId="0" applyFont="1" applyBorder="1" applyAlignment="1">
      <alignment horizontal="center" vertical="center"/>
    </xf>
    <xf numFmtId="0" fontId="174" fillId="19" borderId="35" xfId="1" applyFont="1" applyFill="1" applyBorder="1" applyAlignment="1">
      <alignment horizontal="center" vertical="center" wrapText="1"/>
    </xf>
    <xf numFmtId="49" fontId="174" fillId="19" borderId="35" xfId="1" applyNumberFormat="1" applyFont="1" applyFill="1" applyBorder="1" applyAlignment="1">
      <alignment horizontal="center" vertical="center" wrapText="1"/>
    </xf>
    <xf numFmtId="0" fontId="279" fillId="19" borderId="35" xfId="1" applyFont="1" applyFill="1" applyBorder="1" applyAlignment="1">
      <alignment horizontal="center" vertical="center" wrapText="1"/>
    </xf>
    <xf numFmtId="0" fontId="150" fillId="0" borderId="0" xfId="1" applyFont="1" applyAlignment="1">
      <alignment horizontal="center" vertical="center"/>
    </xf>
    <xf numFmtId="0" fontId="174" fillId="19" borderId="153" xfId="1" applyFont="1" applyFill="1" applyBorder="1" applyAlignment="1">
      <alignment horizontal="center" vertical="center" wrapText="1"/>
    </xf>
    <xf numFmtId="49" fontId="174" fillId="19" borderId="153" xfId="1" applyNumberFormat="1" applyFont="1" applyFill="1" applyBorder="1" applyAlignment="1">
      <alignment horizontal="center" vertical="center" wrapText="1"/>
    </xf>
    <xf numFmtId="0" fontId="146" fillId="0" borderId="0" xfId="1" applyFont="1">
      <alignment vertical="center"/>
    </xf>
    <xf numFmtId="0" fontId="168" fillId="0" borderId="50" xfId="1" applyFont="1" applyBorder="1" applyAlignment="1">
      <alignment horizontal="center" vertical="center"/>
    </xf>
    <xf numFmtId="0" fontId="150" fillId="0" borderId="21" xfId="1" applyFont="1" applyBorder="1" applyAlignment="1">
      <alignment horizontal="center" vertical="center"/>
    </xf>
    <xf numFmtId="49" fontId="150" fillId="0" borderId="21" xfId="1" applyNumberFormat="1" applyFont="1" applyBorder="1" applyAlignment="1">
      <alignment horizontal="center" vertical="center"/>
    </xf>
    <xf numFmtId="2" fontId="150" fillId="0" borderId="21" xfId="1" applyNumberFormat="1" applyFont="1" applyBorder="1" applyAlignment="1">
      <alignment horizontal="center" vertical="center"/>
    </xf>
    <xf numFmtId="1" fontId="150" fillId="0" borderId="21" xfId="1" applyNumberFormat="1" applyFont="1" applyBorder="1" applyAlignment="1">
      <alignment horizontal="center" vertical="center"/>
    </xf>
    <xf numFmtId="9" fontId="150" fillId="0" borderId="21" xfId="1" applyNumberFormat="1" applyFont="1" applyBorder="1" applyAlignment="1">
      <alignment horizontal="center" vertical="center"/>
    </xf>
    <xf numFmtId="2" fontId="150" fillId="0" borderId="51" xfId="1" applyNumberFormat="1" applyFont="1" applyBorder="1" applyAlignment="1">
      <alignment horizontal="center" vertical="center"/>
    </xf>
    <xf numFmtId="0" fontId="146" fillId="0" borderId="0" xfId="1">
      <alignment vertical="center"/>
    </xf>
    <xf numFmtId="0" fontId="168" fillId="20" borderId="11" xfId="1" applyFont="1" applyFill="1" applyBorder="1" applyAlignment="1">
      <alignment horizontal="center" vertical="center"/>
    </xf>
    <xf numFmtId="0" fontId="150" fillId="20" borderId="2" xfId="1" applyFont="1" applyFill="1" applyBorder="1" applyAlignment="1">
      <alignment horizontal="center" vertical="center"/>
    </xf>
    <xf numFmtId="49" fontId="150" fillId="20" borderId="2" xfId="1" applyNumberFormat="1" applyFont="1" applyFill="1" applyBorder="1" applyAlignment="1">
      <alignment horizontal="center" vertical="center"/>
    </xf>
    <xf numFmtId="2" fontId="150" fillId="20" borderId="2" xfId="1" applyNumberFormat="1" applyFont="1" applyFill="1" applyBorder="1" applyAlignment="1">
      <alignment horizontal="center" vertical="center"/>
    </xf>
    <xf numFmtId="9" fontId="150" fillId="20" borderId="2" xfId="1" applyNumberFormat="1" applyFont="1" applyFill="1" applyBorder="1" applyAlignment="1">
      <alignment horizontal="center" vertical="center"/>
    </xf>
    <xf numFmtId="0" fontId="168" fillId="0" borderId="11" xfId="1" applyFont="1" applyBorder="1" applyAlignment="1">
      <alignment horizontal="center" vertical="center"/>
    </xf>
    <xf numFmtId="0" fontId="150" fillId="0" borderId="2" xfId="1" applyFont="1" applyBorder="1" applyAlignment="1">
      <alignment horizontal="center" vertical="center"/>
    </xf>
    <xf numFmtId="49" fontId="150" fillId="0" borderId="2" xfId="1" applyNumberFormat="1" applyFont="1" applyBorder="1" applyAlignment="1">
      <alignment horizontal="center" vertical="center"/>
    </xf>
    <xf numFmtId="2" fontId="150" fillId="0" borderId="2" xfId="1" applyNumberFormat="1" applyFont="1" applyBorder="1" applyAlignment="1">
      <alignment horizontal="center" vertical="center"/>
    </xf>
    <xf numFmtId="9" fontId="150" fillId="0" borderId="2" xfId="1" applyNumberFormat="1" applyFont="1" applyBorder="1" applyAlignment="1">
      <alignment horizontal="center" vertical="center"/>
    </xf>
    <xf numFmtId="2" fontId="150" fillId="0" borderId="12" xfId="1" applyNumberFormat="1" applyFont="1" applyBorder="1" applyAlignment="1">
      <alignment horizontal="center" vertical="center"/>
    </xf>
    <xf numFmtId="0" fontId="150" fillId="0" borderId="11" xfId="1" applyFont="1" applyBorder="1" applyAlignment="1">
      <alignment horizontal="center" vertical="center"/>
    </xf>
    <xf numFmtId="0" fontId="168" fillId="19" borderId="154" xfId="1" applyFont="1" applyFill="1" applyBorder="1" applyAlignment="1">
      <alignment horizontal="center" vertical="center"/>
    </xf>
    <xf numFmtId="0" fontId="150" fillId="19" borderId="155" xfId="1" applyFont="1" applyFill="1" applyBorder="1" applyAlignment="1">
      <alignment horizontal="center" vertical="center"/>
    </xf>
    <xf numFmtId="49" fontId="150" fillId="19" borderId="155" xfId="1" applyNumberFormat="1" applyFont="1" applyFill="1" applyBorder="1" applyAlignment="1">
      <alignment horizontal="center" vertical="center"/>
    </xf>
    <xf numFmtId="2" fontId="150" fillId="19" borderId="155" xfId="1" applyNumberFormat="1" applyFont="1" applyFill="1" applyBorder="1" applyAlignment="1">
      <alignment horizontal="center" vertical="center"/>
    </xf>
    <xf numFmtId="2" fontId="150" fillId="19" borderId="156" xfId="1" applyNumberFormat="1" applyFont="1" applyFill="1" applyBorder="1" applyAlignment="1">
      <alignment horizontal="center" vertical="center"/>
    </xf>
    <xf numFmtId="0" fontId="168" fillId="20" borderId="2" xfId="1" applyFont="1" applyFill="1" applyBorder="1" applyAlignment="1">
      <alignment horizontal="center" vertical="center"/>
    </xf>
    <xf numFmtId="0" fontId="168" fillId="0" borderId="2" xfId="1" applyFont="1" applyBorder="1" applyAlignment="1">
      <alignment horizontal="center" vertical="center"/>
    </xf>
    <xf numFmtId="49" fontId="150" fillId="0" borderId="0" xfId="1" applyNumberFormat="1" applyFont="1" applyAlignment="1">
      <alignment horizontal="center" vertical="center"/>
    </xf>
    <xf numFmtId="180" fontId="150" fillId="8" borderId="0" xfId="1" applyNumberFormat="1" applyFont="1" applyFill="1" applyAlignment="1">
      <alignment horizontal="center" vertical="center"/>
    </xf>
    <xf numFmtId="0" fontId="168" fillId="0" borderId="21" xfId="1" applyFont="1" applyBorder="1" applyAlignment="1">
      <alignment horizontal="center" vertical="center"/>
    </xf>
    <xf numFmtId="49" fontId="168" fillId="0" borderId="2" xfId="1" applyNumberFormat="1" applyFont="1" applyBorder="1" applyAlignment="1">
      <alignment horizontal="center" vertical="center"/>
    </xf>
    <xf numFmtId="49" fontId="168" fillId="20" borderId="2" xfId="1" applyNumberFormat="1" applyFont="1" applyFill="1" applyBorder="1" applyAlignment="1">
      <alignment horizontal="center" vertical="center"/>
    </xf>
    <xf numFmtId="1" fontId="150" fillId="20" borderId="2" xfId="1" applyNumberFormat="1" applyFont="1" applyFill="1" applyBorder="1" applyAlignment="1">
      <alignment horizontal="center" vertical="center"/>
    </xf>
    <xf numFmtId="1" fontId="150" fillId="0" borderId="2" xfId="1" applyNumberFormat="1" applyFont="1" applyBorder="1" applyAlignment="1">
      <alignment horizontal="center" vertical="center"/>
    </xf>
  </cellXfs>
  <cellStyles count="19">
    <cellStyle name="百分比 2" xfId="11"/>
    <cellStyle name="常规" xfId="0" builtinId="0"/>
    <cellStyle name="常规 10" xfId="15"/>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7"/>
    <cellStyle name="常规 9" xfId="14"/>
    <cellStyle name="超链接 2" xfId="1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5</xdr:col>
      <xdr:colOff>523175</xdr:colOff>
      <xdr:row>55</xdr:row>
      <xdr:rowOff>28100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95950"/>
          <a:ext cx="5600000" cy="3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1SGCB/&#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1SGCB/1&#27979;&#31639;&#65288;7-6&#25972;&#2030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3SGCB%20&#25972;&#20307;&#35843;&#25972;&#20215;&#20540;/&#25991;&#20214;/&#12304;&#27979;&#31639;&#12305;2016-1-E-3-123%20&#21271;&#20140;&#24066;&#24310;&#24198;&#21439;&#24247;&#24196;&#38215;&#35199;&#26705;&#22253;&#26449;&#21335;&#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3SGCB%20&#25972;&#20307;&#35843;&#25972;&#20215;&#20540;/&#27979;&#31639;&#65288;8-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sheetData sheetId="8"/>
      <sheetData sheetId="9"/>
      <sheetData sheetId="10">
        <row r="3">
          <cell r="B3">
            <v>60473.499999999985</v>
          </cell>
        </row>
      </sheetData>
      <sheetData sheetId="11"/>
      <sheetData sheetId="12">
        <row r="27">
          <cell r="E27">
            <v>60473.5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efreshError="1"/>
      <sheetData sheetId="21" refreshError="1"/>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38" refreshError="1"/>
      <sheetData sheetId="39" refreshError="1"/>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sqref="A26:C2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北京市通州区马驹桥镇金桥科技产业基地出让国有建设用地使用权市场价格预评估</v>
      </c>
      <c r="AX2" s="2898"/>
      <c r="AZ2" s="2898"/>
      <c r="BA2" s="2899"/>
      <c r="BC2" s="2899"/>
    </row>
    <row r="3" spans="1:55" s="2900" customFormat="1">
      <c r="A3" s="2879" t="s">
        <v>2664</v>
      </c>
      <c r="B3" s="2882" t="str">
        <f>'预评函-封皮'!B40</f>
        <v>北京捷宸阳光科技发展有限公司</v>
      </c>
    </row>
    <row r="4" spans="1:55" s="2881" customFormat="1">
      <c r="A4" s="2879" t="s">
        <v>2665</v>
      </c>
      <c r="B4" s="2880" t="str">
        <f>'预评函-封皮'!B46</f>
        <v>陈颖、叶凌</v>
      </c>
      <c r="N4" s="2881" t="str">
        <f>'预评函-1'!A28</f>
        <v>——</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受贵公司委托，我公司对北京市通州区马驹桥镇金桥科技产业基地出让国有建设用地使用权市场价格进行了预评估。</v>
      </c>
      <c r="AM6" s="2904"/>
    </row>
    <row r="7" spans="1:55" s="2878" customFormat="1">
      <c r="A7" s="2879" t="s">
        <v>2660</v>
      </c>
      <c r="B7" s="2880" t="str">
        <f>'预评函-1'!A6</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2018年7月9日</v>
      </c>
    </row>
    <row r="11" spans="1:55" s="2878" customFormat="1">
      <c r="A11" s="2879" t="s">
        <v>2668</v>
      </c>
      <c r="B11" s="2880" t="str">
        <f>'预评函-1'!A14</f>
        <v>根据《国有土地使用证》[]，本次评估估价对象证载（地类）用途为工业。</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根据委托估价方介绍及评估专业人员现场勘查，本次评估估价对象实际土地开发程度为红线外市政基础设施达“六通”（即通路、通电、通讯、通上水、通下水、燃气）、宗地红线内场地平整。</v>
      </c>
    </row>
    <row r="14" spans="1:55" s="2878" customFormat="1">
      <c r="A14" s="2879" t="s">
        <v>2671</v>
      </c>
      <c r="B14" s="2880" t="str">
        <f>'预评函-1'!A18</f>
        <v>。本次评估设定土地开发程度为红线外市政基础设施达“六通”、宗地红线内场地平整。</v>
      </c>
    </row>
    <row r="15" spans="1:55" s="2878" customFormat="1">
      <c r="A15" s="2879" t="s">
        <v>2667</v>
      </c>
      <c r="B15" s="2880" t="str">
        <f>'预评函-1'!A20</f>
        <v>根据《国有土地使用证》[]，估价对象（分摊）出让国有建设用地使用权面积为86802.49平方米。根据《建设工程规划许可证》[]、《出让合同》[]，估价对象规划建筑面积为80808平方米。</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8月29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19" spans="1:48" s="2878" customFormat="1">
      <c r="A19" s="2879" t="s">
        <v>2675</v>
      </c>
      <c r="B19" s="2880" t="str">
        <f>'预评函-1'!A26</f>
        <v>——</v>
      </c>
    </row>
    <row r="20" spans="1:48" s="2878" customFormat="1">
      <c r="A20" s="2879" t="s">
        <v>2676</v>
      </c>
      <c r="B20" s="2880" t="str">
        <f>'预评函-1'!A27</f>
        <v>——</v>
      </c>
    </row>
    <row r="21" spans="1:48" s="2894" customFormat="1" ht="15" thickBot="1">
      <c r="A21" s="2901" t="s">
        <v>2677</v>
      </c>
      <c r="B21" s="2902" t="str">
        <f>'预评函-1'!A28</f>
        <v>——</v>
      </c>
    </row>
    <row r="22" spans="1:48" ht="15" thickTop="1">
      <c r="A22" s="2890" t="s">
        <v>2678</v>
      </c>
      <c r="B22" s="2891"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估价期日：2018年7月9日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t="str">
        <f>'预评函-2'!E5</f>
        <v>工业</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红线外六通、宗地红线内</v>
      </c>
    </row>
    <row r="39" spans="1:2">
      <c r="A39" s="2879" t="s">
        <v>2722</v>
      </c>
      <c r="B39" s="2880" t="str">
        <f>'预评函-2'!L5</f>
        <v>红线外六通、宗地红线内场地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86802.49</v>
      </c>
    </row>
    <row r="44" spans="1:2">
      <c r="A44" s="2879" t="s">
        <v>2743</v>
      </c>
      <c r="B44" s="2880" t="str">
        <f>'预评函-2'!O3</f>
        <v>规划建筑面积/㎡</v>
      </c>
    </row>
    <row r="45" spans="1:2">
      <c r="A45" s="2879" t="s">
        <v>2725</v>
      </c>
      <c r="B45" s="2880">
        <f>'预评函-2'!O5</f>
        <v>80808</v>
      </c>
    </row>
    <row r="46" spans="1:2">
      <c r="A46" s="2879" t="s">
        <v>2726</v>
      </c>
      <c r="B46" s="2880">
        <f ca="1">'预评函-2'!P5</f>
        <v>1367</v>
      </c>
    </row>
    <row r="47" spans="1:2">
      <c r="A47" s="2879" t="s">
        <v>2727</v>
      </c>
      <c r="B47" s="2880">
        <f ca="1">'预评函-2'!Q5</f>
        <v>1469</v>
      </c>
    </row>
    <row r="48" spans="1:2">
      <c r="A48" s="2879" t="s">
        <v>2728</v>
      </c>
      <c r="B48" s="2880">
        <f ca="1">'预评函-2'!R5</f>
        <v>11870</v>
      </c>
    </row>
    <row r="49" spans="1:2">
      <c r="A49" s="2879" t="s">
        <v>2744</v>
      </c>
      <c r="B49" s="2880" t="str">
        <f>'预评函-2'!A6</f>
        <v>——</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2.基础设施条件：估价对象实际开发程度为红线外六通、宗地红线内；本次评估设定开发程度为红线外六通、宗地红线内场地。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陈颖</v>
      </c>
    </row>
    <row r="70" spans="1:2">
      <c r="A70" s="2879" t="s">
        <v>2693</v>
      </c>
      <c r="B70" s="2886">
        <f ca="1">'预评函-3'!B20</f>
        <v>2004110096</v>
      </c>
    </row>
    <row r="71" spans="1:2">
      <c r="A71" s="2879" t="s">
        <v>2694</v>
      </c>
      <c r="B71" s="2880" t="str">
        <f>'预评函-3'!A21</f>
        <v>叶凌</v>
      </c>
    </row>
    <row r="72" spans="1:2" s="2894" customFormat="1" ht="15" thickBot="1">
      <c r="A72" s="2901" t="s">
        <v>2694</v>
      </c>
      <c r="B72" s="2907">
        <f ca="1">'预评函-3'!B21</f>
        <v>94010078</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0" sqref="C3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3" t="str">
        <f>IF(B10="北京市","北京市",C10)&amp;F10&amp;B16&amp;"国有建设用地使用权"&amp;B9&amp;"预评估"</f>
        <v>北京市通州区马驹桥镇金桥科技产业基地出让国有建设用地使用权市场价格预评估</v>
      </c>
      <c r="C1" s="3234"/>
      <c r="D1" s="3234"/>
      <c r="E1" s="3234"/>
      <c r="F1" s="3234"/>
      <c r="G1" s="3234"/>
      <c r="H1" s="3234"/>
      <c r="I1" s="3235"/>
      <c r="J1" s="1694"/>
      <c r="K1" s="2456" t="str">
        <f>IF(B10="北京市","北京市",C10)&amp;F10&amp;B16&amp;"国有建设用地使用权"&amp;B9</f>
        <v>北京市通州区马驹桥镇金桥科技产业基地出让国有建设用地使用权市场价格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北京市通州区马驹桥镇金桥科技产业基地出让国有建设用地使用权</v>
      </c>
      <c r="L2" s="1723"/>
      <c r="M2" s="1723"/>
      <c r="N2" s="1694"/>
      <c r="O2" s="1695"/>
      <c r="P2" s="1694"/>
      <c r="Q2" s="1694"/>
      <c r="R2" s="1694"/>
      <c r="S2" s="1694"/>
      <c r="T2" s="1694"/>
      <c r="U2" s="1694"/>
    </row>
    <row r="3" spans="1:21">
      <c r="A3" s="1661" t="s">
        <v>1942</v>
      </c>
      <c r="B3" s="1662"/>
      <c r="C3" s="1663" t="s">
        <v>1998</v>
      </c>
      <c r="D3" s="1662">
        <v>43290</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2984</v>
      </c>
      <c r="C4" s="1846">
        <f ca="1">SUMIF(土地估价师,B4,估价师及机构信息!E3:E24)</f>
        <v>2004110096</v>
      </c>
      <c r="D4" s="1843" t="s">
        <v>2985</v>
      </c>
      <c r="E4" s="1846">
        <f ca="1">SUMIF(土地估价师,D4,估价师及机构信息!E3:E24)</f>
        <v>94010078</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1944</v>
      </c>
      <c r="B5" s="1789" t="s">
        <v>2986</v>
      </c>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2988</v>
      </c>
      <c r="C8" s="1671"/>
      <c r="D8" s="3239"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2987</v>
      </c>
      <c r="C9" s="1675"/>
      <c r="D9" s="3240"/>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t="s">
        <v>2989</v>
      </c>
      <c r="G10" s="1745"/>
      <c r="H10" s="1746"/>
      <c r="I10" s="1667"/>
      <c r="J10" s="1694"/>
      <c r="K10" s="1774"/>
      <c r="L10" s="1723"/>
      <c r="M10" s="1723"/>
      <c r="N10" s="1694"/>
      <c r="O10" s="1695"/>
      <c r="P10" s="1694"/>
      <c r="Q10" s="1694"/>
      <c r="R10" s="1694"/>
      <c r="S10" s="1694"/>
      <c r="T10" s="1694"/>
      <c r="U10" s="1694"/>
    </row>
    <row r="11" spans="1:21">
      <c r="A11" s="1697" t="s">
        <v>2003</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6" t="s">
        <v>2991</v>
      </c>
      <c r="C12" s="3237"/>
      <c r="D12" s="3238"/>
      <c r="E12" s="1699" t="s">
        <v>2064</v>
      </c>
      <c r="F12" s="3254" t="s">
        <v>2891</v>
      </c>
      <c r="G12" s="3255"/>
      <c r="H12" s="3255"/>
      <c r="I12" s="3256"/>
      <c r="J12" s="1694"/>
      <c r="K12" s="1774"/>
      <c r="L12" s="1723"/>
      <c r="M12" s="1723"/>
      <c r="N12" s="1694"/>
      <c r="O12" s="1695"/>
      <c r="P12" s="1694"/>
      <c r="Q12" s="1694"/>
      <c r="R12" s="1694"/>
      <c r="S12" s="1694"/>
      <c r="T12" s="1694"/>
      <c r="U12" s="1694"/>
    </row>
    <row r="13" spans="1:21">
      <c r="A13" s="1687" t="s">
        <v>2062</v>
      </c>
      <c r="B13" s="3236"/>
      <c r="C13" s="3237"/>
      <c r="D13" s="3238"/>
      <c r="E13" s="1699" t="s">
        <v>2064</v>
      </c>
      <c r="F13" s="3254" t="s">
        <v>2892</v>
      </c>
      <c r="G13" s="3255"/>
      <c r="H13" s="3255"/>
      <c r="I13" s="3256"/>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2992</v>
      </c>
      <c r="C16" s="1699" t="s">
        <v>1951</v>
      </c>
      <c r="D16" s="2647" t="s">
        <v>1952</v>
      </c>
      <c r="E16" s="1722"/>
      <c r="F16" s="1722"/>
      <c r="G16" s="1722"/>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工业2058年8月29日</v>
      </c>
    </row>
    <row r="17" spans="1:21">
      <c r="A17" s="1763"/>
      <c r="B17" s="1682"/>
      <c r="C17" s="1683" t="s">
        <v>1958</v>
      </c>
      <c r="D17" s="1700"/>
      <c r="E17" s="1700"/>
      <c r="F17" s="1700"/>
      <c r="G17" s="1700"/>
      <c r="H17" s="1700"/>
      <c r="I17" s="1700">
        <v>57951</v>
      </c>
      <c r="J17" s="1694"/>
      <c r="K17" s="2456" t="str">
        <f>CONCATENATE(K16,L16,M16,N16,O16,P16,Q16,R16,S16,T16,,U16)</f>
        <v>工业2058年8月29日</v>
      </c>
      <c r="L17" s="1723"/>
      <c r="M17" s="1723"/>
      <c r="N17" s="1694"/>
      <c r="O17" s="1695"/>
      <c r="P17" s="1694"/>
      <c r="Q17" s="1694"/>
      <c r="R17" s="1694"/>
      <c r="S17" s="1694"/>
      <c r="T17" s="1694"/>
      <c r="U17" s="1694"/>
    </row>
    <row r="18" spans="1:21">
      <c r="A18" s="1763"/>
      <c r="B18" s="1682"/>
      <c r="C18" s="1683" t="s">
        <v>1959</v>
      </c>
      <c r="D18" s="1684"/>
      <c r="E18" s="1684"/>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f>IF(B16="出让",IF(I17="","",ROUNDDOWN(MIN((I17-$D$3)/365,I18),2)),I18)</f>
        <v>40.159999999999997</v>
      </c>
      <c r="J19" s="1694"/>
      <c r="K19" s="1774"/>
      <c r="L19" s="1723"/>
      <c r="M19" s="1723"/>
      <c r="N19" s="1694"/>
      <c r="O19" s="1695"/>
      <c r="P19" s="1694"/>
      <c r="Q19" s="1694"/>
      <c r="R19" s="1694"/>
      <c r="S19" s="1694"/>
      <c r="T19" s="1694"/>
      <c r="U19" s="1694"/>
    </row>
    <row r="20" spans="1:21">
      <c r="A20" s="1786"/>
      <c r="B20" s="1787"/>
      <c r="C20" s="1788" t="s">
        <v>2063</v>
      </c>
      <c r="D20" s="3251"/>
      <c r="E20" s="3252"/>
      <c r="F20" s="3252"/>
      <c r="G20" s="3252"/>
      <c r="H20" s="3252"/>
      <c r="I20" s="3253"/>
      <c r="J20" s="1694"/>
      <c r="K20" s="1774"/>
      <c r="L20" s="1723"/>
      <c r="M20" s="1723"/>
      <c r="N20" s="1694"/>
      <c r="O20" s="1695"/>
      <c r="P20" s="1694"/>
      <c r="Q20" s="1694"/>
      <c r="R20" s="1694"/>
      <c r="S20" s="1694"/>
      <c r="T20" s="1694"/>
      <c r="U20" s="1694"/>
    </row>
    <row r="21" spans="1:21">
      <c r="A21" s="1763" t="s">
        <v>1961</v>
      </c>
      <c r="B21" s="1764" t="s">
        <v>1962</v>
      </c>
      <c r="C21" s="1759">
        <f>'数据-汇总表'!E3</f>
        <v>80808</v>
      </c>
      <c r="D21" s="1760" t="s">
        <v>1963</v>
      </c>
      <c r="E21" s="3241" t="s">
        <v>2001</v>
      </c>
      <c r="F21" s="3242"/>
      <c r="G21" s="3242"/>
      <c r="H21" s="3242"/>
      <c r="I21" s="3243"/>
      <c r="J21" s="1694"/>
      <c r="K21" s="1774"/>
      <c r="L21" s="1723"/>
      <c r="M21" s="1723"/>
      <c r="N21" s="1694"/>
      <c r="O21" s="1695"/>
      <c r="P21" s="1694"/>
      <c r="Q21" s="1694"/>
      <c r="R21" s="1694"/>
      <c r="S21" s="1694"/>
      <c r="T21" s="1694"/>
      <c r="U21" s="1694"/>
    </row>
    <row r="22" spans="1:21">
      <c r="A22" s="3147" t="s">
        <v>952</v>
      </c>
      <c r="B22" s="1661" t="s">
        <v>1964</v>
      </c>
      <c r="C22" s="1686">
        <f>'数据-汇总表'!D3</f>
        <v>86802.49</v>
      </c>
      <c r="D22" s="1687" t="s">
        <v>1963</v>
      </c>
      <c r="E22" s="3241" t="s">
        <v>2893</v>
      </c>
      <c r="F22" s="3242"/>
      <c r="G22" s="3242"/>
      <c r="H22" s="3242"/>
      <c r="I22" s="3243"/>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4" t="s">
        <v>1969</v>
      </c>
      <c r="C24" s="3245"/>
      <c r="D24" s="3246" t="s">
        <v>1970</v>
      </c>
      <c r="E24" s="3247"/>
      <c r="F24" s="1708" t="s">
        <v>1971</v>
      </c>
      <c r="G24" s="1694"/>
      <c r="H24" s="1694"/>
      <c r="I24" s="1707"/>
      <c r="J24" s="1694"/>
      <c r="K24" s="3232"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2"/>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2"/>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59" t="s">
        <v>2004</v>
      </c>
      <c r="B31" s="1764" t="s">
        <v>2005</v>
      </c>
      <c r="C31" s="3257" t="s">
        <v>2999</v>
      </c>
      <c r="D31" s="3258"/>
      <c r="E31" s="1694"/>
      <c r="F31" s="1694"/>
      <c r="G31" s="1694"/>
      <c r="H31" s="1694"/>
      <c r="I31" s="1707"/>
      <c r="J31" s="1694"/>
      <c r="K31" s="2459"/>
      <c r="L31" s="1694"/>
      <c r="M31" s="1694"/>
      <c r="N31" s="1694"/>
      <c r="O31" s="1694"/>
      <c r="P31" s="1694"/>
      <c r="Q31" s="1694"/>
      <c r="R31" s="1694"/>
      <c r="S31" s="1694"/>
      <c r="T31" s="1694"/>
      <c r="U31" s="1694"/>
    </row>
    <row r="32" spans="1:21">
      <c r="A32" s="3259"/>
      <c r="B32" s="1661" t="s">
        <v>2006</v>
      </c>
      <c r="C32" s="1719" t="s">
        <v>3007</v>
      </c>
      <c r="D32" s="1720"/>
      <c r="E32" s="1694"/>
      <c r="F32" s="1694"/>
      <c r="G32" s="1694"/>
      <c r="H32" s="1694"/>
      <c r="I32" s="1707"/>
      <c r="J32" s="1694"/>
      <c r="K32" s="2459"/>
      <c r="L32" s="1694"/>
      <c r="M32" s="1694"/>
      <c r="N32" s="1694"/>
      <c r="O32" s="1694"/>
      <c r="P32" s="1694"/>
      <c r="Q32" s="1694"/>
      <c r="R32" s="1694"/>
      <c r="S32" s="1694"/>
      <c r="T32" s="1694"/>
      <c r="U32" s="1694"/>
    </row>
    <row r="33" spans="1:21">
      <c r="A33" s="3259"/>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60"/>
      <c r="B34" s="1661" t="s">
        <v>2008</v>
      </c>
      <c r="C34" s="3261"/>
      <c r="D34" s="3262"/>
      <c r="E34" s="1694"/>
      <c r="F34" s="1694"/>
      <c r="G34" s="1694"/>
      <c r="H34" s="1694"/>
      <c r="I34" s="1707"/>
      <c r="J34" s="1694"/>
      <c r="K34" s="2459"/>
      <c r="L34" s="1694"/>
      <c r="M34" s="1694"/>
      <c r="N34" s="1694"/>
      <c r="O34" s="1694"/>
      <c r="P34" s="1694"/>
      <c r="Q34" s="1694"/>
      <c r="R34" s="1694"/>
      <c r="S34" s="1694"/>
      <c r="T34" s="1694"/>
      <c r="U34" s="1694"/>
    </row>
    <row r="35" spans="1:21">
      <c r="A35" s="3263" t="s">
        <v>847</v>
      </c>
      <c r="B35" s="1722"/>
      <c r="C35" s="1776" t="str">
        <f>IF(B35="场地平整","——","具体情况：")</f>
        <v>具体情况：</v>
      </c>
      <c r="D35" s="3265"/>
      <c r="E35" s="3266"/>
      <c r="F35" s="3266"/>
      <c r="G35" s="3266"/>
      <c r="H35" s="3266"/>
      <c r="I35" s="3267"/>
      <c r="J35" s="1694"/>
      <c r="K35" s="1775"/>
      <c r="L35" s="1723"/>
      <c r="M35" s="1723"/>
      <c r="N35" s="1694"/>
      <c r="O35" s="1695"/>
      <c r="P35" s="1694"/>
      <c r="Q35" s="1694"/>
      <c r="R35" s="1694"/>
      <c r="S35" s="1694"/>
      <c r="T35" s="1694"/>
      <c r="U35" s="1694"/>
    </row>
    <row r="36" spans="1:21">
      <c r="A36" s="3259"/>
      <c r="B36" s="3268" t="s">
        <v>2057</v>
      </c>
      <c r="C36" s="3269"/>
      <c r="D36" s="1792"/>
      <c r="E36" s="3270"/>
      <c r="F36" s="3270"/>
      <c r="G36" s="1687" t="str">
        <f>IF(B35="场地未平整","估价结果处理","")</f>
        <v/>
      </c>
      <c r="H36" s="3271"/>
      <c r="I36" s="3271"/>
      <c r="J36" s="1694"/>
      <c r="K36" s="1775"/>
      <c r="L36" s="1723"/>
      <c r="M36" s="1723"/>
      <c r="N36" s="1694"/>
      <c r="O36" s="1695"/>
      <c r="P36" s="1694"/>
      <c r="Q36" s="1694"/>
      <c r="R36" s="1694"/>
      <c r="S36" s="1694"/>
      <c r="T36" s="1694"/>
      <c r="U36" s="1694"/>
    </row>
    <row r="37" spans="1:21" ht="28.5">
      <c r="A37" s="3259"/>
      <c r="B37" s="3248"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9"/>
      <c r="B38" s="3249"/>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260"/>
      <c r="B39" s="325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3000</v>
      </c>
      <c r="C40" s="1690" t="s">
        <v>3001</v>
      </c>
      <c r="D40" s="1690" t="s">
        <v>3002</v>
      </c>
      <c r="E40" s="1690" t="s">
        <v>3003</v>
      </c>
      <c r="F40" s="1690" t="s">
        <v>3004</v>
      </c>
      <c r="G40" s="1690" t="s">
        <v>3005</v>
      </c>
      <c r="H40" s="1690" t="s">
        <v>952</v>
      </c>
      <c r="I40" s="1707"/>
      <c r="J40" s="1694"/>
      <c r="K40" s="1730">
        <f>COUNTIF(B40:H40,"——")</f>
        <v>1</v>
      </c>
      <c r="L40" s="1699" t="s">
        <v>1981</v>
      </c>
      <c r="M40" s="1696" t="s">
        <v>1982</v>
      </c>
      <c r="N40" s="1696" t="s">
        <v>1983</v>
      </c>
      <c r="O40" s="1696" t="s">
        <v>1984</v>
      </c>
      <c r="P40" s="1696" t="s">
        <v>1985</v>
      </c>
      <c r="Q40" s="1696" t="s">
        <v>1986</v>
      </c>
      <c r="R40" s="1696" t="s">
        <v>1987</v>
      </c>
      <c r="S40" s="3231" t="s">
        <v>1988</v>
      </c>
      <c r="T40" s="1731" t="str">
        <f>NUMBERSTRING(7-K40,1)&amp;"通"</f>
        <v>六通</v>
      </c>
      <c r="U40" s="1694"/>
    </row>
    <row r="41" spans="1:21">
      <c r="A41" s="1663"/>
      <c r="B41" s="3264" t="s">
        <v>1722</v>
      </c>
      <c r="C41" s="3264"/>
      <c r="D41" s="3264"/>
      <c r="E41" s="3264"/>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231"/>
      <c r="T41" s="1733" t="str">
        <f>IF(T40="一通",L41,IF(T40="二通",M41,IF(T40="三通",N41,IF(T40="四通",O41,IF(T40="五通",P41,IF(T40="六通",Q41,R41))))))</f>
        <v>通路、通电、通讯、通上水、通下水、燃气</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t="s">
        <v>1414</v>
      </c>
      <c r="F43" s="1739"/>
      <c r="G43" s="1694"/>
      <c r="H43" s="1694"/>
      <c r="I43" s="1707"/>
      <c r="J43" s="1694"/>
      <c r="K43" s="1774"/>
      <c r="L43" s="1723"/>
      <c r="M43" s="1723"/>
      <c r="N43" s="1694"/>
      <c r="O43" s="1695"/>
      <c r="P43" s="1694"/>
      <c r="Q43" s="1694"/>
      <c r="R43" s="1694"/>
      <c r="S43" s="1694"/>
      <c r="T43" s="1694"/>
      <c r="U43" s="1694"/>
    </row>
    <row r="44" spans="1:21" ht="28.5">
      <c r="A44" s="1737" t="s">
        <v>1708</v>
      </c>
      <c r="B44" s="1738"/>
      <c r="C44" s="1738"/>
      <c r="D44" s="1738"/>
      <c r="E44" s="1792" t="s">
        <v>2998</v>
      </c>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G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34937.765+51864.729</f>
        <v>86802.494000000006</v>
      </c>
      <c r="B3" s="22">
        <f>IF(C3="否",G5-AT5,G5)</f>
        <v>80808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80808</v>
      </c>
      <c r="H5" s="27">
        <f t="shared" ref="H5:AT5" si="0">SUM(H13:H641)</f>
        <v>80808</v>
      </c>
      <c r="I5" s="27">
        <f t="shared" si="0"/>
        <v>80568</v>
      </c>
      <c r="J5" s="27">
        <f t="shared" si="0"/>
        <v>0</v>
      </c>
      <c r="K5" s="27">
        <f t="shared" si="0"/>
        <v>240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80808</v>
      </c>
      <c r="BA5" s="29">
        <f t="shared" si="1"/>
        <v>80808</v>
      </c>
      <c r="BB5" s="29">
        <f t="shared" si="1"/>
        <v>80568</v>
      </c>
      <c r="BC5" s="29">
        <f t="shared" si="1"/>
        <v>240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86802.49</v>
      </c>
      <c r="F6" s="27" t="s">
        <v>1</v>
      </c>
      <c r="G6" s="27" t="s">
        <v>2</v>
      </c>
      <c r="H6" s="33">
        <f>SUMIF(I$12:AB$12,"总值",I6:AB6)</f>
        <v>86802.49</v>
      </c>
      <c r="I6" s="27">
        <f t="shared" ref="I6:AB6" si="2">ROUND($A$3*I5/$B$3,2)</f>
        <v>86544.69</v>
      </c>
      <c r="J6" s="27">
        <f t="shared" si="2"/>
        <v>0</v>
      </c>
      <c r="K6" s="27">
        <f t="shared" si="2"/>
        <v>257.8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86802.49</v>
      </c>
      <c r="AZ6" s="27" t="s">
        <v>3</v>
      </c>
      <c r="BA6" s="27">
        <f>ROUND($AY$6*BA5/$AZ$5,2)</f>
        <v>86802.49</v>
      </c>
      <c r="BB6" s="27">
        <f>ROUND($AY$6*BB5/$AZ$5,2)</f>
        <v>86544.69</v>
      </c>
      <c r="BC6" s="27">
        <f t="shared" ref="BC6:BH6" si="4">ROUND($AY$6*BC5/$AZ$5,2)</f>
        <v>257.8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2995</v>
      </c>
      <c r="J9" s="51"/>
      <c r="K9" s="3020" t="s">
        <v>2995</v>
      </c>
      <c r="L9" s="51"/>
      <c r="M9" s="3020" t="s">
        <v>2996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982</v>
      </c>
      <c r="J10" s="51"/>
      <c r="K10" s="3022" t="s">
        <v>982</v>
      </c>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2997</v>
      </c>
      <c r="J11" s="71"/>
      <c r="K11" s="3021" t="s">
        <v>3020</v>
      </c>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标准厂房</v>
      </c>
      <c r="BC12" s="79" t="str">
        <f>K11</f>
        <v>特殊厂房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5" t="s">
        <v>3008</v>
      </c>
      <c r="B13" s="3015" t="s">
        <v>3010</v>
      </c>
      <c r="C13" s="3015" t="s">
        <v>2993</v>
      </c>
      <c r="D13" s="3016" t="s">
        <v>1679</v>
      </c>
      <c r="E13" s="27">
        <f t="shared" ref="E13:E20" si="6">IF($C$3="是",ROUND($A$3*G13/$B$3,2),ROUND($A$3*(G13-AT13)/$B$3,2))</f>
        <v>25468.85</v>
      </c>
      <c r="F13" s="81"/>
      <c r="G13" s="82">
        <f t="shared" ref="G13:G20" si="7">H13+AC13+AT13</f>
        <v>23710</v>
      </c>
      <c r="H13" s="33">
        <f t="shared" ref="H13:H20" si="8">SUMIF(I$12:AB$12,"总值",I13:AB13)</f>
        <v>23710</v>
      </c>
      <c r="I13" s="3019">
        <v>23710</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京通国用（2008出）第061号</v>
      </c>
      <c r="AW13" s="17" t="str">
        <f t="shared" si="10"/>
        <v>2009规（通）建字0020号</v>
      </c>
      <c r="AX13" s="17" t="str">
        <f t="shared" si="10"/>
        <v>1#电池厂房</v>
      </c>
      <c r="AY13" s="996">
        <f t="shared" ref="AY13:AY20" si="11">ROUND($AY$6*AZ13/$AZ$5,2)</f>
        <v>25468.85</v>
      </c>
      <c r="AZ13" s="27">
        <f t="shared" ref="AZ13:AZ20" si="12">BA13+BL13</f>
        <v>23710</v>
      </c>
      <c r="BA13" s="27">
        <f t="shared" ref="BA13:BA20" si="13">SUM(BB13:BK13)</f>
        <v>23710</v>
      </c>
      <c r="BB13" s="27">
        <f t="shared" ref="BB13:BB20" si="14">IF($D13="是",I13-J13,0)</f>
        <v>23710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c r="B14" s="3015"/>
      <c r="C14" s="3017" t="s">
        <v>2994</v>
      </c>
      <c r="D14" s="3016" t="s">
        <v>1679</v>
      </c>
      <c r="E14" s="27">
        <f t="shared" si="6"/>
        <v>24368.89</v>
      </c>
      <c r="F14" s="81"/>
      <c r="G14" s="82">
        <f t="shared" si="7"/>
        <v>22686</v>
      </c>
      <c r="H14" s="33">
        <f t="shared" si="8"/>
        <v>22686</v>
      </c>
      <c r="I14" s="3019">
        <v>22686</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t="str">
        <f t="shared" si="10"/>
        <v>生产检测车间</v>
      </c>
      <c r="AY14" s="996">
        <f t="shared" si="11"/>
        <v>24368.89</v>
      </c>
      <c r="AZ14" s="27">
        <f t="shared" si="12"/>
        <v>22686</v>
      </c>
      <c r="BA14" s="27">
        <f t="shared" si="13"/>
        <v>22686</v>
      </c>
      <c r="BB14" s="27">
        <f t="shared" si="14"/>
        <v>22686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38.25">
      <c r="A15" s="3015" t="s">
        <v>3009</v>
      </c>
      <c r="B15" s="3015" t="s">
        <v>3011</v>
      </c>
      <c r="C15" s="3017" t="s">
        <v>3012</v>
      </c>
      <c r="D15" s="3016" t="s">
        <v>1679</v>
      </c>
      <c r="E15" s="27">
        <f t="shared" si="6"/>
        <v>6982.18</v>
      </c>
      <c r="F15" s="81"/>
      <c r="G15" s="82">
        <f t="shared" si="7"/>
        <v>6500</v>
      </c>
      <c r="H15" s="33">
        <f t="shared" si="8"/>
        <v>6500</v>
      </c>
      <c r="I15" s="3019">
        <v>6500</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京通国用（2008出）第062号</v>
      </c>
      <c r="AW15" s="17" t="str">
        <f t="shared" si="10"/>
        <v>2009规（通）建字0019号</v>
      </c>
      <c r="AX15" s="17" t="str">
        <f t="shared" si="10"/>
        <v>1#标准厂房</v>
      </c>
      <c r="AY15" s="996">
        <f t="shared" si="11"/>
        <v>6982.18</v>
      </c>
      <c r="AZ15" s="27">
        <f t="shared" si="12"/>
        <v>6500</v>
      </c>
      <c r="BA15" s="27">
        <f t="shared" si="13"/>
        <v>6500</v>
      </c>
      <c r="BB15" s="27">
        <f t="shared" si="14"/>
        <v>6500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t="s">
        <v>3013</v>
      </c>
      <c r="D16" s="3016" t="s">
        <v>1679</v>
      </c>
      <c r="E16" s="27">
        <f t="shared" si="6"/>
        <v>8849.11</v>
      </c>
      <c r="F16" s="81"/>
      <c r="G16" s="82">
        <f t="shared" si="7"/>
        <v>8238</v>
      </c>
      <c r="H16" s="33">
        <f t="shared" si="8"/>
        <v>8238</v>
      </c>
      <c r="I16" s="3019">
        <v>8238</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t="str">
        <f t="shared" si="10"/>
        <v>1#单身宿舍</v>
      </c>
      <c r="AY16" s="996">
        <f t="shared" si="11"/>
        <v>8849.11</v>
      </c>
      <c r="AZ16" s="27">
        <f t="shared" si="12"/>
        <v>8238</v>
      </c>
      <c r="BA16" s="27">
        <f t="shared" si="13"/>
        <v>8238</v>
      </c>
      <c r="BB16" s="27">
        <f t="shared" si="14"/>
        <v>8238</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t="s">
        <v>3014</v>
      </c>
      <c r="D17" s="3016" t="s">
        <v>1679</v>
      </c>
      <c r="E17" s="27">
        <f t="shared" si="6"/>
        <v>11850.38</v>
      </c>
      <c r="F17" s="81"/>
      <c r="G17" s="82">
        <f t="shared" si="7"/>
        <v>11032</v>
      </c>
      <c r="H17" s="33">
        <f t="shared" si="8"/>
        <v>11032</v>
      </c>
      <c r="I17" s="3019">
        <v>11032</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t="str">
        <f t="shared" si="10"/>
        <v>2#标准厂房</v>
      </c>
      <c r="AY17" s="996">
        <f t="shared" si="11"/>
        <v>11850.37</v>
      </c>
      <c r="AZ17" s="27">
        <f t="shared" si="12"/>
        <v>11032</v>
      </c>
      <c r="BA17" s="27">
        <f t="shared" si="13"/>
        <v>11032</v>
      </c>
      <c r="BB17" s="27">
        <f t="shared" si="14"/>
        <v>11032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85" t="s">
        <v>3015</v>
      </c>
      <c r="D18" s="3018" t="s">
        <v>1679</v>
      </c>
      <c r="E18" s="87">
        <f t="shared" si="6"/>
        <v>8849.11</v>
      </c>
      <c r="F18" s="88"/>
      <c r="G18" s="89">
        <f t="shared" si="7"/>
        <v>8238</v>
      </c>
      <c r="H18" s="90">
        <f t="shared" si="8"/>
        <v>8238</v>
      </c>
      <c r="I18" s="1395">
        <v>8238</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2#单身宿舍</v>
      </c>
      <c r="AY18" s="95">
        <f t="shared" si="11"/>
        <v>8849.11</v>
      </c>
      <c r="AZ18" s="87">
        <f t="shared" si="12"/>
        <v>8238</v>
      </c>
      <c r="BA18" s="87">
        <f t="shared" si="13"/>
        <v>8238</v>
      </c>
      <c r="BB18" s="87">
        <f t="shared" si="14"/>
        <v>8238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t="s">
        <v>3016</v>
      </c>
      <c r="D19" s="80" t="s">
        <v>1679</v>
      </c>
      <c r="E19" s="87">
        <f t="shared" si="6"/>
        <v>17.190000000000001</v>
      </c>
      <c r="F19" s="88"/>
      <c r="G19" s="89">
        <f t="shared" si="7"/>
        <v>16</v>
      </c>
      <c r="H19" s="90">
        <f t="shared" si="8"/>
        <v>16</v>
      </c>
      <c r="I19" s="1395">
        <v>16</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门卫1</v>
      </c>
      <c r="AY19" s="95">
        <f t="shared" si="11"/>
        <v>17.190000000000001</v>
      </c>
      <c r="AZ19" s="87">
        <f t="shared" si="12"/>
        <v>16</v>
      </c>
      <c r="BA19" s="87">
        <f t="shared" si="13"/>
        <v>16</v>
      </c>
      <c r="BB19" s="87">
        <f t="shared" si="14"/>
        <v>16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t="s">
        <v>3017</v>
      </c>
      <c r="D20" s="80" t="s">
        <v>1679</v>
      </c>
      <c r="E20" s="87">
        <f t="shared" si="6"/>
        <v>51.56</v>
      </c>
      <c r="F20" s="88"/>
      <c r="G20" s="89">
        <f t="shared" si="7"/>
        <v>48</v>
      </c>
      <c r="H20" s="90">
        <f t="shared" si="8"/>
        <v>48</v>
      </c>
      <c r="I20" s="1395">
        <v>48</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t="str">
        <f t="shared" si="10"/>
        <v>门卫2</v>
      </c>
      <c r="AY20" s="95">
        <f t="shared" si="11"/>
        <v>51.56</v>
      </c>
      <c r="AZ20" s="87">
        <f t="shared" si="12"/>
        <v>48</v>
      </c>
      <c r="BA20" s="87">
        <f t="shared" si="13"/>
        <v>48</v>
      </c>
      <c r="BB20" s="87">
        <f t="shared" si="14"/>
        <v>48</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t="s">
        <v>3018</v>
      </c>
      <c r="D21" s="80" t="s">
        <v>1679</v>
      </c>
      <c r="E21" s="87">
        <f t="shared" ref="E21:E112" si="33">IF($C$3="是",ROUND($A$3*G21/$B$3,2),ROUND($A$3*(G21-AT21)/$B$3,2))</f>
        <v>107.42</v>
      </c>
      <c r="F21" s="88"/>
      <c r="G21" s="89">
        <f t="shared" ref="G21:G109" si="34">H21+AC21+AT21</f>
        <v>100</v>
      </c>
      <c r="H21" s="90">
        <f t="shared" ref="H21:H109" si="35">SUMIF(I$12:AB$12,"总值",I21:AB21)</f>
        <v>100</v>
      </c>
      <c r="I21" s="1397">
        <v>100</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t="str">
        <f t="shared" ref="AX21:AX112" si="39">C21</f>
        <v>连廊</v>
      </c>
      <c r="AY21" s="95">
        <f t="shared" ref="AY21:AY109" si="40">ROUND($AY$6*AZ21/$AZ$5,2)</f>
        <v>107.42</v>
      </c>
      <c r="AZ21" s="87">
        <f t="shared" ref="AZ21:AZ109" si="41">BA21+BL21</f>
        <v>100</v>
      </c>
      <c r="BA21" s="87">
        <f t="shared" ref="BA21:BA109" si="42">SUM(BB21:BK21)</f>
        <v>100</v>
      </c>
      <c r="BB21" s="87">
        <f t="shared" ref="BB21:BB109" si="43">IF($D21="是",I21-J21,0)</f>
        <v>100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84"/>
      <c r="B22" s="1394"/>
      <c r="C22" s="1395" t="s">
        <v>3019</v>
      </c>
      <c r="D22" s="80" t="s">
        <v>1679</v>
      </c>
      <c r="E22" s="87">
        <f t="shared" si="33"/>
        <v>257.8</v>
      </c>
      <c r="F22" s="88"/>
      <c r="G22" s="89">
        <f t="shared" si="34"/>
        <v>240</v>
      </c>
      <c r="H22" s="90">
        <f t="shared" si="35"/>
        <v>240</v>
      </c>
      <c r="I22" s="1397"/>
      <c r="J22" s="91"/>
      <c r="K22" s="1397">
        <v>240</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t="str">
        <f t="shared" si="39"/>
        <v>1#废水处理区操作间</v>
      </c>
      <c r="AY22" s="95">
        <f t="shared" si="40"/>
        <v>257.8</v>
      </c>
      <c r="AZ22" s="87">
        <f t="shared" si="41"/>
        <v>240</v>
      </c>
      <c r="BA22" s="87">
        <f t="shared" si="42"/>
        <v>240</v>
      </c>
      <c r="BB22" s="87">
        <f t="shared" si="43"/>
        <v>0</v>
      </c>
      <c r="BC22" s="87">
        <f t="shared" si="44"/>
        <v>240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3" t="s">
        <v>203</v>
      </c>
      <c r="B2" s="3283"/>
      <c r="C2" s="3283"/>
      <c r="D2" s="1976" t="s">
        <v>204</v>
      </c>
      <c r="E2" s="106" t="s">
        <v>205</v>
      </c>
      <c r="F2" s="1985"/>
      <c r="G2" s="1198"/>
      <c r="H2" s="1199"/>
      <c r="I2" s="1200" t="s">
        <v>857</v>
      </c>
      <c r="J2" s="1985"/>
      <c r="K2" s="1985"/>
      <c r="L2" s="1985"/>
    </row>
    <row r="3" spans="1:16" ht="15.75" thickBot="1">
      <c r="A3" s="3284" t="s">
        <v>206</v>
      </c>
      <c r="B3" s="3284"/>
      <c r="C3" s="3284"/>
      <c r="D3" s="107">
        <f>'数据-基础表'!AY6</f>
        <v>86802.49</v>
      </c>
      <c r="E3" s="107">
        <f>'数据-基础表'!AZ5</f>
        <v>80808</v>
      </c>
      <c r="F3" s="1985"/>
      <c r="G3" s="280" t="s">
        <v>858</v>
      </c>
      <c r="H3" s="275" t="s">
        <v>859</v>
      </c>
      <c r="I3" s="1977">
        <f>ROUND('数据-基础表'!B3/'数据-基础表'!A3,2)</f>
        <v>0.93</v>
      </c>
      <c r="J3" s="1985"/>
      <c r="K3" s="1985"/>
      <c r="L3" s="1985"/>
    </row>
    <row r="4" spans="1:16" ht="15">
      <c r="A4" s="3285"/>
      <c r="B4" s="3286"/>
      <c r="C4" s="3287"/>
      <c r="D4" s="108" t="s">
        <v>204</v>
      </c>
      <c r="E4" s="109" t="s">
        <v>205</v>
      </c>
      <c r="F4" s="1985"/>
      <c r="G4" s="1201"/>
      <c r="H4" s="275" t="s">
        <v>860</v>
      </c>
      <c r="I4" s="1977">
        <f>ROUND(SUMIF('数据-基础表'!I9:AS9,"地上",'数据-基础表'!I5:AS5)/'数据-基础表'!A3,2)</f>
        <v>0.93</v>
      </c>
      <c r="J4" s="1985"/>
      <c r="K4" s="1985"/>
      <c r="L4" s="1985"/>
    </row>
    <row r="5" spans="1:16">
      <c r="A5" s="110" t="s">
        <v>207</v>
      </c>
      <c r="B5" s="3288" t="s">
        <v>230</v>
      </c>
      <c r="C5" s="3288"/>
      <c r="D5" s="111">
        <f>ROUND($D$3*E5/$E$3,2)</f>
        <v>0</v>
      </c>
      <c r="E5" s="112">
        <f>SUMIF('数据-基础表'!$11:$11,"住宅",'数据-基础表'!$5:$5)</f>
        <v>0</v>
      </c>
      <c r="F5" s="1985"/>
      <c r="G5" s="280" t="s">
        <v>861</v>
      </c>
      <c r="H5" s="275" t="s">
        <v>859</v>
      </c>
      <c r="I5" s="1977">
        <f>ROUND(E31/D31,2)</f>
        <v>0.93</v>
      </c>
      <c r="J5" s="1985"/>
      <c r="K5" s="1985"/>
      <c r="L5" s="1985"/>
    </row>
    <row r="6" spans="1:16" ht="15" thickBot="1">
      <c r="A6" s="113"/>
      <c r="B6" s="3288" t="s">
        <v>208</v>
      </c>
      <c r="C6" s="3288"/>
      <c r="D6" s="111">
        <f>ROUND($D$3*E6/$E$3,2)</f>
        <v>86802.49</v>
      </c>
      <c r="E6" s="112">
        <f>E3-E5</f>
        <v>80808</v>
      </c>
      <c r="F6" s="1985"/>
      <c r="G6" s="1201"/>
      <c r="H6" s="275" t="s">
        <v>860</v>
      </c>
      <c r="I6" s="1977">
        <f>ROUND(F31/D31,2)</f>
        <v>0.93</v>
      </c>
      <c r="J6" s="1985"/>
      <c r="K6" s="1985"/>
      <c r="L6" s="1985"/>
    </row>
    <row r="7" spans="1:16" ht="15">
      <c r="A7" s="3280"/>
      <c r="B7" s="3281"/>
      <c r="C7" s="3282"/>
      <c r="D7" s="108" t="s">
        <v>204</v>
      </c>
      <c r="E7" s="114" t="s">
        <v>231</v>
      </c>
      <c r="F7" s="1985"/>
      <c r="G7" s="1156" t="s">
        <v>1646</v>
      </c>
      <c r="H7" s="1157"/>
      <c r="I7" s="1847">
        <v>1</v>
      </c>
      <c r="J7" s="1985"/>
      <c r="K7" s="1985"/>
      <c r="L7" s="1985"/>
    </row>
    <row r="8" spans="1:16">
      <c r="A8" s="110" t="s">
        <v>209</v>
      </c>
      <c r="B8" s="115" t="s">
        <v>210</v>
      </c>
      <c r="C8" s="111" t="s">
        <v>211</v>
      </c>
      <c r="D8" s="111">
        <f t="shared" ref="D8:D15" si="0">ROUND($D$3*E8/$E$3,2)</f>
        <v>86802.49</v>
      </c>
      <c r="E8" s="116">
        <f>SUMIF('数据-基础表'!BB10:BK10,"地上",'数据-基础表'!BB5:BK5)</f>
        <v>80808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86802.49</v>
      </c>
      <c r="E16" s="120">
        <f>SUM(E8:E15)</f>
        <v>80808</v>
      </c>
      <c r="F16" s="1985"/>
      <c r="G16" s="1987"/>
      <c r="H16" s="968" t="s">
        <v>219</v>
      </c>
      <c r="I16" s="969"/>
      <c r="J16" s="1985"/>
      <c r="K16" s="3274" t="s">
        <v>2569</v>
      </c>
      <c r="L16" s="3275"/>
      <c r="M16" s="3275"/>
      <c r="N16" s="3275"/>
      <c r="O16" s="3275"/>
      <c r="P16" s="3276"/>
    </row>
    <row r="17" spans="1:19" ht="15">
      <c r="A17" s="121" t="s">
        <v>216</v>
      </c>
      <c r="B17" s="122" t="s">
        <v>217</v>
      </c>
      <c r="C17" s="2299" t="s">
        <v>2316</v>
      </c>
      <c r="D17" s="108" t="s">
        <v>204</v>
      </c>
      <c r="E17" s="124" t="s">
        <v>205</v>
      </c>
      <c r="F17" s="125"/>
      <c r="G17" s="1366"/>
      <c r="H17" s="970" t="s">
        <v>218</v>
      </c>
      <c r="I17" s="971" t="s">
        <v>2315</v>
      </c>
      <c r="J17" s="1985"/>
      <c r="K17" s="3277" t="s">
        <v>2570</v>
      </c>
      <c r="L17" s="3278"/>
      <c r="M17" s="3279"/>
      <c r="N17" s="3277" t="s">
        <v>2571</v>
      </c>
      <c r="O17" s="3278"/>
      <c r="P17" s="3279"/>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
        <v>3021</v>
      </c>
      <c r="D19" s="111">
        <f t="shared" ref="D19:D26" si="1">ROUND($D$3*E19/$E$3,2)</f>
        <v>86544.69</v>
      </c>
      <c r="E19" s="134">
        <f t="shared" ref="E19:E26" si="2">SUM(F19:G19)</f>
        <v>80568</v>
      </c>
      <c r="F19" s="135">
        <f>'数据-基础表'!I5</f>
        <v>80568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86544.69</v>
      </c>
      <c r="S19" s="2302">
        <f t="shared" si="5"/>
        <v>80568</v>
      </c>
    </row>
    <row r="20" spans="1:19">
      <c r="A20" s="138"/>
      <c r="B20" s="115" t="s">
        <v>226</v>
      </c>
      <c r="C20" s="3026" t="s">
        <v>3022</v>
      </c>
      <c r="D20" s="111">
        <f t="shared" si="1"/>
        <v>257.8</v>
      </c>
      <c r="E20" s="134">
        <f t="shared" si="2"/>
        <v>240</v>
      </c>
      <c r="F20" s="135">
        <f>'数据-基础表'!K5</f>
        <v>240</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257.8</v>
      </c>
      <c r="S20" s="2302">
        <f t="shared" si="5"/>
        <v>240</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86802.49</v>
      </c>
      <c r="E27" s="143">
        <f>IF(SUM(E19:E26)='数据-基础表'!BA5,SUM(E19:E26),IF(F27="地上面积有误","面积有误","地下面积有误"))</f>
        <v>80808</v>
      </c>
      <c r="F27" s="134">
        <f>IF(SUM(F19:F26)=E8,SUM(F19:F26),"地上面积有误")</f>
        <v>80808</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86802.49</v>
      </c>
      <c r="S27" s="275">
        <f>IF(SUM(S19:S26)=$E$3,SUM(S19:S26),SUM(S19:S26)&amp;"误差"&amp;ROUND(SUM(S19:S26)-E3,2))</f>
        <v>80808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86802.49</v>
      </c>
      <c r="E31" s="1372">
        <f>E27+E30</f>
        <v>80808</v>
      </c>
      <c r="F31" s="1373">
        <f>F27+F30</f>
        <v>80808</v>
      </c>
      <c r="G31" s="1374">
        <f>G27+G30</f>
        <v>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9" sqref="F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43290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标准厂房</v>
      </c>
      <c r="B6" s="2338" t="str">
        <f>IF(A6=0,"","经营性")</f>
        <v>经营性</v>
      </c>
      <c r="C6" s="173" t="s">
        <v>982</v>
      </c>
      <c r="D6" s="2309">
        <f>SUMIF(项目基本情况!D$15:I$15,C6,项目基本情况!D$18:I$18)</f>
        <v>50</v>
      </c>
      <c r="E6" s="2310">
        <f>IF(B6="","",SUMIF(项目基本情况!D$15:I$15,C6,项目基本情况!D$17:I$17))</f>
        <v>57951</v>
      </c>
      <c r="F6" s="174">
        <f>SUMIF(项目基本情况!D$15:I$15,C6,项目基本情况!D$19:I$19)</f>
        <v>40.159999999999997</v>
      </c>
      <c r="G6" s="175">
        <f>IF(ISERROR(ROUND(POWER(1+H6,D6-F6)*(POWER(1+H6,F6)-1)/(POWER(1+H6,D6)-1),3)),0,ROUND(POWER(1+H6,D6-F6)*(POWER(1+H6,F6)-1)/(POWER(1+H6,D6)-1),3))</f>
        <v>0.91200000000000003</v>
      </c>
      <c r="H6" s="3027">
        <v>3.5000000000000003E-2</v>
      </c>
      <c r="I6" s="3027">
        <v>0.04</v>
      </c>
      <c r="J6" s="176">
        <v>7.0000000000000007E-2</v>
      </c>
      <c r="K6" s="179">
        <f>SUMIF('数据-汇总表'!C$19:C$33,'数据-取费表'!A6,'数据-汇总表'!E$19:E$33)</f>
        <v>80568</v>
      </c>
      <c r="L6" s="3028">
        <v>1200</v>
      </c>
      <c r="M6" s="177">
        <f t="shared" ref="M6:M14" si="0">ROUND(K6*L6/10000,0)</f>
        <v>9668</v>
      </c>
      <c r="N6" s="3029">
        <v>1</v>
      </c>
      <c r="O6" s="177">
        <f>IF($N$5="成新度","——",ROUND(M6*N6,0))</f>
        <v>9668</v>
      </c>
      <c r="P6" s="178">
        <f>IF($N$5="成新度","——",M6-O6)</f>
        <v>0</v>
      </c>
      <c r="Q6" s="3030">
        <v>0.15</v>
      </c>
      <c r="R6" s="179">
        <f>SUMIF('数据-汇总表'!C$19:C$33,A6,'数据-汇总表'!R$19:R$33)</f>
        <v>86544.69</v>
      </c>
      <c r="S6" s="132">
        <f>IF('数据-汇总表'!$I$17="按面积比例",SUMIF('数据-汇总表'!C$19:C$33,A6,'数据-汇总表'!K$19:K$33),SUMIF('数据-汇总表'!C$19:C$33,A6,'数据-汇总表'!N$19:N$33))</f>
        <v>0</v>
      </c>
      <c r="T6" s="2235" t="str">
        <f>IF($T$4="按面积比例",IF(ISERROR(ROUND($M$14*S6/S$16,0)),"0",ROUND($M$14*S6/S$16,0)),"需自行计算录入")</f>
        <v>0</v>
      </c>
      <c r="U6" s="180">
        <v>0.8</v>
      </c>
      <c r="V6" s="181">
        <v>1.4999999999999999E-2</v>
      </c>
      <c r="W6" s="181">
        <v>0.05</v>
      </c>
      <c r="X6" s="2322"/>
      <c r="Y6" s="182">
        <v>0.6</v>
      </c>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0.749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特殊厂房</v>
      </c>
      <c r="B7" s="2338" t="str">
        <f t="shared" ref="B7:B13" si="1">IF(A7=0,"","经营性")</f>
        <v>经营性</v>
      </c>
      <c r="C7" s="173" t="s">
        <v>982</v>
      </c>
      <c r="D7" s="2309">
        <f>SUMIF(项目基本情况!D$15:I$15,C7,项目基本情况!D$18:I$18)</f>
        <v>50</v>
      </c>
      <c r="E7" s="2310">
        <f>IF(B7="","",SUMIF(项目基本情况!D$15:I$15,C7,项目基本情况!D$17:I$17))</f>
        <v>57951</v>
      </c>
      <c r="F7" s="174">
        <f>SUMIF(项目基本情况!D$15:I$15,C7,项目基本情况!D$19:I$19)</f>
        <v>40.159999999999997</v>
      </c>
      <c r="G7" s="175">
        <f t="shared" ref="G7:G11" si="2">IF(ISERROR(ROUND(POWER(1+H7,D7-F7)*(POWER(1+H7,F7)-1)/(POWER(1+H7,D7)-1),3)),0,ROUND(POWER(1+H7,D7-F7)*(POWER(1+H7,F7)-1)/(POWER(1+H7,D7)-1),3))</f>
        <v>0.91200000000000003</v>
      </c>
      <c r="H7" s="3027">
        <v>3.5000000000000003E-2</v>
      </c>
      <c r="I7" s="3027">
        <v>0.04</v>
      </c>
      <c r="J7" s="176">
        <v>7.0000000000000007E-2</v>
      </c>
      <c r="K7" s="179">
        <f>SUMIF('数据-汇总表'!C$19:C$33,'数据-取费表'!A7,'数据-汇总表'!E$19:E$33)</f>
        <v>240</v>
      </c>
      <c r="L7" s="3028">
        <v>1500</v>
      </c>
      <c r="M7" s="177">
        <f t="shared" si="0"/>
        <v>36</v>
      </c>
      <c r="N7" s="3029">
        <v>1</v>
      </c>
      <c r="O7" s="177">
        <f t="shared" ref="O7:O14" si="3">IF($N$5="成新度","——",ROUND(M7*N7,0))</f>
        <v>36</v>
      </c>
      <c r="P7" s="178">
        <f t="shared" ref="P7:P14" si="4">IF($N$5="成新度","——",M7-O7)</f>
        <v>0</v>
      </c>
      <c r="Q7" s="3030">
        <v>0.15</v>
      </c>
      <c r="R7" s="179">
        <f>SUMIF('数据-汇总表'!C$19:C$33,A7,'数据-汇总表'!R$19:R$33)</f>
        <v>257.8</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0.8</v>
      </c>
      <c r="V7" s="181">
        <v>1.4999999999999999E-2</v>
      </c>
      <c r="W7" s="181">
        <v>0.05</v>
      </c>
      <c r="X7" s="2322"/>
      <c r="Y7" s="182">
        <v>0.6</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0.749</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0.91200000000000003</v>
      </c>
      <c r="H16" s="203">
        <f>ROUND(SUMPRODUCT(H6:H13,K6:K13)/SUMPRODUCT((H6:H13&gt;0)*(K6:K13)),3)</f>
        <v>3.5000000000000003E-2</v>
      </c>
      <c r="I16" s="204"/>
      <c r="J16" s="204"/>
      <c r="K16" s="205">
        <f>SUM(K6:K15)</f>
        <v>80808</v>
      </c>
      <c r="L16" s="206">
        <f>ROUND(M16*10000/SUM(K6:K14),0)</f>
        <v>1201</v>
      </c>
      <c r="M16" s="206">
        <f>SUM(M6:M14)</f>
        <v>9704</v>
      </c>
      <c r="N16" s="207">
        <f>ROUND(SUMPRODUCT(M6:M14,N6:N14)/M16,3)</f>
        <v>1</v>
      </c>
      <c r="O16" s="206">
        <f>SUM(O6:O14)</f>
        <v>9704</v>
      </c>
      <c r="P16" s="206">
        <f>SUM(P6:P14)</f>
        <v>0</v>
      </c>
      <c r="Q16" s="208">
        <f>ROUND(SUMPRODUCT(Q6:Q13,K6:K13)/SUMPRODUCT((Q6:Q13&gt;0)*(K6:K13)),2)</f>
        <v>0.15</v>
      </c>
      <c r="R16" s="2312">
        <f>SUM(R6:R13)</f>
        <v>86802.49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0.749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1</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1</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2</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0.01</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0.01</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09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9" t="s">
        <v>1664</v>
      </c>
      <c r="B1" s="3290"/>
      <c r="C1" s="3290"/>
      <c r="D1" s="3290"/>
      <c r="E1" s="3290"/>
      <c r="F1" s="3290"/>
      <c r="G1" s="3290"/>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2922</v>
      </c>
      <c r="D3" s="2010"/>
      <c r="E3" s="1229" t="s">
        <v>1667</v>
      </c>
      <c r="F3" s="1230" t="s">
        <v>1655</v>
      </c>
      <c r="G3" s="3178" t="s">
        <v>3030</v>
      </c>
      <c r="H3" s="2009"/>
      <c r="I3" s="2009"/>
      <c r="J3" s="2009"/>
      <c r="K3" s="2009"/>
      <c r="L3" s="2009"/>
      <c r="M3" s="2009"/>
      <c r="N3" s="2009"/>
      <c r="O3" s="2009"/>
      <c r="P3" s="2009"/>
      <c r="Q3" s="2009"/>
      <c r="R3" s="2009"/>
    </row>
    <row r="4" spans="1:18" ht="41.25">
      <c r="A4" s="1229"/>
      <c r="B4" s="1231" t="s">
        <v>1668</v>
      </c>
      <c r="C4" s="3084" t="s">
        <v>2923</v>
      </c>
      <c r="D4" s="2010"/>
      <c r="E4" s="1232"/>
      <c r="F4" s="1233" t="s">
        <v>1669</v>
      </c>
      <c r="G4" s="3179" t="s">
        <v>3031</v>
      </c>
      <c r="H4" s="2009"/>
      <c r="I4" s="2009"/>
      <c r="J4" s="2009"/>
      <c r="K4" s="2009"/>
      <c r="L4" s="2009"/>
      <c r="M4" s="2009"/>
      <c r="N4" s="2009"/>
      <c r="O4" s="2009"/>
      <c r="P4" s="2009"/>
      <c r="Q4" s="2009"/>
      <c r="R4" s="2009"/>
    </row>
    <row r="5" spans="1:18" ht="54">
      <c r="A5" s="1229"/>
      <c r="B5" s="1231" t="s">
        <v>1670</v>
      </c>
      <c r="C5" s="3084" t="s">
        <v>2924</v>
      </c>
      <c r="D5" s="2010"/>
      <c r="E5" s="1232"/>
      <c r="F5" s="1231" t="s">
        <v>2549</v>
      </c>
      <c r="G5" s="3179" t="s">
        <v>3032</v>
      </c>
      <c r="H5" s="2009"/>
      <c r="I5" s="2009"/>
      <c r="J5" s="2009"/>
      <c r="K5" s="2009"/>
      <c r="L5" s="2009"/>
      <c r="M5" s="2009"/>
      <c r="N5" s="2009"/>
      <c r="O5" s="2009"/>
      <c r="P5" s="2009"/>
      <c r="Q5" s="2009"/>
      <c r="R5" s="2009"/>
    </row>
    <row r="6" spans="1:18" ht="54">
      <c r="A6" s="1229"/>
      <c r="B6" s="1231" t="s">
        <v>1656</v>
      </c>
      <c r="C6" s="3085" t="s">
        <v>2920</v>
      </c>
      <c r="D6" s="2010"/>
      <c r="E6" s="1232"/>
      <c r="F6" s="1231" t="s">
        <v>2550</v>
      </c>
      <c r="G6" s="3193" t="s">
        <v>3284</v>
      </c>
      <c r="H6" s="2009"/>
      <c r="I6" s="2009"/>
      <c r="J6" s="2009"/>
      <c r="K6" s="2009"/>
      <c r="L6" s="2009"/>
      <c r="M6" s="2009"/>
      <c r="N6" s="2009"/>
      <c r="O6" s="2009"/>
      <c r="P6" s="2009"/>
      <c r="Q6" s="2009"/>
      <c r="R6" s="2009"/>
    </row>
    <row r="7" spans="1:18" ht="41.25" thickBot="1">
      <c r="A7" s="1229"/>
      <c r="B7" s="1231" t="s">
        <v>2549</v>
      </c>
      <c r="C7" s="3085" t="s">
        <v>2921</v>
      </c>
      <c r="D7" s="2011"/>
      <c r="E7" s="1234"/>
      <c r="F7" s="1235" t="s">
        <v>1671</v>
      </c>
      <c r="G7" s="3180" t="s">
        <v>3033</v>
      </c>
      <c r="H7" s="2009"/>
      <c r="I7" s="2009"/>
      <c r="J7" s="2009"/>
      <c r="K7" s="2009"/>
      <c r="L7" s="2009"/>
      <c r="M7" s="2009"/>
      <c r="N7" s="2009"/>
      <c r="O7" s="2009"/>
      <c r="P7" s="2009"/>
      <c r="Q7" s="2009"/>
      <c r="R7" s="2009"/>
    </row>
    <row r="8" spans="1:18" ht="27">
      <c r="A8" s="1229"/>
      <c r="B8" s="1231" t="s">
        <v>2550</v>
      </c>
      <c r="C8" s="3085" t="s">
        <v>2918</v>
      </c>
      <c r="D8" s="2011"/>
      <c r="E8" s="2011"/>
      <c r="F8" s="1554"/>
      <c r="G8" s="1554"/>
      <c r="H8" s="2009"/>
      <c r="I8" s="2009"/>
      <c r="J8" s="2009"/>
      <c r="K8" s="2009"/>
      <c r="L8" s="2009"/>
      <c r="M8" s="2009"/>
      <c r="N8" s="2009"/>
      <c r="O8" s="2009"/>
      <c r="P8" s="2009"/>
      <c r="Q8" s="2009"/>
      <c r="R8" s="2009"/>
    </row>
    <row r="9" spans="1:18" ht="40.5">
      <c r="A9" s="1229"/>
      <c r="B9" s="1231" t="s">
        <v>1657</v>
      </c>
      <c r="C9" s="3084" t="s">
        <v>2919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估价对象位于北京市通州区马驹桥镇金桥产业基地，园区建设成熟，产业集聚程度较好</v>
      </c>
    </row>
    <row r="16" spans="1:18" ht="40.5">
      <c r="A16" s="2590"/>
      <c r="B16" s="1245" t="s">
        <v>1668</v>
      </c>
      <c r="C16" s="1246" t="str">
        <f>C4</f>
        <v>估价对象位于XX商圈，周边商业氛围成熟，人流量大，商业繁华度好</v>
      </c>
      <c r="D16" s="2010"/>
      <c r="E16" s="2587"/>
      <c r="F16" s="1247" t="s">
        <v>1669</v>
      </c>
      <c r="G16" s="1005" t="str">
        <f>G4</f>
        <v>估价对象紧邻六环高速路、公共交通通达情况较好、综合评价交通便捷度较好</v>
      </c>
    </row>
    <row r="17" spans="1:7" ht="40.5">
      <c r="A17" s="2590"/>
      <c r="B17" s="1245" t="s">
        <v>1670</v>
      </c>
      <c r="C17" s="1246" t="str">
        <f>C5</f>
        <v>估价对象位于XX商圈，周边办公楼项目较多，入驻率高，办公集聚程度较好</v>
      </c>
      <c r="D17" s="2011"/>
      <c r="E17" s="2587"/>
      <c r="F17" s="1247" t="s">
        <v>1675</v>
      </c>
      <c r="G17" s="3181" t="s">
        <v>3034</v>
      </c>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该园区内无污染型企业，绿化条件一般，卫生条件一般，整体环境状况一般</v>
      </c>
    </row>
    <row r="19" spans="1:7" ht="54">
      <c r="A19" s="2590"/>
      <c r="B19" s="1247" t="s">
        <v>1660</v>
      </c>
      <c r="C19" s="2795"/>
      <c r="D19" s="2010"/>
      <c r="E19" s="2587"/>
      <c r="F19" s="1231" t="s">
        <v>2549</v>
      </c>
      <c r="G19" s="1005" t="str">
        <f>G5</f>
        <v>估价对象所在区域公共配套设施齐备情况一般；基础设施水平一般；综合评价公用设施及基础设施水平一般</v>
      </c>
    </row>
    <row r="20" spans="1:7" ht="40.5">
      <c r="A20" s="2590"/>
      <c r="B20" s="1247" t="s">
        <v>1661</v>
      </c>
      <c r="C20" s="1246" t="str">
        <f>C9</f>
        <v>区域自然环境：；人文环境；综合评价环境状况一般</v>
      </c>
      <c r="D20" s="2011"/>
      <c r="E20" s="2587"/>
      <c r="F20" s="1231" t="s">
        <v>2550</v>
      </c>
      <c r="G20" s="1005" t="str">
        <f>G6</f>
        <v>五通</v>
      </c>
    </row>
    <row r="21" spans="1:7" ht="27">
      <c r="A21" s="2590"/>
      <c r="B21" s="1231" t="s">
        <v>2549</v>
      </c>
      <c r="C21" s="1005" t="str">
        <f>C7</f>
        <v>估价对象所在区域公共配套设施齐备情况</v>
      </c>
      <c r="D21" s="2010"/>
      <c r="E21" s="2587"/>
      <c r="F21" s="1247" t="s">
        <v>1662</v>
      </c>
      <c r="G21" s="3087" t="s">
        <v>3037</v>
      </c>
    </row>
    <row r="22" spans="1:7" ht="27">
      <c r="A22" s="2590"/>
      <c r="B22" s="1231" t="s">
        <v>2550</v>
      </c>
      <c r="C22" s="1005" t="str">
        <f>C8</f>
        <v>估价对象所在区域基础设施水平</v>
      </c>
      <c r="D22" s="2010"/>
      <c r="E22" s="2587"/>
      <c r="F22" s="1247" t="s">
        <v>1672</v>
      </c>
      <c r="G22" s="3181" t="s">
        <v>3035</v>
      </c>
    </row>
    <row r="23" spans="1:7" ht="15" thickBot="1">
      <c r="A23" s="2590"/>
      <c r="B23" s="1247" t="s">
        <v>1662</v>
      </c>
      <c r="C23" s="3087"/>
      <c r="E23" s="2588"/>
      <c r="F23" s="1248" t="s">
        <v>1676</v>
      </c>
      <c r="G23" s="3182" t="s">
        <v>3036</v>
      </c>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0" sqref="E30"/>
    </sheetView>
  </sheetViews>
  <sheetFormatPr defaultColWidth="14.625" defaultRowHeight="13.5"/>
  <cols>
    <col min="1" max="1" width="24.375" customWidth="1"/>
  </cols>
  <sheetData>
    <row r="1" spans="1:9" ht="16.5">
      <c r="A1" s="3047" t="s">
        <v>2846</v>
      </c>
      <c r="B1" s="3047">
        <f>SUM(B14:B23)</f>
        <v>80808</v>
      </c>
      <c r="C1" s="3048"/>
      <c r="D1" s="3048"/>
      <c r="E1" s="3048"/>
      <c r="F1" s="3048"/>
    </row>
    <row r="2" spans="1:9" ht="16.5">
      <c r="A2" s="3047" t="s">
        <v>2847</v>
      </c>
      <c r="B2" s="3047">
        <f>SUM(C14:C23)</f>
        <v>86802.49</v>
      </c>
      <c r="C2" s="3048"/>
      <c r="D2" s="3048"/>
      <c r="E2" s="3048"/>
      <c r="F2" s="3048"/>
    </row>
    <row r="3" spans="1:9" ht="16.5">
      <c r="A3" s="3047" t="s">
        <v>2848</v>
      </c>
      <c r="B3" s="3049">
        <f>项目基本情况!D3</f>
        <v>43290</v>
      </c>
      <c r="C3" s="3048"/>
      <c r="D3" s="3048"/>
      <c r="E3" s="3048"/>
      <c r="F3" s="3048"/>
    </row>
    <row r="4" spans="1:9" ht="33">
      <c r="A4" s="3047" t="s">
        <v>2849</v>
      </c>
      <c r="B4" s="3047" t="s">
        <v>2850</v>
      </c>
      <c r="C4" s="3047" t="s">
        <v>2851</v>
      </c>
      <c r="D4" s="3047" t="s">
        <v>2852</v>
      </c>
      <c r="E4" s="3048"/>
      <c r="F4" s="3048"/>
    </row>
    <row r="5" spans="1:9" ht="16.5">
      <c r="A5" s="3047" t="s">
        <v>2853</v>
      </c>
      <c r="B5" s="3047">
        <f ca="1">SUM(D14:D23)</f>
        <v>11870</v>
      </c>
      <c r="C5" s="3047">
        <f ca="1">ROUND(B5*10000/$B$1,0)</f>
        <v>1469</v>
      </c>
      <c r="D5" s="3047">
        <f ca="1">ROUND(B5*10000/$B$2,0)</f>
        <v>1367</v>
      </c>
      <c r="E5" s="3048"/>
      <c r="F5" s="3048"/>
    </row>
    <row r="6" spans="1:9" ht="16.5">
      <c r="A6" s="3047" t="s">
        <v>2854</v>
      </c>
      <c r="B6" s="3047">
        <f>SUM(G14:G23)</f>
        <v>0</v>
      </c>
      <c r="C6" s="3047">
        <f t="shared" ref="C6:C8" si="0">ROUND(B6*10000/$B$1,0)</f>
        <v>0</v>
      </c>
      <c r="D6" s="3047">
        <f t="shared" ref="D6:D8" si="1">ROUND(B6*10000/$B$2,0)</f>
        <v>0</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80808</v>
      </c>
      <c r="C14" s="3051">
        <f>结果表!K38</f>
        <v>86802.49</v>
      </c>
      <c r="D14" s="3051">
        <f ca="1">结果表!C42</f>
        <v>11870</v>
      </c>
      <c r="E14" s="3051">
        <f ca="1">ROUND(D14*10000/B14,0)</f>
        <v>1469</v>
      </c>
      <c r="F14" s="3051">
        <f ca="1">ROUND(D14*10000/C14,0)</f>
        <v>1367</v>
      </c>
      <c r="G14" s="3051" t="str">
        <f>结果表!C44</f>
        <v>——</v>
      </c>
      <c r="H14" s="3051" t="str">
        <f>结果表!C45</f>
        <v>——</v>
      </c>
      <c r="I14" s="3051" t="str">
        <f>结果表!C46</f>
        <v>——</v>
      </c>
    </row>
    <row r="15" spans="1:9" ht="16.5">
      <c r="A15" s="3054" t="s">
        <v>2863</v>
      </c>
      <c r="B15" s="3055"/>
      <c r="C15" s="3055"/>
      <c r="D15" s="3055"/>
      <c r="E15" s="3051" t="e">
        <f t="shared" ref="E15:E23" si="2">ROUND(D15*10000/B15,0)</f>
        <v>#DIV/0!</v>
      </c>
      <c r="F15" s="3051" t="e">
        <f t="shared" ref="F15:F23" si="3">ROUND(D15*10000/C15,0)</f>
        <v>#DIV/0!</v>
      </c>
      <c r="G15" s="3052"/>
      <c r="H15" s="3052"/>
      <c r="I15" s="3055"/>
    </row>
    <row r="16" spans="1:9" ht="16.5">
      <c r="A16" s="3054" t="s">
        <v>2864</v>
      </c>
      <c r="B16" s="3055"/>
      <c r="C16" s="3055"/>
      <c r="D16" s="3055"/>
      <c r="E16" s="3051" t="e">
        <f t="shared" si="2"/>
        <v>#DIV/0!</v>
      </c>
      <c r="F16" s="3051" t="e">
        <f t="shared" si="3"/>
        <v>#DIV/0!</v>
      </c>
      <c r="G16" s="3052"/>
      <c r="H16" s="3052"/>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36" t="str">
        <f>项目基本情况!K2</f>
        <v>北京市通州区马驹桥镇金桥科技产业基地出让国有建设用地使用权</v>
      </c>
      <c r="B2" s="3337"/>
      <c r="C2" s="3338"/>
      <c r="D2" s="3338"/>
      <c r="E2" s="3338"/>
      <c r="F2" s="3338"/>
      <c r="G2" s="3337"/>
      <c r="H2" s="3337"/>
      <c r="I2" s="3339"/>
      <c r="J2" s="2031"/>
      <c r="K2" s="2030"/>
      <c r="L2" s="2030"/>
      <c r="M2" s="2030"/>
      <c r="N2" s="2030"/>
      <c r="O2" s="2030"/>
      <c r="P2" s="2030"/>
      <c r="Q2" s="2030"/>
      <c r="R2" s="2030"/>
      <c r="S2" s="2030"/>
      <c r="T2" s="2030"/>
      <c r="U2" s="2030"/>
      <c r="V2" s="2030"/>
    </row>
    <row r="3" spans="1:22" ht="14.25">
      <c r="A3" s="3347" t="s">
        <v>298</v>
      </c>
      <c r="B3" s="3348"/>
      <c r="C3" s="3348"/>
      <c r="D3" s="3348"/>
      <c r="E3" s="3348"/>
      <c r="F3" s="3348"/>
      <c r="G3" s="3348"/>
      <c r="H3" s="3348"/>
      <c r="I3" s="3348"/>
      <c r="J3" s="2031"/>
      <c r="K3" s="2030"/>
      <c r="L3" s="2030"/>
      <c r="M3" s="2030"/>
      <c r="N3" s="2030"/>
      <c r="O3" s="2030"/>
      <c r="P3" s="2030"/>
      <c r="Q3" s="2030"/>
      <c r="R3" s="2030"/>
      <c r="S3" s="2030"/>
      <c r="T3" s="2030"/>
      <c r="U3" s="2030"/>
      <c r="V3" s="2030"/>
    </row>
    <row r="4" spans="1:22" ht="14.25">
      <c r="A4" s="258" t="s">
        <v>299</v>
      </c>
      <c r="B4" s="259" t="s">
        <v>300</v>
      </c>
      <c r="C4" s="260" t="s">
        <v>2953</v>
      </c>
      <c r="D4" s="260" t="s">
        <v>3316</v>
      </c>
      <c r="E4" s="3311" t="s">
        <v>301</v>
      </c>
      <c r="F4" s="3353"/>
      <c r="G4" s="3353"/>
      <c r="H4" s="3353"/>
      <c r="I4" s="3312"/>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40" t="s">
        <v>302</v>
      </c>
      <c r="B5" s="3341">
        <v>25</v>
      </c>
      <c r="C5" s="3349">
        <v>3</v>
      </c>
      <c r="D5" s="3352">
        <v>7</v>
      </c>
      <c r="E5" s="261" t="s">
        <v>303</v>
      </c>
      <c r="F5" s="262"/>
      <c r="G5" s="262"/>
      <c r="H5" s="262"/>
      <c r="I5" s="263"/>
      <c r="J5" s="2031"/>
      <c r="K5" s="2030"/>
      <c r="L5" s="2030"/>
      <c r="M5" s="2030"/>
      <c r="N5" s="2030"/>
      <c r="O5" s="2030"/>
      <c r="P5" s="2030"/>
      <c r="Q5" s="2030"/>
      <c r="R5" s="2030"/>
      <c r="S5" s="2030"/>
      <c r="T5" s="2030"/>
      <c r="U5" s="2030"/>
      <c r="V5" s="2030"/>
    </row>
    <row r="6" spans="1:22" ht="14.25">
      <c r="A6" s="3340"/>
      <c r="B6" s="3341"/>
      <c r="C6" s="3350"/>
      <c r="D6" s="3352"/>
      <c r="E6" s="261" t="s">
        <v>304</v>
      </c>
      <c r="F6" s="262"/>
      <c r="G6" s="262"/>
      <c r="H6" s="262"/>
      <c r="I6" s="263"/>
      <c r="J6" s="2031"/>
      <c r="K6" s="2030"/>
      <c r="L6" s="2030"/>
      <c r="M6" s="2030"/>
      <c r="N6" s="2030"/>
      <c r="O6" s="2030"/>
      <c r="P6" s="2030"/>
      <c r="Q6" s="2030"/>
      <c r="R6" s="2030"/>
      <c r="S6" s="2030"/>
      <c r="T6" s="2030"/>
      <c r="U6" s="2030"/>
      <c r="V6" s="2030"/>
    </row>
    <row r="7" spans="1:22" ht="14.25">
      <c r="A7" s="3340"/>
      <c r="B7" s="3341"/>
      <c r="C7" s="3351"/>
      <c r="D7" s="3352"/>
      <c r="E7" s="261" t="s">
        <v>305</v>
      </c>
      <c r="F7" s="262"/>
      <c r="G7" s="262"/>
      <c r="H7" s="262"/>
      <c r="I7" s="263"/>
      <c r="J7" s="2031"/>
      <c r="K7" s="2030"/>
      <c r="L7" s="2030"/>
      <c r="M7" s="2030"/>
      <c r="N7" s="2030"/>
      <c r="O7" s="2030"/>
      <c r="P7" s="2030"/>
      <c r="Q7" s="2030"/>
      <c r="R7" s="2030"/>
      <c r="S7" s="2030"/>
      <c r="T7" s="2030"/>
      <c r="U7" s="2030"/>
      <c r="V7" s="2030"/>
    </row>
    <row r="8" spans="1:22" ht="14.25">
      <c r="A8" s="3340" t="s">
        <v>306</v>
      </c>
      <c r="B8" s="3341">
        <v>15</v>
      </c>
      <c r="C8" s="3349"/>
      <c r="D8" s="3352"/>
      <c r="E8" s="261" t="s">
        <v>307</v>
      </c>
      <c r="F8" s="262"/>
      <c r="G8" s="262"/>
      <c r="H8" s="262"/>
      <c r="I8" s="263"/>
      <c r="J8" s="2031"/>
      <c r="K8" s="2030"/>
      <c r="L8" s="2030"/>
      <c r="M8" s="2030"/>
      <c r="N8" s="2030"/>
      <c r="O8" s="2030"/>
      <c r="P8" s="2030"/>
      <c r="Q8" s="2030"/>
      <c r="R8" s="2030"/>
      <c r="S8" s="2030"/>
      <c r="T8" s="2030"/>
      <c r="U8" s="2030"/>
      <c r="V8" s="2030"/>
    </row>
    <row r="9" spans="1:22" ht="14.25">
      <c r="A9" s="3340"/>
      <c r="B9" s="3341"/>
      <c r="C9" s="3351"/>
      <c r="D9" s="3352"/>
      <c r="E9" s="261" t="s">
        <v>308</v>
      </c>
      <c r="F9" s="262"/>
      <c r="G9" s="262"/>
      <c r="H9" s="262"/>
      <c r="I9" s="263"/>
      <c r="J9" s="2031"/>
      <c r="K9" s="2030"/>
      <c r="L9" s="2030"/>
      <c r="M9" s="2030"/>
      <c r="N9" s="2030"/>
      <c r="O9" s="2030"/>
      <c r="P9" s="2030"/>
      <c r="Q9" s="2030"/>
      <c r="R9" s="2030"/>
      <c r="S9" s="2030"/>
      <c r="T9" s="2030"/>
      <c r="U9" s="2030"/>
      <c r="V9" s="2030"/>
    </row>
    <row r="10" spans="1:22" ht="14.25">
      <c r="A10" s="3340" t="s">
        <v>309</v>
      </c>
      <c r="B10" s="3341">
        <v>15</v>
      </c>
      <c r="C10" s="3349"/>
      <c r="D10" s="3352"/>
      <c r="E10" s="261" t="s">
        <v>310</v>
      </c>
      <c r="F10" s="262"/>
      <c r="G10" s="262"/>
      <c r="H10" s="262"/>
      <c r="I10" s="263"/>
      <c r="J10" s="2031"/>
      <c r="K10" s="2030"/>
      <c r="L10" s="2030"/>
      <c r="M10" s="2030"/>
      <c r="N10" s="2030"/>
      <c r="O10" s="2030"/>
      <c r="P10" s="2030"/>
      <c r="Q10" s="2030"/>
      <c r="R10" s="2030"/>
      <c r="S10" s="2030"/>
      <c r="T10" s="2030"/>
      <c r="U10" s="2030"/>
      <c r="V10" s="2030"/>
    </row>
    <row r="11" spans="1:22" ht="14.25">
      <c r="A11" s="3340"/>
      <c r="B11" s="3341"/>
      <c r="C11" s="3351"/>
      <c r="D11" s="3352"/>
      <c r="E11" s="261" t="s">
        <v>311</v>
      </c>
      <c r="F11" s="262"/>
      <c r="G11" s="262"/>
      <c r="H11" s="262"/>
      <c r="I11" s="263"/>
      <c r="J11" s="2031"/>
      <c r="K11" s="2030"/>
      <c r="L11" s="2030"/>
      <c r="M11" s="2030"/>
      <c r="N11" s="2030"/>
      <c r="O11" s="2030"/>
      <c r="P11" s="2030"/>
      <c r="Q11" s="2030"/>
      <c r="R11" s="2030"/>
      <c r="S11" s="2030"/>
      <c r="T11" s="2030"/>
      <c r="U11" s="2030"/>
      <c r="V11" s="2030"/>
    </row>
    <row r="12" spans="1:22" ht="14.25">
      <c r="A12" s="3340" t="s">
        <v>312</v>
      </c>
      <c r="B12" s="3341">
        <v>15</v>
      </c>
      <c r="C12" s="3349"/>
      <c r="D12" s="3352"/>
      <c r="E12" s="261" t="s">
        <v>313</v>
      </c>
      <c r="F12" s="262"/>
      <c r="G12" s="262"/>
      <c r="H12" s="262"/>
      <c r="I12" s="263"/>
      <c r="J12" s="2031"/>
      <c r="K12" s="2030"/>
      <c r="L12" s="2030"/>
      <c r="M12" s="2030"/>
      <c r="N12" s="2030"/>
      <c r="O12" s="2030"/>
      <c r="P12" s="2030"/>
      <c r="Q12" s="2030"/>
      <c r="R12" s="2030"/>
      <c r="S12" s="2030"/>
      <c r="T12" s="2030"/>
      <c r="U12" s="2030"/>
      <c r="V12" s="2030"/>
    </row>
    <row r="13" spans="1:22" ht="14.25">
      <c r="A13" s="3340"/>
      <c r="B13" s="3341"/>
      <c r="C13" s="3351"/>
      <c r="D13" s="3352"/>
      <c r="E13" s="261" t="s">
        <v>314</v>
      </c>
      <c r="F13" s="262"/>
      <c r="G13" s="262"/>
      <c r="H13" s="262"/>
      <c r="I13" s="263"/>
      <c r="J13" s="2031"/>
      <c r="K13" s="2030"/>
      <c r="L13" s="2030"/>
      <c r="M13" s="2030"/>
      <c r="N13" s="2030"/>
      <c r="O13" s="2030"/>
      <c r="P13" s="2030"/>
      <c r="Q13" s="2030"/>
      <c r="R13" s="2030"/>
      <c r="S13" s="2030"/>
      <c r="T13" s="2030"/>
      <c r="U13" s="2030"/>
      <c r="V13" s="2030"/>
    </row>
    <row r="14" spans="1:22" ht="14.25">
      <c r="A14" s="3340" t="s">
        <v>315</v>
      </c>
      <c r="B14" s="3341">
        <v>30</v>
      </c>
      <c r="C14" s="3349"/>
      <c r="D14" s="3352"/>
      <c r="E14" s="261" t="s">
        <v>316</v>
      </c>
      <c r="F14" s="262"/>
      <c r="G14" s="262"/>
      <c r="H14" s="262"/>
      <c r="I14" s="263"/>
      <c r="J14" s="2031"/>
      <c r="K14" s="2030"/>
      <c r="L14" s="2030"/>
      <c r="M14" s="2030"/>
      <c r="N14" s="2030"/>
      <c r="O14" s="2030"/>
      <c r="P14" s="2030"/>
      <c r="Q14" s="2030"/>
      <c r="R14" s="2030"/>
      <c r="S14" s="2030"/>
      <c r="T14" s="2030"/>
      <c r="U14" s="2030"/>
      <c r="V14" s="2030"/>
    </row>
    <row r="15" spans="1:22" ht="14.25">
      <c r="A15" s="3340"/>
      <c r="B15" s="3341"/>
      <c r="C15" s="3350"/>
      <c r="D15" s="3352"/>
      <c r="E15" s="261" t="s">
        <v>317</v>
      </c>
      <c r="F15" s="262"/>
      <c r="G15" s="262"/>
      <c r="H15" s="262"/>
      <c r="I15" s="263"/>
      <c r="J15" s="2031"/>
      <c r="K15" s="2030"/>
      <c r="L15" s="2030"/>
      <c r="M15" s="2030"/>
      <c r="N15" s="2030"/>
      <c r="O15" s="2030"/>
      <c r="P15" s="2030"/>
      <c r="Q15" s="2030"/>
      <c r="R15" s="2030"/>
      <c r="S15" s="2030"/>
      <c r="T15" s="2030"/>
      <c r="U15" s="2030"/>
      <c r="V15" s="2030"/>
    </row>
    <row r="16" spans="1:22" ht="14.25">
      <c r="A16" s="3340"/>
      <c r="B16" s="3341"/>
      <c r="C16" s="3351"/>
      <c r="D16" s="335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9915</v>
      </c>
      <c r="D19" s="271">
        <f ca="1">SUMIF(INDIRECT("'"&amp;D4&amp;"'"&amp;"!A:A"),结果表!B19,INDIRECT("'"&amp;D4&amp;"'"&amp;"!B:B"))</f>
        <v>12708</v>
      </c>
      <c r="E19" s="268" t="s">
        <v>323</v>
      </c>
      <c r="F19" s="269" t="s">
        <v>322</v>
      </c>
      <c r="G19" s="272">
        <f ca="1">ROUND(C19*$C$18+D19*$D$18,0)</f>
        <v>11870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1227</v>
      </c>
      <c r="D20" s="277">
        <f ca="1">SUMIF(INDIRECT("'"&amp;D4&amp;"'"&amp;"!A:A"),结果表!B20,INDIRECT("'"&amp;D4&amp;"'"&amp;"!B:B"))</f>
        <v>1573</v>
      </c>
      <c r="E20" s="274"/>
      <c r="F20" s="275" t="s">
        <v>325</v>
      </c>
      <c r="G20" s="278">
        <f ca="1">ROUND(C20*$C$18+D20*$D$18,0)</f>
        <v>1469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1142</v>
      </c>
      <c r="D21" s="151">
        <f ca="1">SUMIF(INDIRECT("'"&amp;D4&amp;"'"&amp;"!A:A"),结果表!B21,INDIRECT("'"&amp;D4&amp;"'"&amp;"!B:B"))</f>
        <v>1464</v>
      </c>
      <c r="E21" s="274"/>
      <c r="F21" s="280" t="s">
        <v>327</v>
      </c>
      <c r="G21" s="282">
        <f ca="1">ROUND(C21*$C$18+D21*$D$18,0)</f>
        <v>1367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0.28169440242057497</v>
      </c>
      <c r="E22" s="284"/>
      <c r="F22" s="285"/>
      <c r="G22" s="286">
        <f ca="1">ROUND(G19/('数据-汇总表'!D3/666.67),0)</f>
        <v>91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3"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55"/>
      <c r="B25" s="1321" t="s">
        <v>331</v>
      </c>
      <c r="C25" s="290">
        <f>IF(B30=0,0,C30)</f>
        <v>0</v>
      </c>
      <c r="D25" s="291"/>
      <c r="E25" s="311"/>
      <c r="F25" s="311"/>
      <c r="G25" s="311"/>
      <c r="H25" s="311"/>
      <c r="I25" s="311"/>
      <c r="J25" s="2030"/>
      <c r="K25" s="1255" t="str">
        <f ca="1">项目基本情况!B16&amp;"国有建设用地使用权价格："&amp;O38&amp;"万元"</f>
        <v>出让国有建设用地使用权价格：11870万元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大写金额：人民币壹亿壹仟捌佰柒拾万元整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单位面积地价：1367元/平方米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楼面地价：1469元/平方米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29" t="s">
        <v>336</v>
      </c>
      <c r="B30" s="309"/>
      <c r="C30" s="309"/>
      <c r="D30" s="310"/>
      <c r="E30" s="3130" t="s">
        <v>2970</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11870</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1469</v>
      </c>
      <c r="D33" s="1386" t="s">
        <v>1692</v>
      </c>
      <c r="E33" s="3313"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1367</v>
      </c>
      <c r="D34" s="1388" t="s">
        <v>1692</v>
      </c>
      <c r="E34" s="3314"/>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91</v>
      </c>
      <c r="D35" s="1391" t="s">
        <v>1694</v>
      </c>
      <c r="E35" s="3315"/>
      <c r="F35" s="301" t="s">
        <v>342</v>
      </c>
      <c r="G35" s="982"/>
      <c r="H35" s="981" t="s">
        <v>343</v>
      </c>
      <c r="I35" s="311"/>
      <c r="J35" s="2030"/>
      <c r="K35" s="3319" t="s">
        <v>350</v>
      </c>
      <c r="L35" s="3319" t="s">
        <v>351</v>
      </c>
      <c r="M35" s="1264" t="s">
        <v>352</v>
      </c>
      <c r="N35" s="3319" t="s">
        <v>353</v>
      </c>
      <c r="O35" s="3319" t="s">
        <v>354</v>
      </c>
      <c r="P35" s="2030"/>
      <c r="V35" s="2030"/>
    </row>
    <row r="36" spans="1:26" ht="16.5" customHeight="1">
      <c r="A36" s="303" t="s">
        <v>344</v>
      </c>
      <c r="B36" s="304" t="s">
        <v>333</v>
      </c>
      <c r="C36" s="305" t="s">
        <v>345</v>
      </c>
      <c r="D36" s="305" t="s">
        <v>346</v>
      </c>
      <c r="E36" s="306" t="s">
        <v>347</v>
      </c>
      <c r="F36" s="311"/>
      <c r="G36" s="311"/>
      <c r="H36" s="311"/>
      <c r="I36" s="311"/>
      <c r="J36" s="2032"/>
      <c r="K36" s="3320"/>
      <c r="L36" s="3320"/>
      <c r="M36" s="1266" t="s">
        <v>355</v>
      </c>
      <c r="N36" s="3320"/>
      <c r="O36" s="3320"/>
      <c r="P36" s="2030"/>
      <c r="V36" s="2030"/>
    </row>
    <row r="37" spans="1:26" ht="16.5" customHeight="1" thickBot="1">
      <c r="A37" s="1260" t="s">
        <v>348</v>
      </c>
      <c r="B37" s="307"/>
      <c r="C37" s="294"/>
      <c r="D37" s="294"/>
      <c r="E37" s="295"/>
      <c r="F37" s="311"/>
      <c r="G37" s="311"/>
      <c r="H37" s="311"/>
      <c r="I37" s="311"/>
      <c r="J37" s="2032"/>
      <c r="K37" s="3321"/>
      <c r="L37" s="3321"/>
      <c r="M37" s="1267"/>
      <c r="N37" s="3321"/>
      <c r="O37" s="3321"/>
      <c r="P37" s="2030"/>
      <c r="V37" s="2030"/>
    </row>
    <row r="38" spans="1:26" ht="16.5" customHeight="1" thickBot="1">
      <c r="A38" s="1260" t="s">
        <v>349</v>
      </c>
      <c r="B38" s="307"/>
      <c r="C38" s="294"/>
      <c r="D38" s="294"/>
      <c r="E38" s="295"/>
      <c r="F38" s="311"/>
      <c r="G38" s="311"/>
      <c r="H38" s="311"/>
      <c r="I38" s="311"/>
      <c r="J38" s="2032"/>
      <c r="K38" s="1268">
        <f>'数据-汇总表'!D3</f>
        <v>86802.49</v>
      </c>
      <c r="L38" s="1269">
        <f>'数据-汇总表'!E3</f>
        <v>80808</v>
      </c>
      <c r="M38" s="1269">
        <f ca="1">C34</f>
        <v>1367</v>
      </c>
      <c r="N38" s="1269">
        <f ca="1">C33</f>
        <v>1469</v>
      </c>
      <c r="O38" s="1270">
        <f ca="1">C32</f>
        <v>11870</v>
      </c>
      <c r="P38" s="2030"/>
      <c r="V38" s="2030"/>
    </row>
    <row r="39" spans="1:26" ht="16.5" customHeight="1" thickBot="1">
      <c r="A39" s="1265"/>
      <c r="B39" s="308"/>
      <c r="C39" s="309"/>
      <c r="D39" s="309"/>
      <c r="E39" s="310"/>
      <c r="F39" s="311"/>
      <c r="G39" s="311"/>
      <c r="H39" s="311"/>
      <c r="I39" s="311"/>
      <c r="J39" s="2032"/>
      <c r="K39" s="3296" t="str">
        <f>MID(A44,3,LEN(A44)-2)</f>
        <v/>
      </c>
      <c r="L39" s="3297"/>
      <c r="M39" s="3297"/>
      <c r="N39" s="3298"/>
      <c r="O39" s="1393" t="str">
        <f>C44</f>
        <v>——</v>
      </c>
      <c r="P39" s="2030"/>
      <c r="V39" s="2030"/>
    </row>
    <row r="40" spans="1:26" ht="19.5" thickBot="1">
      <c r="A40" s="104" t="s">
        <v>873</v>
      </c>
      <c r="B40" s="311"/>
      <c r="C40" s="311"/>
      <c r="D40" s="311"/>
      <c r="E40" s="311"/>
      <c r="F40" s="311"/>
      <c r="G40" s="311"/>
      <c r="H40" s="311"/>
      <c r="I40" s="311"/>
      <c r="J40" s="2032"/>
      <c r="K40" s="3296" t="str">
        <f t="shared" ref="K40:K41" si="0">MID(A45,3,LEN(A45)-2)</f>
        <v/>
      </c>
      <c r="L40" s="3297"/>
      <c r="M40" s="3297"/>
      <c r="N40" s="3298"/>
      <c r="O40" s="1393" t="str">
        <f>C45</f>
        <v>——</v>
      </c>
      <c r="P40" s="2030"/>
      <c r="V40" s="2030"/>
    </row>
    <row r="41" spans="1:26" ht="16.5" thickBot="1">
      <c r="A41" s="312" t="s">
        <v>356</v>
      </c>
      <c r="B41" s="313"/>
      <c r="C41" s="314" t="s">
        <v>357</v>
      </c>
      <c r="D41" s="315" t="s">
        <v>358</v>
      </c>
      <c r="E41" s="315" t="s">
        <v>359</v>
      </c>
      <c r="F41" s="316" t="s">
        <v>360</v>
      </c>
      <c r="G41" s="311"/>
      <c r="H41" s="311"/>
      <c r="I41" s="311"/>
      <c r="J41" s="2032"/>
      <c r="K41" s="3296" t="str">
        <f t="shared" si="0"/>
        <v/>
      </c>
      <c r="L41" s="3297"/>
      <c r="M41" s="3297"/>
      <c r="N41" s="3298"/>
      <c r="O41" s="1393" t="str">
        <f>C46</f>
        <v>——</v>
      </c>
      <c r="P41" s="2030"/>
      <c r="V41" s="2030"/>
    </row>
    <row r="42" spans="1:26" ht="29.25">
      <c r="A42" s="3356" t="s">
        <v>2070</v>
      </c>
      <c r="B42" s="3357"/>
      <c r="C42" s="264">
        <f ca="1">C32</f>
        <v>11870</v>
      </c>
      <c r="D42" s="317">
        <f ca="1">C33</f>
        <v>1469</v>
      </c>
      <c r="E42" s="317">
        <f ca="1">C34</f>
        <v>1367</v>
      </c>
      <c r="F42" s="318">
        <f ca="1">C35</f>
        <v>91</v>
      </c>
      <c r="G42" s="311"/>
      <c r="H42" s="311"/>
      <c r="I42" s="319"/>
      <c r="J42" s="2032"/>
      <c r="K42" s="1271" t="s">
        <v>361</v>
      </c>
      <c r="L42" s="2049" t="s">
        <v>362</v>
      </c>
      <c r="M42" s="1272" t="s">
        <v>363</v>
      </c>
      <c r="N42" s="2050" t="s">
        <v>364</v>
      </c>
      <c r="O42" s="2051" t="s">
        <v>365</v>
      </c>
      <c r="P42" s="2030"/>
      <c r="V42" s="2030"/>
    </row>
    <row r="43" spans="1:26" ht="18">
      <c r="A43" s="3366" t="s">
        <v>2733</v>
      </c>
      <c r="B43" s="3367"/>
      <c r="C43" s="264">
        <f>IF(H33="正常操作",G33+G34+G35,G34+G35)</f>
        <v>0</v>
      </c>
      <c r="D43" s="317" t="s">
        <v>43</v>
      </c>
      <c r="E43" s="317" t="s">
        <v>44</v>
      </c>
      <c r="F43" s="318" t="s">
        <v>44</v>
      </c>
      <c r="G43" s="2868" t="s">
        <v>952</v>
      </c>
      <c r="H43" s="311"/>
      <c r="I43" s="319"/>
      <c r="J43" s="2032"/>
      <c r="K43" s="1273" t="str">
        <f>C4</f>
        <v>基准地价</v>
      </c>
      <c r="L43" s="1274">
        <f ca="1">IF(L42="估价结果/万元",C19,C20)</f>
        <v>9915</v>
      </c>
      <c r="M43" s="1275">
        <f>C18</f>
        <v>0.3</v>
      </c>
      <c r="N43" s="1276">
        <f ca="1">IF(N42="测算结果/万元",G19,G20)</f>
        <v>11870</v>
      </c>
      <c r="O43" s="1277">
        <f ca="1">IF(O42="最终结果/万元",C32,C33)</f>
        <v>11870</v>
      </c>
      <c r="P43" s="2030"/>
      <c r="V43" s="2030"/>
    </row>
    <row r="44" spans="1:26" ht="18.75" thickBot="1">
      <c r="A44" s="3356" t="str">
        <f>IF(OR(项目基本情况!E8="抵押价格",项目基本情况!E8="已注销及未注销"),"3.抵押价格","——")</f>
        <v>——</v>
      </c>
      <c r="B44" s="3357"/>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比较法-工业</v>
      </c>
      <c r="L44" s="1279">
        <f ca="1">IF(L42="估价结果/万元",D19,D20)</f>
        <v>12708</v>
      </c>
      <c r="M44" s="1280">
        <f>D18</f>
        <v>0.7</v>
      </c>
      <c r="N44" s="1281"/>
      <c r="O44" s="1282"/>
      <c r="P44" s="2030"/>
      <c r="V44" s="2030"/>
    </row>
    <row r="45" spans="1:26" ht="15">
      <c r="A45" s="3361" t="str">
        <f>IF(项目基本情况!E8="已注销及未注销","4.抵押担保权已注销时的抵押价格",IF(项目基本情况!E8="已注销","3.抵押担保权已注销时的抵押价格","——"))</f>
        <v>——</v>
      </c>
      <c r="B45" s="336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58" t="str">
        <f>IF(项目基本情况!E9="抵押净值",IF(A45="——","4.抵押净值","5.抵押净值"),"——")</f>
        <v>——</v>
      </c>
      <c r="B46" s="335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4" t="s">
        <v>374</v>
      </c>
      <c r="B63" s="3325"/>
      <c r="C63" s="3326"/>
      <c r="D63" s="341">
        <f ca="1">ROUND(C42*F63,0)</f>
        <v>7122</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63" t="s">
        <v>378</v>
      </c>
      <c r="B64" s="3364"/>
      <c r="C64" s="3364"/>
      <c r="D64" s="3364"/>
      <c r="E64" s="3364"/>
      <c r="F64" s="3364"/>
      <c r="G64" s="3365"/>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60" t="s">
        <v>386</v>
      </c>
      <c r="B66" s="3331"/>
      <c r="C66" s="3331"/>
      <c r="D66" s="261">
        <f ca="1">IF(H66="情况1",0,IF(H66="情况2",D70,IF(H66="情况3",D71,IF(H66="情况4",D72))))</f>
        <v>373</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300" t="s">
        <v>385</v>
      </c>
      <c r="M66" s="3301"/>
      <c r="N66" s="2460"/>
      <c r="O66" s="2461"/>
      <c r="P66" s="2462"/>
      <c r="Q66" s="2030"/>
      <c r="R66" s="2030"/>
      <c r="S66" s="2030"/>
      <c r="T66" s="2030"/>
      <c r="U66" s="2030"/>
      <c r="V66" s="2030"/>
    </row>
    <row r="67" spans="1:22" ht="25.5" customHeight="1">
      <c r="A67" s="352" t="s">
        <v>390</v>
      </c>
      <c r="B67" s="3343" t="s">
        <v>391</v>
      </c>
      <c r="C67" s="3343"/>
      <c r="D67" s="353">
        <v>0</v>
      </c>
      <c r="E67" s="41" t="s">
        <v>392</v>
      </c>
      <c r="F67" s="62" t="s">
        <v>21</v>
      </c>
      <c r="G67" s="3327"/>
      <c r="H67" s="311"/>
      <c r="I67" s="1292"/>
      <c r="J67" s="2037"/>
      <c r="K67" s="1978">
        <v>2</v>
      </c>
      <c r="L67" s="3299" t="s">
        <v>389</v>
      </c>
      <c r="M67" s="3299"/>
      <c r="N67" s="1325">
        <f>'数据-取费表'!B2</f>
        <v>43290</v>
      </c>
      <c r="O67" s="1325"/>
      <c r="P67" s="1325"/>
      <c r="Q67" s="2030"/>
      <c r="R67" s="2030"/>
      <c r="S67" s="2030"/>
      <c r="T67" s="2030"/>
      <c r="U67" s="2030"/>
      <c r="V67" s="2030"/>
    </row>
    <row r="68" spans="1:22" ht="25.5" customHeight="1">
      <c r="A68" s="354"/>
      <c r="B68" s="3343" t="s">
        <v>394</v>
      </c>
      <c r="C68" s="3343"/>
      <c r="D68" s="355"/>
      <c r="E68" s="77"/>
      <c r="F68" s="356"/>
      <c r="G68" s="3328"/>
      <c r="H68" s="311"/>
      <c r="I68" s="1292"/>
      <c r="J68" s="2037"/>
      <c r="K68" s="1978">
        <v>3</v>
      </c>
      <c r="L68" s="3299" t="s">
        <v>393</v>
      </c>
      <c r="M68" s="3299"/>
      <c r="N68" s="1293">
        <f ca="1">C42</f>
        <v>11870</v>
      </c>
      <c r="O68" s="1293"/>
      <c r="P68" s="1293"/>
      <c r="Q68" s="2030"/>
      <c r="R68" s="2030"/>
      <c r="S68" s="2030"/>
      <c r="T68" s="2030"/>
      <c r="U68" s="2030"/>
      <c r="V68" s="2030"/>
    </row>
    <row r="69" spans="1:22" ht="12" customHeight="1">
      <c r="A69" s="357"/>
      <c r="B69" s="3343" t="s">
        <v>395</v>
      </c>
      <c r="C69" s="3343"/>
      <c r="D69" s="358"/>
      <c r="E69" s="73"/>
      <c r="F69" s="356"/>
      <c r="G69" s="3329"/>
      <c r="H69" s="311"/>
      <c r="I69" s="1292"/>
      <c r="J69" s="2037"/>
      <c r="K69" s="1294">
        <v>4</v>
      </c>
      <c r="L69" s="3305" t="s">
        <v>2885</v>
      </c>
      <c r="M69" s="3306"/>
      <c r="N69" s="1295" t="str">
        <f>C44</f>
        <v>——</v>
      </c>
      <c r="O69" s="1295"/>
      <c r="P69" s="1295"/>
      <c r="Q69" s="2030"/>
      <c r="R69" s="2030"/>
      <c r="S69" s="2030"/>
      <c r="T69" s="2030"/>
      <c r="U69" s="2030"/>
      <c r="V69" s="2030"/>
    </row>
    <row r="70" spans="1:22" ht="24" customHeight="1">
      <c r="A70" s="359" t="s">
        <v>396</v>
      </c>
      <c r="B70" s="3343" t="s">
        <v>397</v>
      </c>
      <c r="C70" s="3343"/>
      <c r="D70" s="358">
        <f ca="1">ROUND(D63*'数据-取费表'!B41/(1+'数据-取费表'!C42),0)</f>
        <v>373</v>
      </c>
      <c r="E70" s="17" t="s">
        <v>398</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404</v>
      </c>
      <c r="B71" s="3342" t="s">
        <v>405</v>
      </c>
      <c r="C71" s="3354"/>
      <c r="D71" s="358">
        <f ca="1">ROUND(D63*'数据-取费表'!B41/(1+'数据-取费表'!C42),0)</f>
        <v>373</v>
      </c>
      <c r="E71" s="17" t="s">
        <v>398</v>
      </c>
      <c r="F71" s="360">
        <f>'数据-取费表'!B41</f>
        <v>5.5000000000000007E-2</v>
      </c>
      <c r="G71" s="361"/>
      <c r="H71" s="311"/>
      <c r="I71" s="1292"/>
      <c r="J71" s="2037"/>
      <c r="K71" s="3063" t="s">
        <v>399</v>
      </c>
      <c r="L71" s="3307" t="s">
        <v>400</v>
      </c>
      <c r="M71" s="3307"/>
      <c r="N71" s="3063" t="s">
        <v>401</v>
      </c>
      <c r="O71" s="3063" t="s">
        <v>402</v>
      </c>
      <c r="P71" s="3063" t="s">
        <v>403</v>
      </c>
      <c r="Q71" s="2030"/>
      <c r="R71" s="2030"/>
      <c r="S71" s="2030"/>
      <c r="T71" s="2030"/>
      <c r="U71" s="2030"/>
      <c r="V71" s="2030"/>
    </row>
    <row r="72" spans="1:22" ht="12" customHeight="1">
      <c r="A72" s="359" t="s">
        <v>407</v>
      </c>
      <c r="B72" s="3342" t="s">
        <v>408</v>
      </c>
      <c r="C72" s="3354"/>
      <c r="D72" s="358">
        <f ca="1">C86</f>
        <v>263</v>
      </c>
      <c r="E72" s="73" t="s">
        <v>409</v>
      </c>
      <c r="F72" s="360">
        <f>'数据-取费表'!B41</f>
        <v>5.5000000000000007E-2</v>
      </c>
      <c r="G72" s="361"/>
      <c r="H72" s="1298"/>
      <c r="I72" s="1292"/>
      <c r="J72" s="2037"/>
      <c r="K72" s="1978">
        <v>1</v>
      </c>
      <c r="L72" s="3304" t="s">
        <v>406</v>
      </c>
      <c r="M72" s="3304"/>
      <c r="N72" s="1296">
        <f ca="1">D66</f>
        <v>373</v>
      </c>
      <c r="O72" s="1861" t="str">
        <f>E66</f>
        <v>销售额×税（费）率</v>
      </c>
      <c r="P72" s="1297">
        <f>F66</f>
        <v>5.5000000000000007E-2</v>
      </c>
      <c r="Q72" s="2030"/>
      <c r="R72" s="2030"/>
      <c r="S72" s="2030"/>
      <c r="T72" s="2030"/>
      <c r="U72" s="2030"/>
      <c r="V72" s="2030"/>
    </row>
    <row r="73" spans="1:22" ht="24" customHeight="1">
      <c r="A73" s="3330" t="s">
        <v>411</v>
      </c>
      <c r="B73" s="3331"/>
      <c r="C73" s="3331"/>
      <c r="D73" s="362">
        <f>IF(H73="个人住宅",0,ROUND(D63*I73,0))</f>
        <v>0</v>
      </c>
      <c r="E73" s="17" t="s">
        <v>412</v>
      </c>
      <c r="F73" s="360" t="str">
        <f>IF(H73="正常",I73,"免征")</f>
        <v>免征</v>
      </c>
      <c r="G73" s="361"/>
      <c r="H73" s="191" t="s">
        <v>2458</v>
      </c>
      <c r="I73" s="360">
        <f>'数据-取费表'!B49</f>
        <v>5.0000000000000001E-4</v>
      </c>
      <c r="J73" s="2037"/>
      <c r="K73" s="1978">
        <v>2</v>
      </c>
      <c r="L73" s="3304" t="s">
        <v>410</v>
      </c>
      <c r="M73" s="3304"/>
      <c r="N73" s="1296">
        <f t="shared" ref="N73:P74" si="1">D73</f>
        <v>0</v>
      </c>
      <c r="O73" s="1861" t="str">
        <f t="shared" si="1"/>
        <v>销售额×税（费）率</v>
      </c>
      <c r="P73" s="1297" t="str">
        <f t="shared" si="1"/>
        <v>免征</v>
      </c>
      <c r="Q73" s="2030"/>
      <c r="R73" s="2030"/>
      <c r="S73" s="2030"/>
      <c r="T73" s="2030"/>
      <c r="U73" s="2030"/>
      <c r="V73" s="2030"/>
    </row>
    <row r="74" spans="1:22" ht="24.75">
      <c r="A74" s="3330" t="s">
        <v>415</v>
      </c>
      <c r="B74" s="3331"/>
      <c r="C74" s="3331"/>
      <c r="D74" s="362">
        <f ca="1">IF(H74="个人住宅",D75,D76)</f>
        <v>3382</v>
      </c>
      <c r="E74" s="17" t="s">
        <v>416</v>
      </c>
      <c r="F74" s="360" t="str">
        <f>IF(H74="正常",F76,"免征")</f>
        <v>——</v>
      </c>
      <c r="G74" s="983" t="s">
        <v>417</v>
      </c>
      <c r="H74" s="363" t="s">
        <v>413</v>
      </c>
      <c r="I74" s="42"/>
      <c r="J74" s="2037"/>
      <c r="K74" s="1978">
        <v>3</v>
      </c>
      <c r="L74" s="3304" t="s">
        <v>414</v>
      </c>
      <c r="M74" s="3304"/>
      <c r="N74" s="1296">
        <f t="shared" ca="1" si="1"/>
        <v>3382</v>
      </c>
      <c r="O74" s="1861" t="str">
        <f t="shared" si="1"/>
        <v>增值额×税（费）率</v>
      </c>
      <c r="P74" s="1299" t="str">
        <f t="shared" si="1"/>
        <v>——</v>
      </c>
      <c r="Q74" s="2030"/>
      <c r="R74" s="2030"/>
      <c r="S74" s="2030"/>
      <c r="T74" s="2030"/>
      <c r="U74" s="2030"/>
      <c r="V74" s="2030"/>
    </row>
    <row r="75" spans="1:22" ht="24">
      <c r="A75" s="359" t="s">
        <v>418</v>
      </c>
      <c r="B75" s="3311" t="s">
        <v>419</v>
      </c>
      <c r="C75" s="3312"/>
      <c r="D75" s="364">
        <v>0</v>
      </c>
      <c r="E75" s="41" t="s">
        <v>420</v>
      </c>
      <c r="F75" s="365"/>
      <c r="G75" s="361"/>
      <c r="H75" s="42"/>
      <c r="I75" s="42"/>
      <c r="J75" s="2037"/>
      <c r="K75" s="3056">
        <f>IF(H77="非个人房产","",4)</f>
        <v>4</v>
      </c>
      <c r="L75" s="3304" t="str">
        <f>IF(H77="非个人房产","——","个人所得税")</f>
        <v>个人所得税</v>
      </c>
      <c r="M75" s="3304"/>
      <c r="N75" s="1300">
        <f ca="1">D77</f>
        <v>71</v>
      </c>
      <c r="O75" s="1874" t="str">
        <f>E77</f>
        <v>销售额×税（费）率</v>
      </c>
      <c r="P75" s="1301">
        <f>F77</f>
        <v>0.01</v>
      </c>
      <c r="Q75" s="2030"/>
      <c r="R75" s="2030"/>
      <c r="S75" s="2030"/>
      <c r="T75" s="2030"/>
      <c r="U75" s="2030"/>
      <c r="V75" s="2030"/>
    </row>
    <row r="76" spans="1:22" ht="24.75">
      <c r="A76" s="359" t="s">
        <v>396</v>
      </c>
      <c r="B76" s="3311" t="s">
        <v>422</v>
      </c>
      <c r="C76" s="3353"/>
      <c r="D76" s="362">
        <f ca="1">IF(H76="转让取得",C99,C115)</f>
        <v>3382</v>
      </c>
      <c r="E76" s="17" t="s">
        <v>423</v>
      </c>
      <c r="F76" s="53" t="s">
        <v>21</v>
      </c>
      <c r="G76" s="361"/>
      <c r="H76" s="363" t="s">
        <v>424</v>
      </c>
      <c r="I76" s="42"/>
      <c r="J76" s="2037"/>
      <c r="K76" s="3056" t="str">
        <f>IF(项目基本情况!K6="上海银行",IF(K75="",4,K75+1),"")</f>
        <v/>
      </c>
      <c r="L76" s="3292" t="str">
        <f>IF(项目基本情况!K6="上海银行","其他处置费用","")</f>
        <v/>
      </c>
      <c r="M76" s="3293"/>
      <c r="N76" s="1296" t="str">
        <f>IF(项目基本情况!K6="上海银行",N89,"")</f>
        <v/>
      </c>
      <c r="O76" s="3294" t="str">
        <f>IF(项目基本情况!K6="上海银行","包含处置中涉及的律师、诉讼、拍卖、评估等费用","")</f>
        <v/>
      </c>
      <c r="P76" s="3295"/>
      <c r="Q76" s="2030"/>
      <c r="R76" s="2030"/>
      <c r="S76" s="2030"/>
      <c r="T76" s="2030"/>
      <c r="U76" s="2030"/>
      <c r="V76" s="2030"/>
    </row>
    <row r="77" spans="1:22" ht="26.25" thickBot="1">
      <c r="A77" s="3322" t="s">
        <v>426</v>
      </c>
      <c r="B77" s="3323"/>
      <c r="C77" s="3323"/>
      <c r="D77" s="366">
        <f ca="1">IF(H77="非个人房产","——",IF(H77="个人住宅",0,ROUND(D63*I77,0)))</f>
        <v>71</v>
      </c>
      <c r="E77" s="367" t="str">
        <f>IF(H77="非个人房产","——","销售额×税（费）率")</f>
        <v>销售额×税（费）率</v>
      </c>
      <c r="F77" s="368">
        <f>IF(H77="非个人房产","——",IF(H77="个人住宅","免征",I77))</f>
        <v>0.01</v>
      </c>
      <c r="G77" s="984" t="s">
        <v>417</v>
      </c>
      <c r="H77" s="363" t="s">
        <v>2886</v>
      </c>
      <c r="I77" s="369">
        <v>0.01</v>
      </c>
      <c r="J77" s="2037"/>
      <c r="K77" s="3318">
        <f>IF(AND(K75="",K76=""),4,IF(项目基本情况!K6="上海银行",K76+1,K75+1))</f>
        <v>5</v>
      </c>
      <c r="L77" s="3304" t="s">
        <v>2887</v>
      </c>
      <c r="M77" s="3062" t="s">
        <v>421</v>
      </c>
      <c r="N77" s="1302"/>
      <c r="O77" s="1303">
        <f ca="1">SUMIF(N72:N76,"&lt;9e307")</f>
        <v>3826</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318"/>
      <c r="L78" s="3304"/>
      <c r="M78" s="3062" t="s">
        <v>425</v>
      </c>
      <c r="N78" s="1302"/>
      <c r="O78" s="1303" t="str">
        <f ca="1">NUMBERSTRING(INT(O77*10000),2)&amp;"元整"</f>
        <v>叁仟捌佰贰拾陆万元整</v>
      </c>
      <c r="P78" s="1304"/>
      <c r="Q78" s="2030"/>
      <c r="R78" s="2030"/>
      <c r="S78" s="2030"/>
      <c r="T78" s="2030"/>
      <c r="U78" s="2030"/>
      <c r="V78" s="2030"/>
    </row>
    <row r="79" spans="1:22" ht="13.5" thickBot="1">
      <c r="A79" s="3308" t="s">
        <v>427</v>
      </c>
      <c r="B79" s="3308"/>
      <c r="C79" s="3308"/>
      <c r="D79" s="3308"/>
      <c r="E79" s="3308"/>
      <c r="F79" s="42"/>
      <c r="G79" s="42"/>
      <c r="H79" s="1003"/>
      <c r="I79" s="311"/>
      <c r="J79" s="2037"/>
      <c r="K79" s="3302">
        <f>K77+1</f>
        <v>6</v>
      </c>
      <c r="L79" s="3304" t="s">
        <v>2888</v>
      </c>
      <c r="M79" s="3062" t="s">
        <v>421</v>
      </c>
      <c r="N79" s="1302"/>
      <c r="O79" s="1303" t="e">
        <f ca="1">N69-O77</f>
        <v>#VALUE!</v>
      </c>
      <c r="P79" s="1304"/>
      <c r="Q79" s="2030"/>
      <c r="R79" s="2030"/>
      <c r="S79" s="2030"/>
      <c r="T79" s="2030"/>
      <c r="U79" s="2030"/>
      <c r="V79" s="2030"/>
    </row>
    <row r="80" spans="1:22" ht="12.75">
      <c r="A80" s="3309" t="s">
        <v>428</v>
      </c>
      <c r="B80" s="3310"/>
      <c r="C80" s="994"/>
      <c r="D80" s="994" t="s">
        <v>429</v>
      </c>
      <c r="E80" s="370" t="s">
        <v>430</v>
      </c>
      <c r="F80" s="42"/>
      <c r="G80" s="42"/>
      <c r="H80" s="1003"/>
      <c r="I80" s="311"/>
      <c r="J80" s="2030"/>
      <c r="K80" s="3303"/>
      <c r="L80" s="3304"/>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6783</v>
      </c>
      <c r="D81" s="373"/>
      <c r="E81" s="374"/>
      <c r="F81" s="42"/>
      <c r="G81" s="42"/>
      <c r="H81" s="1003"/>
      <c r="I81" s="311"/>
      <c r="J81" s="2030"/>
      <c r="K81" s="3056">
        <f>K79+1</f>
        <v>7</v>
      </c>
      <c r="L81" s="3316" t="s">
        <v>2889</v>
      </c>
      <c r="M81" s="3317"/>
      <c r="N81" s="1306"/>
      <c r="O81" s="1307" t="e">
        <f ca="1">ROUND(O79*10000/'数据-汇总表'!E3,0)</f>
        <v>#VALUE!</v>
      </c>
      <c r="P81" s="1308"/>
      <c r="Q81" s="2030"/>
      <c r="R81" s="2030"/>
      <c r="S81" s="2030"/>
      <c r="T81" s="2030"/>
      <c r="U81" s="2030"/>
      <c r="V81" s="2030"/>
    </row>
    <row r="82" spans="1:26" ht="13.5" thickTop="1">
      <c r="A82" s="375" t="s">
        <v>1825</v>
      </c>
      <c r="B82" s="376" t="s">
        <v>432</v>
      </c>
      <c r="C82" s="377">
        <f ca="1">D63</f>
        <v>7122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91" t="s">
        <v>2876</v>
      </c>
      <c r="L83" s="3068" t="s">
        <v>2877</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0" t="s">
        <v>2942</v>
      </c>
      <c r="F84" s="42"/>
      <c r="G84" s="42"/>
      <c r="H84" s="1003"/>
      <c r="I84" s="311"/>
      <c r="J84" s="2030"/>
      <c r="K84" s="3291"/>
      <c r="L84" s="3068" t="s">
        <v>2878</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f ca="1">C81-C84</f>
        <v>4783</v>
      </c>
      <c r="D85" s="378" t="s">
        <v>19</v>
      </c>
      <c r="E85" s="379"/>
      <c r="F85" s="42"/>
      <c r="G85" s="42"/>
      <c r="H85" s="1003"/>
      <c r="I85" s="311"/>
      <c r="J85" s="2030"/>
      <c r="K85" s="3291"/>
      <c r="L85" s="3068" t="s">
        <v>2880</v>
      </c>
      <c r="M85" s="3058"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f ca="1">IF(C85&lt;=0,0,ROUND(C85*D86,0))</f>
        <v>263</v>
      </c>
      <c r="D86" s="389">
        <f>'数据-取费表'!B41</f>
        <v>5.5000000000000007E-2</v>
      </c>
      <c r="E86" s="390"/>
      <c r="F86" s="42"/>
      <c r="G86" s="42"/>
      <c r="H86" s="1003"/>
      <c r="I86" s="311"/>
      <c r="J86" s="2030"/>
      <c r="K86" s="3291"/>
      <c r="L86" s="3068" t="s">
        <v>2881</v>
      </c>
      <c r="M86" s="3058"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91"/>
      <c r="L87" s="3068" t="s">
        <v>2883</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345" t="s">
        <v>437</v>
      </c>
      <c r="B88" s="3346"/>
      <c r="C88" s="3346"/>
      <c r="D88" s="3346"/>
      <c r="E88" s="3346"/>
      <c r="F88" s="3346"/>
      <c r="G88" s="3346"/>
      <c r="H88" s="3346"/>
      <c r="I88" s="1315"/>
      <c r="J88" s="2038"/>
      <c r="K88" s="3291"/>
      <c r="L88" s="3068" t="s">
        <v>2884</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309" t="s">
        <v>428</v>
      </c>
      <c r="B89" s="3310"/>
      <c r="C89" s="994"/>
      <c r="D89" s="994" t="s">
        <v>429</v>
      </c>
      <c r="E89" s="391" t="s">
        <v>438</v>
      </c>
      <c r="F89" s="392"/>
      <c r="G89" s="392"/>
      <c r="H89" s="393"/>
      <c r="I89" s="1316"/>
      <c r="J89" s="2040"/>
      <c r="K89" s="3291"/>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6783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2595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42" t="s">
        <v>447</v>
      </c>
      <c r="F94" s="3343"/>
      <c r="G94" s="3343"/>
      <c r="H94" s="334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34</v>
      </c>
      <c r="D96" s="406">
        <f>'数据-取费表'!B43</f>
        <v>5.000000000000001E-3</v>
      </c>
      <c r="E96" s="3332" t="s">
        <v>2431</v>
      </c>
      <c r="F96" s="3333"/>
      <c r="G96" s="3333"/>
      <c r="H96" s="333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4188</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1.6138728323699423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1705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5" t="s">
        <v>454</v>
      </c>
      <c r="B101" s="3346"/>
      <c r="C101" s="3346"/>
      <c r="D101" s="3346"/>
      <c r="E101" s="3346"/>
      <c r="F101" s="3346"/>
      <c r="G101" s="3346"/>
      <c r="H101" s="334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09" t="s">
        <v>428</v>
      </c>
      <c r="B102" s="3310"/>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6783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724</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35" t="s">
        <v>462</v>
      </c>
      <c r="F109" s="3333"/>
      <c r="G109" s="333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35" t="s">
        <v>464</v>
      </c>
      <c r="F110" s="3333"/>
      <c r="G110" s="3333"/>
      <c r="H110" s="333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34</v>
      </c>
      <c r="D111" s="406">
        <f>'数据-取费表'!B43</f>
        <v>5.000000000000001E-3</v>
      </c>
      <c r="E111" s="3332" t="s">
        <v>2431</v>
      </c>
      <c r="F111" s="3333"/>
      <c r="G111" s="3333"/>
      <c r="H111" s="333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5" t="s">
        <v>2456</v>
      </c>
      <c r="F112" s="3333"/>
      <c r="G112" s="3333"/>
      <c r="H112" s="333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6059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8.3687845303867405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3382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8</v>
      </c>
    </row>
    <row r="2" spans="1:31" s="2043" customFormat="1" ht="18" customHeight="1">
      <c r="A2" s="2103" t="s">
        <v>467</v>
      </c>
      <c r="B2" s="2107">
        <f ca="1">C36</f>
        <v>-3172</v>
      </c>
      <c r="C2" s="2106"/>
      <c r="D2" s="2106"/>
      <c r="E2" s="2106"/>
      <c r="F2" s="2106"/>
      <c r="G2" s="2106"/>
      <c r="H2" s="2106"/>
      <c r="I2" s="2106"/>
      <c r="J2" s="2106"/>
      <c r="K2" s="2106"/>
    </row>
    <row r="3" spans="1:31" s="2043" customFormat="1" ht="18" customHeight="1">
      <c r="A3" s="2108" t="s">
        <v>1685</v>
      </c>
      <c r="B3" s="2109">
        <f ca="1">ROUND(B2*10000/IF(B1="",'数据-汇总表'!E3,INDIRECT("'数据-取费表'!K"&amp;$K$1)),0)</f>
        <v>-393</v>
      </c>
      <c r="C3" s="2106"/>
      <c r="D3" s="2106"/>
      <c r="E3" s="2106"/>
      <c r="F3" s="2106"/>
      <c r="G3" s="2106"/>
      <c r="H3" s="2106"/>
      <c r="I3" s="2106"/>
      <c r="J3" s="2106"/>
      <c r="K3" s="2106"/>
    </row>
    <row r="4" spans="1:31" s="2043" customFormat="1" ht="18" customHeight="1">
      <c r="A4" s="426" t="s">
        <v>468</v>
      </c>
      <c r="B4" s="427">
        <f ca="1">ROUND(B2*10000/IF(B1="",'数据-汇总表'!D3,INDIRECT("'数据-取费表'!R"&amp;$K$1)),0)</f>
        <v>-365</v>
      </c>
      <c r="C4" s="428"/>
      <c r="D4" s="422"/>
      <c r="E4" s="422"/>
      <c r="F4" s="422"/>
      <c r="G4" s="422"/>
      <c r="H4" s="422"/>
      <c r="I4" s="422"/>
      <c r="J4" s="422"/>
      <c r="K4" s="422"/>
    </row>
    <row r="5" spans="1:31" s="2043" customFormat="1" ht="18" customHeight="1" thickBot="1">
      <c r="A5" s="429"/>
      <c r="B5" s="430">
        <f ca="1">ROUND(B2/(IF(B1="",'数据-汇总表'!D3,INDIRECT("'数据-取费表'!R"&amp;$K$1))/666.67),0)</f>
        <v>-24</v>
      </c>
      <c r="C5" s="431" t="s">
        <v>469</v>
      </c>
      <c r="D5" s="422"/>
      <c r="E5" s="422"/>
      <c r="F5" s="422"/>
      <c r="G5" s="422"/>
      <c r="H5" s="422"/>
      <c r="I5" s="422"/>
      <c r="J5" s="422"/>
      <c r="K5" s="422"/>
    </row>
    <row r="6" spans="1:31" s="2113" customFormat="1" ht="16.5" customHeight="1">
      <c r="A6" s="2830" t="s">
        <v>1843</v>
      </c>
      <c r="B6" s="2831"/>
      <c r="C6" s="2832">
        <f>SUM(C10:K10)</f>
        <v>0</v>
      </c>
      <c r="D6" s="2831"/>
      <c r="E6" s="2831"/>
      <c r="F6" s="2831"/>
      <c r="G6" s="2831"/>
      <c r="H6" s="2831"/>
      <c r="I6" s="2831"/>
      <c r="J6" s="2831"/>
      <c r="K6" s="2833"/>
    </row>
    <row r="7" spans="1:31" s="2115" customFormat="1" ht="15">
      <c r="A7" s="2834" t="s">
        <v>470</v>
      </c>
      <c r="B7" s="28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0</v>
      </c>
      <c r="D13" s="2846"/>
      <c r="E13" s="2847"/>
      <c r="F13" s="2848"/>
      <c r="G13" s="2814"/>
      <c r="H13" s="2815"/>
      <c r="I13" s="2815"/>
      <c r="J13" s="2815"/>
      <c r="K13" s="2816"/>
    </row>
    <row r="14" spans="1:31" s="2118" customFormat="1" ht="13.5" customHeight="1">
      <c r="A14" s="2844" t="s">
        <v>1850</v>
      </c>
      <c r="B14" s="2845" t="s">
        <v>480</v>
      </c>
      <c r="C14" s="53">
        <f ca="1">ROUND(C13*F14,0)</f>
        <v>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1616</v>
      </c>
      <c r="D16" s="2846">
        <f ca="1">IF(B1="",'数据-汇总表'!E3,INDIRECT("'数据-取费表'!K"&amp;$K$1)+INDIRECT("'数据-取费表'!S"&amp;$K$1))</f>
        <v>80808</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1616</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80808</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1616</v>
      </c>
      <c r="D20" s="2856"/>
      <c r="E20" s="2810"/>
      <c r="F20" s="2857"/>
      <c r="G20" s="3088"/>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1616</v>
      </c>
      <c r="D22" s="2846">
        <f ca="1">IF(B1="",'数据-汇总表'!E6,IF(INDIRECT("'数据-取费表'!c"&amp;$K$1)="住宅",INDIRECT("'数据-取费表'!s"&amp;$K$1),INDIRECT("'数据-取费表'!k"&amp;$K$1)+INDIRECT("'数据-取费表'!s"&amp;$K$1)))</f>
        <v>80808</v>
      </c>
      <c r="E22" s="53">
        <f>'数据-取费表'!B28</f>
        <v>200</v>
      </c>
      <c r="F22" s="2849"/>
      <c r="G22" s="26"/>
      <c r="H22" s="51"/>
      <c r="I22" s="51"/>
      <c r="J22" s="51"/>
      <c r="K22" s="2821"/>
    </row>
    <row r="23" spans="1:14" s="2118" customFormat="1" ht="13.5" customHeight="1">
      <c r="A23" s="2852" t="s">
        <v>1859</v>
      </c>
      <c r="B23" s="3037" t="s">
        <v>2836</v>
      </c>
      <c r="C23" s="2854">
        <f ca="1">ROUND((C18+C19+C20)*F23,0)</f>
        <v>32</v>
      </c>
      <c r="D23" s="468"/>
      <c r="E23" s="468"/>
      <c r="F23" s="2858">
        <f>'数据-取费表'!B37</f>
        <v>0.01</v>
      </c>
      <c r="G23" s="2814" t="s">
        <v>2434</v>
      </c>
      <c r="H23" s="2815"/>
      <c r="I23" s="2815"/>
      <c r="J23" s="2815"/>
      <c r="K23" s="2816"/>
      <c r="L23" s="2120"/>
      <c r="M23" s="2120"/>
      <c r="N23" s="2120"/>
    </row>
    <row r="24" spans="1:14" s="2118" customFormat="1" ht="13.5" customHeight="1">
      <c r="A24" s="2852" t="s">
        <v>1860</v>
      </c>
      <c r="B24" s="3037" t="s">
        <v>2839</v>
      </c>
      <c r="C24" s="2854">
        <f>ROUND(C6*F24,0)</f>
        <v>0</v>
      </c>
      <c r="D24" s="475"/>
      <c r="E24" s="473"/>
      <c r="F24" s="2858">
        <f>'数据-取费表'!B38</f>
        <v>0.01</v>
      </c>
      <c r="G24" s="2823" t="s">
        <v>499</v>
      </c>
      <c r="H24" s="2817"/>
      <c r="I24" s="2817"/>
      <c r="J24" s="2817"/>
      <c r="K24" s="279"/>
      <c r="L24" s="2120"/>
      <c r="M24" s="2120"/>
      <c r="N24" s="2120"/>
    </row>
    <row r="25" spans="1:14" s="2121" customFormat="1" ht="13.5" customHeight="1">
      <c r="A25" s="2852" t="s">
        <v>1861</v>
      </c>
      <c r="B25" s="3037" t="s">
        <v>2837</v>
      </c>
      <c r="C25" s="467">
        <f>ROUND(F25/(1+'数据-取费表'!C42),4)</f>
        <v>2.9000000000000001E-2</v>
      </c>
      <c r="D25" s="462" t="s">
        <v>2831</v>
      </c>
      <c r="E25" s="469"/>
      <c r="F25" s="2858">
        <f>'数据-取费表'!B48+'数据-取费表'!B49</f>
        <v>3.0499999999999999E-2</v>
      </c>
      <c r="G25" s="2822" t="s">
        <v>2292</v>
      </c>
      <c r="H25" s="2815"/>
      <c r="I25" s="2815"/>
      <c r="J25" s="2815"/>
      <c r="K25" s="2816"/>
    </row>
    <row r="26" spans="1:14" s="2120" customFormat="1" ht="13.5" customHeight="1">
      <c r="A26" s="2852" t="s">
        <v>1862</v>
      </c>
      <c r="B26" s="3038" t="s">
        <v>2838</v>
      </c>
      <c r="C26" s="2859">
        <f ca="1">C28</f>
        <v>0</v>
      </c>
      <c r="D26" s="467">
        <f ca="1">C27</f>
        <v>0</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0</v>
      </c>
      <c r="D29" s="468"/>
      <c r="E29" s="468"/>
      <c r="F29" s="3039">
        <f>'数据-取费表'!B41</f>
        <v>5.5000000000000007E-2</v>
      </c>
      <c r="G29" s="2823" t="s">
        <v>498</v>
      </c>
      <c r="H29" s="2815"/>
      <c r="I29" s="2815"/>
      <c r="J29" s="2815"/>
      <c r="K29" s="2816"/>
    </row>
    <row r="30" spans="1:14" s="2123" customFormat="1" ht="13.5" customHeight="1">
      <c r="A30" s="1636" t="s">
        <v>1864</v>
      </c>
      <c r="B30" s="2864" t="s">
        <v>500</v>
      </c>
      <c r="C30" s="2859">
        <f ca="1">C31</f>
        <v>3264</v>
      </c>
      <c r="D30" s="477">
        <f ca="1">C32</f>
        <v>2.9000000000000001E-2</v>
      </c>
      <c r="E30" s="469" t="s">
        <v>495</v>
      </c>
      <c r="F30" s="471"/>
      <c r="G30" s="2822" t="s">
        <v>2974</v>
      </c>
      <c r="H30" s="2815"/>
      <c r="I30" s="2815"/>
      <c r="J30" s="2815"/>
      <c r="K30" s="2816"/>
    </row>
    <row r="31" spans="1:14" s="2122" customFormat="1" ht="13.5" customHeight="1">
      <c r="A31" s="803" t="s">
        <v>1857</v>
      </c>
      <c r="B31" s="2860"/>
      <c r="C31" s="450">
        <f ca="1">C18+C19+C20+C23+C24+C26+C29</f>
        <v>3264</v>
      </c>
      <c r="D31" s="472"/>
      <c r="E31" s="473"/>
      <c r="F31" s="474"/>
      <c r="G31" s="261"/>
      <c r="H31" s="2817"/>
      <c r="I31" s="2817"/>
      <c r="J31" s="2817"/>
      <c r="K31" s="279"/>
    </row>
    <row r="32" spans="1:14" s="2122" customFormat="1" ht="13.5" customHeight="1">
      <c r="A32" s="803" t="s">
        <v>1858</v>
      </c>
      <c r="B32" s="2860"/>
      <c r="C32" s="53">
        <f ca="1">ROUND(C25+D26,4)</f>
        <v>2.9000000000000001E-2</v>
      </c>
      <c r="D32" s="472"/>
      <c r="E32" s="473"/>
      <c r="F32" s="474"/>
      <c r="G32" s="261"/>
      <c r="H32" s="2817"/>
      <c r="I32" s="2817"/>
      <c r="J32" s="2817"/>
      <c r="K32" s="279"/>
    </row>
    <row r="33" spans="1:11" s="2124" customFormat="1" ht="13.5" customHeight="1">
      <c r="A33" s="3036" t="s">
        <v>2835</v>
      </c>
      <c r="B33" s="3034" t="s">
        <v>2833</v>
      </c>
      <c r="C33" s="478">
        <f ca="1">C35</f>
        <v>490</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1857</v>
      </c>
      <c r="B34" s="2865" t="s">
        <v>501</v>
      </c>
      <c r="C34" s="472">
        <f ca="1">ROUND((1+C25)*F33,4)</f>
        <v>0.15440000000000001</v>
      </c>
      <c r="D34" s="472"/>
      <c r="E34" s="473"/>
      <c r="F34" s="480"/>
      <c r="G34" s="261" t="s">
        <v>2293</v>
      </c>
      <c r="H34" s="2817"/>
      <c r="I34" s="2817"/>
      <c r="J34" s="2817"/>
      <c r="K34" s="279"/>
    </row>
    <row r="35" spans="1:11" s="2125" customFormat="1" ht="13.5" customHeight="1" thickBot="1">
      <c r="A35" s="1637" t="s">
        <v>1858</v>
      </c>
      <c r="B35" s="3035" t="s">
        <v>2841</v>
      </c>
      <c r="C35" s="1629">
        <f ca="1">ROUND((C18+C19+C20+C23+C24)*F33,0)</f>
        <v>490</v>
      </c>
      <c r="D35" s="1630"/>
      <c r="E35" s="2866"/>
      <c r="F35" s="1631"/>
      <c r="G35" s="2824"/>
      <c r="H35" s="2825"/>
      <c r="I35" s="2825"/>
      <c r="J35" s="2825"/>
      <c r="K35" s="2826"/>
    </row>
    <row r="36" spans="1:11" s="2087" customFormat="1" ht="13.5" customHeight="1" thickBot="1">
      <c r="A36" s="284" t="s">
        <v>1845</v>
      </c>
      <c r="B36" s="2828"/>
      <c r="C36" s="2867">
        <f ca="1">ROUND((C6-C30-C33)/(1+D30+D33),0)</f>
        <v>-3172</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8</v>
      </c>
    </row>
    <row r="2" spans="1:41" s="2043" customFormat="1" ht="18" customHeight="1">
      <c r="A2" s="423" t="s">
        <v>467</v>
      </c>
      <c r="B2" s="424">
        <f ca="1">C32</f>
        <v>-12065.407979384512</v>
      </c>
      <c r="C2" s="2106"/>
      <c r="D2" s="2106"/>
      <c r="E2" s="2106"/>
      <c r="F2" s="2106"/>
      <c r="G2" s="2106"/>
      <c r="H2" s="2106"/>
      <c r="I2" s="2106"/>
      <c r="J2" s="2106"/>
      <c r="K2" s="2106"/>
    </row>
    <row r="3" spans="1:41" s="2043" customFormat="1" ht="18" customHeight="1">
      <c r="A3" s="1380" t="s">
        <v>1685</v>
      </c>
      <c r="B3" s="425">
        <f ca="1">ROUND(B2*10000/IF(B1="",'数据-汇总表'!E3,INDIRECT("'数据-取费表'!K"&amp;$K$1)),0)</f>
        <v>-1493</v>
      </c>
      <c r="C3" s="2106"/>
      <c r="D3" s="2106"/>
      <c r="E3" s="2106"/>
      <c r="F3" s="2106"/>
      <c r="G3" s="2106"/>
      <c r="H3" s="2106"/>
      <c r="I3" s="2106"/>
      <c r="J3" s="2106"/>
      <c r="K3" s="2106"/>
    </row>
    <row r="4" spans="1:41" s="2043" customFormat="1" ht="18" customHeight="1">
      <c r="A4" s="426" t="s">
        <v>468</v>
      </c>
      <c r="B4" s="427">
        <f ca="1">ROUND(B2*10000/IF(B1="",'数据-汇总表'!D3,INDIRECT("'数据-取费表'!R"&amp;$K$1)),0)</f>
        <v>-1390</v>
      </c>
      <c r="C4" s="2063"/>
      <c r="D4" s="2106"/>
      <c r="E4" s="2106"/>
      <c r="F4" s="2106"/>
      <c r="G4" s="2106"/>
      <c r="H4" s="2106"/>
      <c r="I4" s="2106"/>
      <c r="J4" s="2106"/>
      <c r="K4" s="2106"/>
    </row>
    <row r="5" spans="1:41" s="2043" customFormat="1" ht="18" customHeight="1" thickBot="1">
      <c r="A5" s="429"/>
      <c r="B5" s="430">
        <f ca="1">ROUND(B2/(IF(B1="",'数据-汇总表'!D3,INDIRECT("'数据-取费表'!R"&amp;$K$1))/666.67),0)</f>
        <v>-93</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9704</v>
      </c>
      <c r="D13" s="451"/>
      <c r="E13" s="365"/>
      <c r="F13" s="452"/>
      <c r="G13" s="444"/>
      <c r="H13" s="447"/>
      <c r="I13" s="447"/>
      <c r="J13" s="447"/>
      <c r="K13" s="448"/>
    </row>
    <row r="14" spans="1:41" s="2118" customFormat="1" ht="13.5" customHeight="1">
      <c r="A14" s="1634" t="s">
        <v>1850</v>
      </c>
      <c r="B14" s="449" t="s">
        <v>480</v>
      </c>
      <c r="C14" s="53">
        <f ca="1">ROUND(C13*F14,0)</f>
        <v>291</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1616</v>
      </c>
      <c r="D16" s="451">
        <f ca="1">IF(B1="",'数据-汇总表'!E3,INDIRECT("'数据-取费表'!K"&amp;$K$1)+INDIRECT("'数据-取费表'!S"&amp;$K$1))</f>
        <v>80808</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146</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11757</v>
      </c>
      <c r="D18" s="461"/>
      <c r="E18" s="462"/>
      <c r="F18" s="462"/>
      <c r="G18" s="1327" t="s">
        <v>2435</v>
      </c>
      <c r="H18" s="447"/>
      <c r="I18" s="447"/>
      <c r="J18" s="447"/>
      <c r="K18" s="448"/>
    </row>
    <row r="19" spans="1:14" s="2121" customFormat="1" ht="13.5" customHeight="1">
      <c r="A19" s="1635" t="s">
        <v>1855</v>
      </c>
      <c r="B19" s="459" t="s">
        <v>493</v>
      </c>
      <c r="C19" s="460">
        <f ca="1">ROUND(C18*F19,0)</f>
        <v>118</v>
      </c>
      <c r="D19" s="462"/>
      <c r="E19" s="462"/>
      <c r="F19" s="466">
        <f>'数据-取费表'!B37</f>
        <v>0.01</v>
      </c>
      <c r="G19" s="444" t="s">
        <v>503</v>
      </c>
      <c r="H19" s="447"/>
      <c r="I19" s="447"/>
      <c r="J19" s="447"/>
      <c r="K19" s="448"/>
      <c r="L19" s="2123"/>
      <c r="M19" s="2123"/>
      <c r="N19" s="2123"/>
    </row>
    <row r="20" spans="1:14" s="2121" customFormat="1" ht="13.5" customHeight="1">
      <c r="A20" s="1635" t="s">
        <v>1856</v>
      </c>
      <c r="B20" s="459" t="s">
        <v>504</v>
      </c>
      <c r="C20" s="3032">
        <f>F20</f>
        <v>0.01</v>
      </c>
      <c r="D20" s="469" t="s">
        <v>505</v>
      </c>
      <c r="E20" s="469"/>
      <c r="F20" s="486">
        <f>'数据-取费表'!B38</f>
        <v>0.01</v>
      </c>
      <c r="G20" s="1327" t="s">
        <v>506</v>
      </c>
      <c r="H20" s="447"/>
      <c r="I20" s="447"/>
      <c r="J20" s="447"/>
      <c r="K20" s="448"/>
      <c r="L20" s="2123"/>
      <c r="M20" s="2123"/>
      <c r="N20" s="2123"/>
    </row>
    <row r="21" spans="1:14" s="2123" customFormat="1" ht="13.5" customHeight="1">
      <c r="A21" s="1635" t="s">
        <v>1859</v>
      </c>
      <c r="B21" s="461" t="s">
        <v>494</v>
      </c>
      <c r="C21" s="470">
        <f ca="1">C22</f>
        <v>279</v>
      </c>
      <c r="D21" s="467">
        <f ca="1">C23</f>
        <v>2.0000000000000001E-4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279</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2.0000000000000001E-4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2834</v>
      </c>
      <c r="C24" s="478">
        <f ca="1">C25</f>
        <v>1781</v>
      </c>
      <c r="D24" s="489">
        <f ca="1">C26</f>
        <v>1.5E-3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1781</v>
      </c>
      <c r="D25" s="472"/>
      <c r="E25" s="473"/>
      <c r="F25" s="480"/>
      <c r="G25" s="1326" t="s">
        <v>2436</v>
      </c>
      <c r="H25" s="457"/>
      <c r="I25" s="457"/>
      <c r="J25" s="457"/>
      <c r="K25" s="458"/>
    </row>
    <row r="26" spans="1:14" s="2122" customFormat="1" ht="13.5" customHeight="1">
      <c r="A26" s="1634" t="s">
        <v>1850</v>
      </c>
      <c r="B26" s="1328" t="s">
        <v>509</v>
      </c>
      <c r="C26" s="491">
        <f ca="1">ROUND(F20*F24,4)</f>
        <v>1.5E-3</v>
      </c>
      <c r="D26" s="472"/>
      <c r="E26" s="481"/>
      <c r="F26" s="480"/>
      <c r="G26" s="1326" t="s">
        <v>510</v>
      </c>
      <c r="H26" s="457"/>
      <c r="I26" s="457"/>
      <c r="J26" s="457"/>
      <c r="K26" s="458"/>
    </row>
    <row r="27" spans="1:14" s="2122" customFormat="1" ht="13.5" customHeight="1">
      <c r="A27" s="1638" t="s">
        <v>1868</v>
      </c>
      <c r="B27" s="459" t="s">
        <v>511</v>
      </c>
      <c r="C27" s="3033">
        <f>ROUND(F27/(1+'数据-取费表'!C42),4)</f>
        <v>5.2400000000000002E-2</v>
      </c>
      <c r="D27" s="462" t="s">
        <v>2832</v>
      </c>
      <c r="E27" s="462"/>
      <c r="F27" s="466">
        <f>'数据-取费表'!B41</f>
        <v>5.5000000000000007E-2</v>
      </c>
      <c r="G27" s="1962" t="s">
        <v>2294</v>
      </c>
      <c r="H27" s="447"/>
      <c r="I27" s="447"/>
      <c r="J27" s="447"/>
      <c r="K27" s="448"/>
    </row>
    <row r="28" spans="1:14" s="2123" customFormat="1" ht="13.5" customHeight="1">
      <c r="A28" s="1638" t="s">
        <v>1869</v>
      </c>
      <c r="B28" s="476" t="s">
        <v>512</v>
      </c>
      <c r="C28" s="470">
        <f ca="1">ROUND((C18+C19+C21+C24)/(1-C20-D21-D24-C27),0)</f>
        <v>14889</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1</v>
      </c>
      <c r="D29" s="493"/>
      <c r="E29" s="494"/>
      <c r="F29" s="495"/>
      <c r="G29" s="444"/>
      <c r="H29" s="447"/>
      <c r="I29" s="447"/>
      <c r="J29" s="447"/>
      <c r="K29" s="448"/>
    </row>
    <row r="30" spans="1:14" s="2123" customFormat="1" ht="13.5" customHeight="1">
      <c r="A30" s="443">
        <v>2</v>
      </c>
      <c r="B30" s="476" t="s">
        <v>514</v>
      </c>
      <c r="C30" s="497">
        <f ca="1">ROUND(C28*C29,0)</f>
        <v>14889</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-12065.407979384512</v>
      </c>
      <c r="D32" s="483"/>
      <c r="E32" s="483"/>
      <c r="F32" s="483"/>
      <c r="G32" s="2485" t="s">
        <v>2975</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26" sqref="A26:C2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3" t="str">
        <f>项目基本情况!B1</f>
        <v>北京市通州区马驹桥镇金桥科技产业基地出让国有建设用地使用权市场价格预评估</v>
      </c>
      <c r="C37" s="3203"/>
      <c r="D37" s="3203"/>
      <c r="E37" s="3203"/>
      <c r="F37" s="3203"/>
      <c r="G37" s="3203"/>
      <c r="H37" s="3203"/>
      <c r="I37" s="3203"/>
    </row>
    <row r="38" spans="1:9">
      <c r="A38" s="1657"/>
      <c r="B38" s="1657"/>
    </row>
    <row r="39" spans="1:9">
      <c r="A39" s="1655" t="s">
        <v>1902</v>
      </c>
      <c r="B39" s="1655" t="s">
        <v>2049</v>
      </c>
    </row>
    <row r="40" spans="1:9">
      <c r="A40" s="1655"/>
      <c r="B40" s="1655" t="str">
        <f>项目基本情况!B5</f>
        <v>北京捷宸阳光科技发展有限公司</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陈颖、叶凌</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E12" sqref="E1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90" t="s">
        <v>522</v>
      </c>
      <c r="D6" s="3391"/>
      <c r="E6" s="3390" t="s">
        <v>523</v>
      </c>
      <c r="F6" s="3391"/>
      <c r="G6" s="3390" t="s">
        <v>524</v>
      </c>
      <c r="H6" s="3391"/>
      <c r="I6" s="3390" t="s">
        <v>525</v>
      </c>
      <c r="J6" s="3391"/>
      <c r="K6" s="514" t="s">
        <v>526</v>
      </c>
      <c r="L6" s="2135"/>
      <c r="M6" s="2134"/>
      <c r="N6" s="2134"/>
      <c r="O6" s="2136"/>
      <c r="P6" s="3392" t="s">
        <v>527</v>
      </c>
      <c r="Q6" s="3393"/>
      <c r="R6" s="3378" t="s">
        <v>523</v>
      </c>
      <c r="S6" s="3379"/>
      <c r="T6" s="3378" t="s">
        <v>524</v>
      </c>
      <c r="U6" s="3379"/>
      <c r="V6" s="3398" t="s">
        <v>525</v>
      </c>
      <c r="W6" s="3398"/>
      <c r="X6" s="1568"/>
      <c r="Y6" s="3378" t="s">
        <v>527</v>
      </c>
      <c r="Z6" s="3379"/>
      <c r="AA6" s="3373" t="s">
        <v>523</v>
      </c>
      <c r="AB6" s="3374" t="s">
        <v>524</v>
      </c>
      <c r="AC6" s="3373" t="s">
        <v>525</v>
      </c>
    </row>
    <row r="7" spans="1:30" ht="20.25">
      <c r="A7" s="515"/>
      <c r="B7" s="516"/>
      <c r="C7" s="3401" t="s">
        <v>2930</v>
      </c>
      <c r="D7" s="3402"/>
      <c r="E7" s="3401" t="s">
        <v>2931</v>
      </c>
      <c r="F7" s="3402"/>
      <c r="G7" s="3401" t="s">
        <v>2932</v>
      </c>
      <c r="H7" s="3402"/>
      <c r="I7" s="3401" t="s">
        <v>2933</v>
      </c>
      <c r="J7" s="3402"/>
      <c r="K7" s="514"/>
      <c r="L7" s="2135"/>
      <c r="M7" s="2134"/>
      <c r="N7" s="2134"/>
      <c r="O7" s="2136"/>
      <c r="P7" s="3394"/>
      <c r="Q7" s="3395"/>
      <c r="R7" s="3380"/>
      <c r="S7" s="3381"/>
      <c r="T7" s="3380"/>
      <c r="U7" s="3381"/>
      <c r="V7" s="3398"/>
      <c r="W7" s="3398"/>
      <c r="X7" s="1568"/>
      <c r="Y7" s="3380"/>
      <c r="Z7" s="3381"/>
      <c r="AA7" s="3374"/>
      <c r="AB7" s="3374"/>
      <c r="AC7" s="3374"/>
    </row>
    <row r="8" spans="1:30" ht="21" thickBot="1">
      <c r="A8" s="515"/>
      <c r="B8" s="516"/>
      <c r="C8" s="3403" t="s">
        <v>2934</v>
      </c>
      <c r="D8" s="3404"/>
      <c r="E8" s="3403" t="s">
        <v>2934</v>
      </c>
      <c r="F8" s="3404"/>
      <c r="G8" s="3399" t="s">
        <v>2934</v>
      </c>
      <c r="H8" s="3400"/>
      <c r="I8" s="3399" t="s">
        <v>2934</v>
      </c>
      <c r="J8" s="3400"/>
      <c r="K8" s="514" t="s">
        <v>528</v>
      </c>
      <c r="L8" s="2135"/>
      <c r="M8" s="2134"/>
      <c r="N8" s="2134"/>
      <c r="O8" s="2136"/>
      <c r="P8" s="3396"/>
      <c r="Q8" s="3397"/>
      <c r="R8" s="3380"/>
      <c r="S8" s="3381"/>
      <c r="T8" s="3382"/>
      <c r="U8" s="3383"/>
      <c r="V8" s="3398"/>
      <c r="W8" s="3398"/>
      <c r="X8" s="1568"/>
      <c r="Y8" s="3382"/>
      <c r="Z8" s="3383"/>
      <c r="AA8" s="3375"/>
      <c r="AB8" s="3375"/>
      <c r="AC8" s="3375"/>
    </row>
    <row r="9" spans="1:30" s="1220" customFormat="1" ht="21" thickBot="1">
      <c r="A9" s="2914"/>
      <c r="B9" s="2921" t="s">
        <v>529</v>
      </c>
      <c r="C9" s="2913">
        <f>'数据-取费表'!B2</f>
        <v>43290</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376" t="s">
        <v>530</v>
      </c>
      <c r="Q9" s="3385"/>
      <c r="R9" s="1569" t="s">
        <v>8</v>
      </c>
      <c r="S9" s="1570">
        <f t="shared" ref="S9:S17" si="0">F9</f>
        <v>0</v>
      </c>
      <c r="T9" s="1569" t="s">
        <v>8</v>
      </c>
      <c r="U9" s="1570">
        <f t="shared" ref="U9:U17" si="1">H9</f>
        <v>0</v>
      </c>
      <c r="V9" s="1569" t="s">
        <v>8</v>
      </c>
      <c r="W9" s="1570">
        <f t="shared" ref="W9:W17" si="2">J9</f>
        <v>0</v>
      </c>
      <c r="X9" s="1571"/>
      <c r="Y9" s="3376" t="s">
        <v>530</v>
      </c>
      <c r="Z9" s="3377"/>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376" t="s">
        <v>533</v>
      </c>
      <c r="Q10" s="3377"/>
      <c r="R10" s="1569" t="s">
        <v>8</v>
      </c>
      <c r="S10" s="1570">
        <f t="shared" si="0"/>
        <v>0</v>
      </c>
      <c r="T10" s="1569" t="s">
        <v>8</v>
      </c>
      <c r="U10" s="1570">
        <f t="shared" si="1"/>
        <v>0</v>
      </c>
      <c r="V10" s="1569" t="s">
        <v>8</v>
      </c>
      <c r="W10" s="1570">
        <f t="shared" si="2"/>
        <v>0</v>
      </c>
      <c r="X10" s="1571"/>
      <c r="Y10" s="3376" t="s">
        <v>533</v>
      </c>
      <c r="Z10" s="3377"/>
      <c r="AA10" s="1572" t="e">
        <f t="shared" ref="AA10:AA47" si="3">D10/F10</f>
        <v>#DIV/0!</v>
      </c>
      <c r="AB10" s="1572" t="e">
        <f t="shared" ref="AB10:AB47" si="4">D10/H10</f>
        <v>#DIV/0!</v>
      </c>
      <c r="AC10" s="1572" t="e">
        <f t="shared" ref="AC10:AC47" si="5">D10/J10</f>
        <v>#DIV/0!</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84" t="s">
        <v>535</v>
      </c>
      <c r="Q11" s="1151" t="str">
        <f t="shared" ref="Q11:Q17" si="6">B11</f>
        <v>用途</v>
      </c>
      <c r="R11" s="1569" t="s">
        <v>8</v>
      </c>
      <c r="S11" s="1570">
        <f t="shared" si="0"/>
        <v>100</v>
      </c>
      <c r="T11" s="1569" t="s">
        <v>8</v>
      </c>
      <c r="U11" s="1570">
        <f t="shared" si="1"/>
        <v>100</v>
      </c>
      <c r="V11" s="1569" t="s">
        <v>8</v>
      </c>
      <c r="W11" s="1570">
        <f t="shared" si="2"/>
        <v>100</v>
      </c>
      <c r="X11" s="1571"/>
      <c r="Y11" s="3341"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f>ROUND(100/'数据-取费表'!G16,0)</f>
        <v>110</v>
      </c>
      <c r="G12" s="530"/>
      <c r="H12" s="255">
        <f>ROUND(100/'数据-取费表'!G16,0)</f>
        <v>110</v>
      </c>
      <c r="I12" s="530"/>
      <c r="J12" s="255">
        <f>ROUND(100/'数据-取费表'!G16,0)</f>
        <v>110</v>
      </c>
      <c r="K12" s="531"/>
      <c r="L12" s="2140"/>
      <c r="M12" s="2134"/>
      <c r="N12" s="2134"/>
      <c r="O12" s="2141"/>
      <c r="P12" s="3384"/>
      <c r="Q12" s="1151" t="str">
        <f t="shared" si="6"/>
        <v>土地使用年限（年）</v>
      </c>
      <c r="R12" s="1569" t="s">
        <v>8</v>
      </c>
      <c r="S12" s="1570">
        <f t="shared" si="0"/>
        <v>110</v>
      </c>
      <c r="T12" s="1569" t="s">
        <v>8</v>
      </c>
      <c r="U12" s="1570">
        <f t="shared" si="1"/>
        <v>110</v>
      </c>
      <c r="V12" s="1569" t="s">
        <v>8</v>
      </c>
      <c r="W12" s="1570">
        <f t="shared" si="2"/>
        <v>110</v>
      </c>
      <c r="X12" s="1571"/>
      <c r="Y12" s="3341"/>
      <c r="Z12" s="1150" t="str">
        <f t="shared" si="7"/>
        <v>土地使用年限（年）</v>
      </c>
      <c r="AA12" s="1572">
        <f t="shared" si="3"/>
        <v>0.90909090909090906</v>
      </c>
      <c r="AB12" s="1572">
        <f t="shared" si="4"/>
        <v>0.90909090909090906</v>
      </c>
      <c r="AC12" s="1572">
        <f t="shared" si="5"/>
        <v>0.90909090909090906</v>
      </c>
    </row>
    <row r="13" spans="1:30" ht="20.25">
      <c r="A13" s="2918"/>
      <c r="B13" s="2922"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384"/>
      <c r="Q13" s="1151" t="str">
        <f t="shared" si="6"/>
        <v>容积率</v>
      </c>
      <c r="R13" s="1569" t="s">
        <v>8</v>
      </c>
      <c r="S13" s="1570" t="e">
        <f t="shared" si="0"/>
        <v>#N/A</v>
      </c>
      <c r="T13" s="1569" t="s">
        <v>8</v>
      </c>
      <c r="U13" s="1570" t="e">
        <f t="shared" si="1"/>
        <v>#N/A</v>
      </c>
      <c r="V13" s="1569" t="s">
        <v>8</v>
      </c>
      <c r="W13" s="1570" t="e">
        <f t="shared" si="2"/>
        <v>#N/A</v>
      </c>
      <c r="X13" s="1571"/>
      <c r="Y13" s="3341"/>
      <c r="Z13" s="1150" t="str">
        <f t="shared" si="7"/>
        <v>容积率</v>
      </c>
      <c r="AA13" s="1572" t="e">
        <f t="shared" si="3"/>
        <v>#N/A</v>
      </c>
      <c r="AB13" s="1572" t="e">
        <f t="shared" si="4"/>
        <v>#N/A</v>
      </c>
      <c r="AC13" s="1572" t="e">
        <f t="shared" si="5"/>
        <v>#N/A</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4"/>
      <c r="Q14" s="1151" t="str">
        <f t="shared" si="6"/>
        <v>配建</v>
      </c>
      <c r="R14" s="1569" t="s">
        <v>8</v>
      </c>
      <c r="S14" s="1570">
        <f t="shared" si="0"/>
        <v>100</v>
      </c>
      <c r="T14" s="1569" t="s">
        <v>8</v>
      </c>
      <c r="U14" s="1570">
        <f t="shared" si="1"/>
        <v>100</v>
      </c>
      <c r="V14" s="1569" t="s">
        <v>8</v>
      </c>
      <c r="W14" s="1570">
        <f t="shared" si="2"/>
        <v>100</v>
      </c>
      <c r="X14" s="1571"/>
      <c r="Y14" s="3341"/>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4"/>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4"/>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6" t="s">
        <v>540</v>
      </c>
      <c r="Q17" s="1573" t="str">
        <f t="shared" si="6"/>
        <v>居住社区成熟度</v>
      </c>
      <c r="R17" s="1574" t="s">
        <v>8</v>
      </c>
      <c r="S17" s="1575">
        <f t="shared" si="0"/>
        <v>100</v>
      </c>
      <c r="T17" s="1574" t="s">
        <v>8</v>
      </c>
      <c r="U17" s="1575">
        <f t="shared" si="1"/>
        <v>100</v>
      </c>
      <c r="V17" s="1574" t="s">
        <v>8</v>
      </c>
      <c r="W17" s="1575">
        <f t="shared" si="2"/>
        <v>100</v>
      </c>
      <c r="X17" s="1568"/>
      <c r="Y17" s="3386"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87"/>
      <c r="Q18" s="1573"/>
      <c r="R18" s="1574"/>
      <c r="S18" s="1575"/>
      <c r="T18" s="1574"/>
      <c r="U18" s="1575"/>
      <c r="V18" s="1574"/>
      <c r="W18" s="1575"/>
      <c r="X18" s="1568"/>
      <c r="Y18" s="338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87"/>
      <c r="Q19" s="1573" t="str">
        <f>B19</f>
        <v>商业繁华度</v>
      </c>
      <c r="R19" s="1574" t="s">
        <v>8</v>
      </c>
      <c r="S19" s="1575">
        <f>F19</f>
        <v>100</v>
      </c>
      <c r="T19" s="1574" t="s">
        <v>8</v>
      </c>
      <c r="U19" s="1575">
        <f>H19</f>
        <v>100</v>
      </c>
      <c r="V19" s="1574" t="s">
        <v>8</v>
      </c>
      <c r="W19" s="1575">
        <f>J19</f>
        <v>100</v>
      </c>
      <c r="X19" s="1568"/>
      <c r="Y19" s="338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87"/>
      <c r="Q20" s="1573"/>
      <c r="R20" s="1574"/>
      <c r="S20" s="1575"/>
      <c r="T20" s="1574"/>
      <c r="U20" s="1575"/>
      <c r="V20" s="1574"/>
      <c r="W20" s="1575"/>
      <c r="X20" s="1568"/>
      <c r="Y20" s="338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87"/>
      <c r="Q21" s="1573" t="str">
        <f>B21</f>
        <v>办公集聚程度</v>
      </c>
      <c r="R21" s="1574" t="s">
        <v>8</v>
      </c>
      <c r="S21" s="1575">
        <f>F21</f>
        <v>100</v>
      </c>
      <c r="T21" s="1574" t="s">
        <v>8</v>
      </c>
      <c r="U21" s="1575">
        <f>H21</f>
        <v>100</v>
      </c>
      <c r="V21" s="1574" t="s">
        <v>8</v>
      </c>
      <c r="W21" s="1575">
        <f>J21</f>
        <v>100</v>
      </c>
      <c r="X21" s="1568"/>
      <c r="Y21" s="338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87"/>
      <c r="Q22" s="1573"/>
      <c r="R22" s="1574"/>
      <c r="S22" s="1575"/>
      <c r="T22" s="1574"/>
      <c r="U22" s="1575"/>
      <c r="V22" s="1574"/>
      <c r="W22" s="1575"/>
      <c r="X22" s="1568"/>
      <c r="Y22" s="338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87"/>
      <c r="Q23" s="1573" t="str">
        <f>B23</f>
        <v>交通便捷度</v>
      </c>
      <c r="R23" s="1574" t="s">
        <v>8</v>
      </c>
      <c r="S23" s="1575">
        <f>F23</f>
        <v>100</v>
      </c>
      <c r="T23" s="1574" t="s">
        <v>8</v>
      </c>
      <c r="U23" s="1575">
        <f>H23</f>
        <v>100</v>
      </c>
      <c r="V23" s="1574" t="s">
        <v>8</v>
      </c>
      <c r="W23" s="1575">
        <f>J23</f>
        <v>100</v>
      </c>
      <c r="X23" s="1568"/>
      <c r="Y23" s="338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87"/>
      <c r="Q24" s="1573"/>
      <c r="R24" s="1574"/>
      <c r="S24" s="1575"/>
      <c r="T24" s="1574"/>
      <c r="U24" s="1575"/>
      <c r="V24" s="1574"/>
      <c r="W24" s="1575"/>
      <c r="X24" s="1568"/>
      <c r="Y24" s="338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87"/>
      <c r="Q25" s="1573" t="str">
        <f t="shared" ref="Q25:Q39" si="8">B25</f>
        <v>区域土地利用方向</v>
      </c>
      <c r="R25" s="1574" t="s">
        <v>8</v>
      </c>
      <c r="S25" s="1575">
        <f>F25</f>
        <v>100</v>
      </c>
      <c r="T25" s="1574" t="s">
        <v>8</v>
      </c>
      <c r="U25" s="1575">
        <f>H25</f>
        <v>100</v>
      </c>
      <c r="V25" s="1574" t="s">
        <v>8</v>
      </c>
      <c r="W25" s="1575">
        <f>J25</f>
        <v>100</v>
      </c>
      <c r="X25" s="1568"/>
      <c r="Y25" s="338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87"/>
      <c r="Q26" s="1573"/>
      <c r="R26" s="1574"/>
      <c r="S26" s="1575"/>
      <c r="T26" s="1574"/>
      <c r="U26" s="1575"/>
      <c r="V26" s="1574"/>
      <c r="W26" s="1575"/>
      <c r="X26" s="1568"/>
      <c r="Y26" s="338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87"/>
      <c r="Q27" s="1573" t="str">
        <f t="shared" si="8"/>
        <v>自然及人文环境状况</v>
      </c>
      <c r="R27" s="1574" t="s">
        <v>8</v>
      </c>
      <c r="S27" s="1575">
        <f>F27</f>
        <v>100</v>
      </c>
      <c r="T27" s="1574" t="s">
        <v>8</v>
      </c>
      <c r="U27" s="1575">
        <f>H27</f>
        <v>100</v>
      </c>
      <c r="V27" s="1574" t="s">
        <v>8</v>
      </c>
      <c r="W27" s="1575">
        <f>J27</f>
        <v>100</v>
      </c>
      <c r="X27" s="1568"/>
      <c r="Y27" s="338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87"/>
      <c r="Q28" s="1573"/>
      <c r="R28" s="1574"/>
      <c r="S28" s="1575"/>
      <c r="T28" s="1574"/>
      <c r="U28" s="1575"/>
      <c r="V28" s="1574"/>
      <c r="W28" s="1575"/>
      <c r="X28" s="1568"/>
      <c r="Y28" s="3387"/>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87"/>
      <c r="Q29" s="1151" t="str">
        <f t="shared" si="8"/>
        <v>公共配套设施</v>
      </c>
      <c r="R29" s="1569" t="s">
        <v>8</v>
      </c>
      <c r="S29" s="1570">
        <f>F29</f>
        <v>100</v>
      </c>
      <c r="T29" s="1569" t="s">
        <v>8</v>
      </c>
      <c r="U29" s="1570">
        <f>H29</f>
        <v>100</v>
      </c>
      <c r="V29" s="1569" t="s">
        <v>8</v>
      </c>
      <c r="W29" s="1570">
        <f>J29</f>
        <v>100</v>
      </c>
      <c r="X29" s="1571"/>
      <c r="Y29" s="338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87"/>
      <c r="Q30" s="1151"/>
      <c r="R30" s="1569"/>
      <c r="S30" s="1570"/>
      <c r="T30" s="1569"/>
      <c r="U30" s="1570"/>
      <c r="V30" s="1569"/>
      <c r="W30" s="1570"/>
      <c r="X30" s="1571"/>
      <c r="Y30" s="3387"/>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87"/>
      <c r="Q31" s="2580" t="str">
        <f t="shared" ref="Q31" si="9">B31</f>
        <v>基础设施水平</v>
      </c>
      <c r="R31" s="1569" t="s">
        <v>8</v>
      </c>
      <c r="S31" s="1570">
        <f>F31</f>
        <v>100</v>
      </c>
      <c r="T31" s="1569" t="s">
        <v>8</v>
      </c>
      <c r="U31" s="1570">
        <f>H31</f>
        <v>100</v>
      </c>
      <c r="V31" s="1569" t="s">
        <v>8</v>
      </c>
      <c r="W31" s="1570">
        <f>J31</f>
        <v>100</v>
      </c>
      <c r="X31" s="1571"/>
      <c r="Y31" s="3387"/>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387"/>
      <c r="Q32" s="2580"/>
      <c r="R32" s="1569"/>
      <c r="S32" s="1570"/>
      <c r="T32" s="1569"/>
      <c r="U32" s="1570"/>
      <c r="V32" s="1569"/>
      <c r="W32" s="1570"/>
      <c r="X32" s="1571"/>
      <c r="Y32" s="3387"/>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8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87"/>
      <c r="Q34" s="1573" t="str">
        <f t="shared" si="8"/>
        <v>毗邻道路的类型与等级</v>
      </c>
      <c r="R34" s="1574" t="s">
        <v>8</v>
      </c>
      <c r="S34" s="1575">
        <f t="shared" si="10"/>
        <v>100</v>
      </c>
      <c r="T34" s="1574" t="s">
        <v>8</v>
      </c>
      <c r="U34" s="1575">
        <f t="shared" si="11"/>
        <v>100</v>
      </c>
      <c r="V34" s="1574" t="s">
        <v>8</v>
      </c>
      <c r="W34" s="1575">
        <f t="shared" si="12"/>
        <v>100</v>
      </c>
      <c r="X34" s="1568"/>
      <c r="Y34" s="338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87"/>
      <c r="Q35" s="1573"/>
      <c r="R35" s="1574"/>
      <c r="S35" s="1575"/>
      <c r="T35" s="1574"/>
      <c r="U35" s="1575"/>
      <c r="V35" s="1574"/>
      <c r="W35" s="1575"/>
      <c r="X35" s="1568"/>
      <c r="Y35" s="338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7"/>
      <c r="Q36" s="1573" t="str">
        <f t="shared" si="8"/>
        <v>土地级别</v>
      </c>
      <c r="R36" s="1574" t="s">
        <v>8</v>
      </c>
      <c r="S36" s="1575">
        <f t="shared" si="10"/>
        <v>100</v>
      </c>
      <c r="T36" s="1574" t="s">
        <v>8</v>
      </c>
      <c r="U36" s="1575">
        <f t="shared" si="11"/>
        <v>100</v>
      </c>
      <c r="V36" s="1574" t="s">
        <v>8</v>
      </c>
      <c r="W36" s="1575">
        <f t="shared" si="12"/>
        <v>100</v>
      </c>
      <c r="X36" s="1568"/>
      <c r="Y36" s="338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7"/>
      <c r="Q37" s="1573">
        <f t="shared" si="8"/>
        <v>111</v>
      </c>
      <c r="R37" s="1574" t="s">
        <v>8</v>
      </c>
      <c r="S37" s="1575">
        <f t="shared" si="10"/>
        <v>100</v>
      </c>
      <c r="T37" s="1574" t="s">
        <v>8</v>
      </c>
      <c r="U37" s="1575">
        <f t="shared" si="11"/>
        <v>100</v>
      </c>
      <c r="V37" s="1574" t="s">
        <v>8</v>
      </c>
      <c r="W37" s="1575">
        <f t="shared" si="12"/>
        <v>100</v>
      </c>
      <c r="X37" s="1568"/>
      <c r="Y37" s="338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8" t="s">
        <v>550</v>
      </c>
      <c r="Q38" s="1573">
        <f t="shared" si="8"/>
        <v>111</v>
      </c>
      <c r="R38" s="1574" t="s">
        <v>8</v>
      </c>
      <c r="S38" s="1575">
        <f t="shared" si="10"/>
        <v>100</v>
      </c>
      <c r="T38" s="1574" t="s">
        <v>8</v>
      </c>
      <c r="U38" s="1575">
        <f t="shared" si="11"/>
        <v>100</v>
      </c>
      <c r="V38" s="1574" t="s">
        <v>8</v>
      </c>
      <c r="W38" s="1575">
        <f t="shared" si="12"/>
        <v>100</v>
      </c>
      <c r="X38" s="1568"/>
      <c r="Y38" s="338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9"/>
      <c r="Q39" s="1573">
        <f t="shared" si="8"/>
        <v>111</v>
      </c>
      <c r="R39" s="1578" t="s">
        <v>8</v>
      </c>
      <c r="S39" s="1579">
        <f t="shared" si="10"/>
        <v>100</v>
      </c>
      <c r="T39" s="1578" t="s">
        <v>8</v>
      </c>
      <c r="U39" s="1579">
        <f t="shared" si="11"/>
        <v>100</v>
      </c>
      <c r="V39" s="1578" t="s">
        <v>8</v>
      </c>
      <c r="W39" s="1579">
        <f t="shared" si="12"/>
        <v>100</v>
      </c>
      <c r="X39" s="1580"/>
      <c r="Y39" s="3389"/>
      <c r="Z39" s="1581">
        <f t="shared" si="13"/>
        <v>111</v>
      </c>
      <c r="AA39" s="1577">
        <f t="shared" si="3"/>
        <v>1</v>
      </c>
      <c r="AB39" s="1577">
        <f t="shared" si="4"/>
        <v>1</v>
      </c>
      <c r="AC39" s="1577">
        <f t="shared" si="5"/>
        <v>1</v>
      </c>
    </row>
    <row r="40" spans="1:29" ht="20.25">
      <c r="A40" s="2909"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389"/>
      <c r="Q40" s="1573" t="str">
        <f>B40</f>
        <v>宗地面积</v>
      </c>
      <c r="R40" s="1574" t="s">
        <v>8</v>
      </c>
      <c r="S40" s="1575" t="e">
        <f t="shared" si="10"/>
        <v>#N/A</v>
      </c>
      <c r="T40" s="1574" t="s">
        <v>8</v>
      </c>
      <c r="U40" s="1575" t="e">
        <f t="shared" si="11"/>
        <v>#N/A</v>
      </c>
      <c r="V40" s="1574" t="s">
        <v>8</v>
      </c>
      <c r="W40" s="1575" t="e">
        <f t="shared" si="12"/>
        <v>#N/A</v>
      </c>
      <c r="X40" s="1568"/>
      <c r="Y40" s="3389"/>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89"/>
      <c r="Q41" s="1573" t="str">
        <f t="shared" ref="Q41:Q47" si="14">B41</f>
        <v>宗地形状</v>
      </c>
      <c r="R41" s="1574" t="s">
        <v>8</v>
      </c>
      <c r="S41" s="1575">
        <f t="shared" si="10"/>
        <v>100</v>
      </c>
      <c r="T41" s="1574" t="s">
        <v>8</v>
      </c>
      <c r="U41" s="1575">
        <f t="shared" si="11"/>
        <v>100</v>
      </c>
      <c r="V41" s="1574" t="s">
        <v>8</v>
      </c>
      <c r="W41" s="1575">
        <f t="shared" si="12"/>
        <v>100</v>
      </c>
      <c r="X41" s="1568"/>
      <c r="Y41" s="338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89"/>
      <c r="Q42" s="1573" t="str">
        <f t="shared" si="14"/>
        <v>临街宽度及深度</v>
      </c>
      <c r="R42" s="1574" t="s">
        <v>8</v>
      </c>
      <c r="S42" s="1575">
        <f t="shared" si="10"/>
        <v>100</v>
      </c>
      <c r="T42" s="1574" t="s">
        <v>8</v>
      </c>
      <c r="U42" s="1575">
        <f t="shared" si="11"/>
        <v>100</v>
      </c>
      <c r="V42" s="1574" t="s">
        <v>8</v>
      </c>
      <c r="W42" s="1575">
        <f t="shared" si="12"/>
        <v>100</v>
      </c>
      <c r="X42" s="1568"/>
      <c r="Y42" s="3389"/>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89"/>
      <c r="Q43" s="1573" t="str">
        <f t="shared" si="14"/>
        <v>宗地开发程度</v>
      </c>
      <c r="R43" s="1569" t="s">
        <v>8</v>
      </c>
      <c r="S43" s="1570">
        <f t="shared" si="10"/>
        <v>100</v>
      </c>
      <c r="T43" s="1569" t="s">
        <v>8</v>
      </c>
      <c r="U43" s="1570">
        <f t="shared" si="11"/>
        <v>100</v>
      </c>
      <c r="V43" s="1569" t="s">
        <v>8</v>
      </c>
      <c r="W43" s="1570">
        <f t="shared" si="12"/>
        <v>100</v>
      </c>
      <c r="X43" s="1571"/>
      <c r="Y43" s="338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89" t="s">
        <v>550</v>
      </c>
      <c r="Q44" s="1573" t="str">
        <f t="shared" si="14"/>
        <v>工程地质条件</v>
      </c>
      <c r="R44" s="1574" t="s">
        <v>8</v>
      </c>
      <c r="S44" s="1575">
        <f t="shared" si="10"/>
        <v>100</v>
      </c>
      <c r="T44" s="1574" t="s">
        <v>8</v>
      </c>
      <c r="U44" s="1575">
        <f t="shared" si="11"/>
        <v>100</v>
      </c>
      <c r="V44" s="1574" t="s">
        <v>8</v>
      </c>
      <c r="W44" s="1575">
        <f t="shared" si="12"/>
        <v>100</v>
      </c>
      <c r="X44" s="1568"/>
      <c r="Y44" s="338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9"/>
      <c r="Q45" s="1573">
        <f t="shared" si="14"/>
        <v>111</v>
      </c>
      <c r="R45" s="1574" t="s">
        <v>8</v>
      </c>
      <c r="S45" s="1575">
        <f t="shared" si="10"/>
        <v>100</v>
      </c>
      <c r="T45" s="1574" t="s">
        <v>8</v>
      </c>
      <c r="U45" s="1575">
        <f t="shared" si="11"/>
        <v>100</v>
      </c>
      <c r="V45" s="1574" t="s">
        <v>8</v>
      </c>
      <c r="W45" s="1575">
        <f t="shared" si="12"/>
        <v>100</v>
      </c>
      <c r="X45" s="1568"/>
      <c r="Y45" s="338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9"/>
      <c r="Q46" s="1573">
        <f t="shared" si="14"/>
        <v>111</v>
      </c>
      <c r="R46" s="1574" t="s">
        <v>8</v>
      </c>
      <c r="S46" s="1575">
        <f t="shared" si="10"/>
        <v>100</v>
      </c>
      <c r="T46" s="1574" t="s">
        <v>8</v>
      </c>
      <c r="U46" s="1575">
        <f t="shared" si="11"/>
        <v>100</v>
      </c>
      <c r="V46" s="1574" t="s">
        <v>8</v>
      </c>
      <c r="W46" s="1575">
        <f t="shared" si="12"/>
        <v>100</v>
      </c>
      <c r="X46" s="1568"/>
      <c r="Y46" s="338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9"/>
      <c r="Q47" s="1573">
        <f t="shared" si="14"/>
        <v>111</v>
      </c>
      <c r="R47" s="1578" t="s">
        <v>8</v>
      </c>
      <c r="S47" s="1579">
        <f t="shared" si="10"/>
        <v>100</v>
      </c>
      <c r="T47" s="1578" t="s">
        <v>8</v>
      </c>
      <c r="U47" s="1579">
        <f t="shared" si="11"/>
        <v>100</v>
      </c>
      <c r="V47" s="1578" t="s">
        <v>8</v>
      </c>
      <c r="W47" s="1579">
        <f t="shared" si="12"/>
        <v>100</v>
      </c>
      <c r="X47" s="1580"/>
      <c r="Y47" s="3389"/>
      <c r="Z47" s="1581">
        <f t="shared" si="13"/>
        <v>111</v>
      </c>
      <c r="AA47" s="1577">
        <f t="shared" si="3"/>
        <v>1</v>
      </c>
      <c r="AB47" s="1577">
        <f t="shared" si="4"/>
        <v>1</v>
      </c>
      <c r="AC47" s="1577">
        <f t="shared" si="5"/>
        <v>1</v>
      </c>
    </row>
    <row r="48" spans="1:29" ht="20.25">
      <c r="A48" s="607" t="s">
        <v>556</v>
      </c>
      <c r="B48" s="608" t="s">
        <v>2935</v>
      </c>
      <c r="C48" s="609" t="s">
        <v>1</v>
      </c>
      <c r="D48" s="610"/>
      <c r="E48" s="611"/>
      <c r="F48" s="612"/>
      <c r="G48" s="613"/>
      <c r="H48" s="614"/>
      <c r="I48" s="611"/>
      <c r="J48" s="614"/>
      <c r="K48" s="1340"/>
      <c r="L48" s="2146"/>
      <c r="M48" s="2134"/>
      <c r="N48" s="2134"/>
      <c r="O48" s="2147"/>
      <c r="P48" s="3384" t="str">
        <f>A48</f>
        <v>成交单价</v>
      </c>
      <c r="Q48" s="3384"/>
      <c r="R48" s="3398">
        <f>E48</f>
        <v>0</v>
      </c>
      <c r="S48" s="3398"/>
      <c r="T48" s="3398">
        <f>G48</f>
        <v>0</v>
      </c>
      <c r="U48" s="3398"/>
      <c r="V48" s="3398">
        <f>I48</f>
        <v>0</v>
      </c>
      <c r="W48" s="3398"/>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6"/>
      <c r="M49" s="2134"/>
      <c r="N49" s="2134"/>
      <c r="O49" s="2147"/>
      <c r="P49" s="3384" t="str">
        <f>A49</f>
        <v>比较价格（元/平方米）</v>
      </c>
      <c r="Q49" s="3384"/>
      <c r="R49" s="3408" t="e">
        <f>ROUND(PRODUCT(R48,AA9:AA47),0)</f>
        <v>#DIV/0!</v>
      </c>
      <c r="S49" s="3408"/>
      <c r="T49" s="3408" t="e">
        <f>ROUND(PRODUCT(T48,AB9:AB47),0)</f>
        <v>#DIV/0!</v>
      </c>
      <c r="U49" s="3408"/>
      <c r="V49" s="3408" t="e">
        <f>ROUND(PRODUCT(V48,AC9:AC47),0)</f>
        <v>#DIV/0!</v>
      </c>
      <c r="W49" s="3408"/>
      <c r="X49" s="1560"/>
      <c r="Y49" s="1560"/>
      <c r="Z49" s="1560"/>
      <c r="AA49" s="1560"/>
      <c r="AB49" s="1560"/>
      <c r="AC49" s="1560"/>
    </row>
    <row r="50" spans="1:29" ht="21" thickBot="1">
      <c r="A50" s="621" t="s">
        <v>2936</v>
      </c>
      <c r="B50" s="622"/>
      <c r="C50" s="623" t="e">
        <f>R50</f>
        <v>#DIV/0!</v>
      </c>
      <c r="D50" s="623"/>
      <c r="E50" s="623"/>
      <c r="F50" s="623"/>
      <c r="G50" s="623"/>
      <c r="H50" s="623"/>
      <c r="I50" s="623"/>
      <c r="J50" s="623"/>
      <c r="K50" s="1342"/>
      <c r="L50" s="2146"/>
      <c r="M50" s="2134"/>
      <c r="N50" s="2134"/>
      <c r="O50" s="2147"/>
      <c r="P50" s="3405" t="str">
        <f>A50</f>
        <v>估价对象XX用房的比较价格（楼面单价，元/平方米）</v>
      </c>
      <c r="Q50" s="3406"/>
      <c r="R50" s="3407" t="e">
        <f>ROUND(AVERAGE(R49:V49),0)</f>
        <v>#DIV/0!</v>
      </c>
      <c r="S50" s="3407"/>
      <c r="T50" s="3407"/>
      <c r="U50" s="3407"/>
      <c r="V50" s="3407"/>
      <c r="W50" s="340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68" t="s">
        <v>2284</v>
      </c>
      <c r="H57" s="3369"/>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80808</v>
      </c>
      <c r="F58" s="636" t="e">
        <f t="shared" ref="F58:F67" si="15">ROUND(B58*E58/10000,0)</f>
        <v>#DIV/0!</v>
      </c>
      <c r="G58" s="3370"/>
      <c r="H58" s="337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372"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37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37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37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t="e">
        <f t="shared" si="17"/>
        <v>#DIV/0!</v>
      </c>
      <c r="C63" s="378">
        <f t="shared" si="16"/>
        <v>0</v>
      </c>
      <c r="D63" s="2231">
        <v>0.25</v>
      </c>
      <c r="E63" s="641">
        <f>'数据-汇总表'!E11</f>
        <v>0</v>
      </c>
      <c r="F63" s="636" t="e">
        <f t="shared" si="15"/>
        <v>#DIV/0!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v>
      </c>
      <c r="D64" s="2231">
        <v>0.25</v>
      </c>
      <c r="E64" s="641">
        <f>'数据-汇总表'!E12</f>
        <v>0</v>
      </c>
      <c r="F64" s="636" t="e">
        <f t="shared" si="15"/>
        <v>#DIV/0!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v>
      </c>
      <c r="D67" s="2231">
        <v>0.25</v>
      </c>
      <c r="E67" s="641">
        <f>'数据-汇总表'!E15</f>
        <v>0</v>
      </c>
      <c r="F67" s="636" t="e">
        <f t="shared" si="15"/>
        <v>#DIV/0!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86802.49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2018-7-1</v>
      </c>
      <c r="D70" s="2801">
        <f>EDATE(C70,-3)</f>
        <v>43191</v>
      </c>
      <c r="E70" s="2801">
        <f t="shared" ref="E70:N70" si="18">EDATE(D70,-3)</f>
        <v>43101</v>
      </c>
      <c r="F70" s="2801">
        <f t="shared" si="18"/>
        <v>43009</v>
      </c>
      <c r="G70" s="2801">
        <f t="shared" si="18"/>
        <v>42917</v>
      </c>
      <c r="H70" s="2801">
        <f t="shared" si="18"/>
        <v>42826</v>
      </c>
      <c r="I70" s="2801">
        <f t="shared" si="18"/>
        <v>42736</v>
      </c>
      <c r="J70" s="2801">
        <f t="shared" si="18"/>
        <v>42644</v>
      </c>
      <c r="K70" s="2801">
        <f t="shared" si="18"/>
        <v>42552</v>
      </c>
      <c r="L70" s="2801">
        <f t="shared" si="18"/>
        <v>42461</v>
      </c>
      <c r="M70" s="2801">
        <f t="shared" si="18"/>
        <v>42370</v>
      </c>
      <c r="N70" s="2801">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北京市平均增长率2.15%</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2" t="str">
        <f t="shared" si="25"/>
        <v>(含)-</v>
      </c>
      <c r="K118" s="3092" t="str">
        <f t="shared" si="25"/>
        <v>(含)-</v>
      </c>
      <c r="L118" s="3093" t="str">
        <f t="shared" si="25"/>
        <v>(含)-</v>
      </c>
      <c r="M118" s="3094"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8" zoomScale="89" zoomScaleNormal="89" workbookViewId="0">
      <selection activeCell="K30" sqref="K3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12708</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1573</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1464</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98</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90" t="s">
        <v>522</v>
      </c>
      <c r="D6" s="3391"/>
      <c r="E6" s="3414" t="s">
        <v>523</v>
      </c>
      <c r="F6" s="3415"/>
      <c r="G6" s="3390" t="s">
        <v>524</v>
      </c>
      <c r="H6" s="3391"/>
      <c r="I6" s="3390" t="s">
        <v>525</v>
      </c>
      <c r="J6" s="3391"/>
      <c r="K6" s="514" t="s">
        <v>526</v>
      </c>
      <c r="L6" s="2135"/>
      <c r="M6" s="2136"/>
      <c r="N6" s="2136"/>
      <c r="O6" s="2136"/>
      <c r="P6" s="3392" t="s">
        <v>527</v>
      </c>
      <c r="Q6" s="3393"/>
      <c r="R6" s="3378" t="s">
        <v>523</v>
      </c>
      <c r="S6" s="3379"/>
      <c r="T6" s="3378" t="s">
        <v>524</v>
      </c>
      <c r="U6" s="3379"/>
      <c r="V6" s="3398" t="s">
        <v>525</v>
      </c>
      <c r="W6" s="3398"/>
      <c r="X6" s="1568"/>
      <c r="Y6" s="3378" t="s">
        <v>527</v>
      </c>
      <c r="Z6" s="3379"/>
      <c r="AA6" s="3373" t="s">
        <v>523</v>
      </c>
      <c r="AB6" s="3374" t="s">
        <v>524</v>
      </c>
      <c r="AC6" s="3373" t="s">
        <v>525</v>
      </c>
    </row>
    <row r="7" spans="1:29" ht="15">
      <c r="A7" s="515"/>
      <c r="B7" s="516"/>
      <c r="C7" s="3418" t="str">
        <f>项目基本情况!F10</f>
        <v>通州区马驹桥镇金桥科技产业基地</v>
      </c>
      <c r="D7" s="3402"/>
      <c r="E7" s="3416" t="str">
        <f>案例!A30</f>
        <v>通州物流基地YZ00-0606-0015地块W1物流用地</v>
      </c>
      <c r="F7" s="3417"/>
      <c r="G7" s="3401" t="str">
        <f>案例!A31</f>
        <v>通州物流基地YZ00-0606-0019地块W1物流用地</v>
      </c>
      <c r="H7" s="3402"/>
      <c r="I7" s="3401" t="str">
        <f>案例!A7</f>
        <v>大兴区黄村镇孙村组团D-07B1地块</v>
      </c>
      <c r="J7" s="3402"/>
      <c r="K7" s="514"/>
      <c r="L7" s="2135"/>
      <c r="M7" s="2136"/>
      <c r="N7" s="2136"/>
      <c r="O7" s="2136"/>
      <c r="P7" s="3394"/>
      <c r="Q7" s="3395"/>
      <c r="R7" s="3380"/>
      <c r="S7" s="3381"/>
      <c r="T7" s="3380"/>
      <c r="U7" s="3381"/>
      <c r="V7" s="3398"/>
      <c r="W7" s="3398"/>
      <c r="X7" s="1568"/>
      <c r="Y7" s="3380"/>
      <c r="Z7" s="3381"/>
      <c r="AA7" s="3374"/>
      <c r="AB7" s="3374"/>
      <c r="AC7" s="3374"/>
    </row>
    <row r="8" spans="1:29" ht="15.75" thickBot="1">
      <c r="A8" s="517"/>
      <c r="B8" s="518"/>
      <c r="C8" s="3399" t="s">
        <v>2934</v>
      </c>
      <c r="D8" s="3400"/>
      <c r="E8" s="3419" t="s">
        <v>2934</v>
      </c>
      <c r="F8" s="3420"/>
      <c r="G8" s="3399" t="s">
        <v>2934</v>
      </c>
      <c r="H8" s="3400"/>
      <c r="I8" s="3399" t="s">
        <v>2934</v>
      </c>
      <c r="J8" s="3400"/>
      <c r="K8" s="514" t="s">
        <v>528</v>
      </c>
      <c r="L8" s="2135"/>
      <c r="M8" s="2136"/>
      <c r="N8" s="2136"/>
      <c r="O8" s="2136"/>
      <c r="P8" s="3396"/>
      <c r="Q8" s="3397"/>
      <c r="R8" s="3380"/>
      <c r="S8" s="3381"/>
      <c r="T8" s="3382"/>
      <c r="U8" s="3383"/>
      <c r="V8" s="3398"/>
      <c r="W8" s="3398"/>
      <c r="X8" s="1568"/>
      <c r="Y8" s="3382"/>
      <c r="Z8" s="3383"/>
      <c r="AA8" s="3375"/>
      <c r="AB8" s="3375"/>
      <c r="AC8" s="3375"/>
    </row>
    <row r="9" spans="1:29" s="1220" customFormat="1" ht="15.75" thickBot="1">
      <c r="A9" s="2914"/>
      <c r="B9" s="2921" t="s">
        <v>529</v>
      </c>
      <c r="C9" s="519">
        <f>'数据-取费表'!B2</f>
        <v>43290</v>
      </c>
      <c r="D9" s="520">
        <v>100</v>
      </c>
      <c r="E9" s="521" t="str">
        <f>案例!AA30</f>
        <v>2015-11-03</v>
      </c>
      <c r="F9" s="522">
        <f>SUMIF(67:67,YEAR(E9)&amp;"-"&amp;INT((MONTH(E9)+2)/3),68:68)</f>
        <v>98</v>
      </c>
      <c r="G9" s="523" t="str">
        <f>案例!AA31</f>
        <v>2015-11-03</v>
      </c>
      <c r="H9" s="520">
        <f>SUMIF(67:67,YEAR(G9)&amp;"-"&amp;INT((MONTH(G9)+2)/3),68:68)</f>
        <v>98</v>
      </c>
      <c r="I9" s="523" t="str">
        <f>案例!AA7</f>
        <v>2017-05-22</v>
      </c>
      <c r="J9" s="520">
        <f>SUMIF(67:67,YEAR(I9)&amp;"-"&amp;INT((MONTH(I9)+2)/3),68:68)</f>
        <v>99</v>
      </c>
      <c r="K9" s="524"/>
      <c r="L9" s="2137"/>
      <c r="M9" s="2138"/>
      <c r="N9" s="2138"/>
      <c r="O9" s="2138"/>
      <c r="P9" s="3376" t="s">
        <v>530</v>
      </c>
      <c r="Q9" s="3385"/>
      <c r="R9" s="1569" t="s">
        <v>8</v>
      </c>
      <c r="S9" s="1570">
        <f t="shared" ref="S9:S17" si="0">F9</f>
        <v>98</v>
      </c>
      <c r="T9" s="1569" t="s">
        <v>8</v>
      </c>
      <c r="U9" s="1570">
        <f t="shared" ref="U9:U17" si="1">H9</f>
        <v>98</v>
      </c>
      <c r="V9" s="1569" t="s">
        <v>8</v>
      </c>
      <c r="W9" s="1570">
        <f t="shared" ref="W9:W17" si="2">J9</f>
        <v>99</v>
      </c>
      <c r="X9" s="1571"/>
      <c r="Y9" s="3376" t="s">
        <v>530</v>
      </c>
      <c r="Z9" s="3377"/>
      <c r="AA9" s="1572">
        <f>D9/F9</f>
        <v>1.0204081632653061</v>
      </c>
      <c r="AB9" s="1572">
        <f>D9/H9</f>
        <v>1.0204081632653061</v>
      </c>
      <c r="AC9" s="1572">
        <f>D9/J9</f>
        <v>1.0101010101010102</v>
      </c>
    </row>
    <row r="10" spans="1:29" s="1220" customFormat="1" ht="15.75" thickBot="1">
      <c r="A10" s="2915"/>
      <c r="B10" s="2922" t="s">
        <v>531</v>
      </c>
      <c r="C10" s="525" t="s">
        <v>532</v>
      </c>
      <c r="D10" s="520">
        <v>100</v>
      </c>
      <c r="E10" s="525" t="s">
        <v>3270</v>
      </c>
      <c r="F10" s="522">
        <f>SUMIF(70:70,E10,71:71)-SUMIF(70:70,C10,71:71)+100</f>
        <v>100</v>
      </c>
      <c r="G10" s="525" t="s">
        <v>3270</v>
      </c>
      <c r="H10" s="520">
        <f>SUMIF(70:70,G10,71:71)-SUMIF(70:70,C10,71:71)+100</f>
        <v>100</v>
      </c>
      <c r="I10" s="525" t="s">
        <v>3270</v>
      </c>
      <c r="J10" s="520">
        <f>SUMIF(70:70,I10,71:71)-SUMIF(70:70,C10,71:71)+100</f>
        <v>100</v>
      </c>
      <c r="K10" s="524"/>
      <c r="L10" s="2137"/>
      <c r="M10" s="2138"/>
      <c r="N10" s="2138"/>
      <c r="O10" s="2138"/>
      <c r="P10" s="3376" t="s">
        <v>533</v>
      </c>
      <c r="Q10" s="3377"/>
      <c r="R10" s="1569" t="s">
        <v>8</v>
      </c>
      <c r="S10" s="1570">
        <f t="shared" si="0"/>
        <v>100</v>
      </c>
      <c r="T10" s="1569" t="s">
        <v>8</v>
      </c>
      <c r="U10" s="1570">
        <f t="shared" si="1"/>
        <v>100</v>
      </c>
      <c r="V10" s="1569" t="s">
        <v>8</v>
      </c>
      <c r="W10" s="1570">
        <f t="shared" si="2"/>
        <v>100</v>
      </c>
      <c r="X10" s="1571"/>
      <c r="Y10" s="3376" t="s">
        <v>533</v>
      </c>
      <c r="Z10" s="3377"/>
      <c r="AA10" s="1572">
        <f t="shared" ref="AA10:AA42" si="3">D10/F10</f>
        <v>1</v>
      </c>
      <c r="AB10" s="1572">
        <f t="shared" ref="AB10:AB42" si="4">D10/H10</f>
        <v>1</v>
      </c>
      <c r="AC10" s="1572">
        <f t="shared" ref="AC10:AC42" si="5">D10/J10</f>
        <v>1</v>
      </c>
    </row>
    <row r="11" spans="1:29" s="1220" customFormat="1" ht="15">
      <c r="A11" s="2916"/>
      <c r="B11" s="2923" t="s">
        <v>2759</v>
      </c>
      <c r="C11" s="526" t="s">
        <v>982</v>
      </c>
      <c r="D11" s="254">
        <v>100</v>
      </c>
      <c r="E11" s="526" t="s">
        <v>3268</v>
      </c>
      <c r="F11" s="254">
        <f>SUMIF(72:72,E11,73:73)-SUMIF(72:72,C11,73:73)+100</f>
        <v>100</v>
      </c>
      <c r="G11" s="526" t="s">
        <v>3268</v>
      </c>
      <c r="H11" s="254">
        <f>SUMIF(72:72,G11,73:73)-SUMIF(72:72,C11,73:73)+100</f>
        <v>100</v>
      </c>
      <c r="I11" s="526" t="s">
        <v>982</v>
      </c>
      <c r="J11" s="254">
        <f>SUMIF(72:72,I11,73:73)-SUMIF(72:72,C11,73:73)+100</f>
        <v>100</v>
      </c>
      <c r="K11" s="524"/>
      <c r="L11" s="2137"/>
      <c r="M11" s="2138"/>
      <c r="N11" s="2138"/>
      <c r="O11" s="2139"/>
      <c r="P11" s="3384" t="s">
        <v>535</v>
      </c>
      <c r="Q11" s="1151" t="str">
        <f t="shared" ref="Q11:Q17" si="6">B11</f>
        <v>用途</v>
      </c>
      <c r="R11" s="1569" t="s">
        <v>8</v>
      </c>
      <c r="S11" s="1570">
        <f t="shared" si="0"/>
        <v>100</v>
      </c>
      <c r="T11" s="1569" t="s">
        <v>8</v>
      </c>
      <c r="U11" s="1570">
        <f t="shared" si="1"/>
        <v>100</v>
      </c>
      <c r="V11" s="1569" t="s">
        <v>8</v>
      </c>
      <c r="W11" s="1570">
        <f t="shared" si="2"/>
        <v>100</v>
      </c>
      <c r="X11" s="1571"/>
      <c r="Y11" s="3341" t="s">
        <v>536</v>
      </c>
      <c r="Z11" s="1150" t="str">
        <f t="shared" ref="Z11:Z17" si="7">Q11</f>
        <v>用途</v>
      </c>
      <c r="AA11" s="1572">
        <f t="shared" si="3"/>
        <v>1</v>
      </c>
      <c r="AB11" s="1572">
        <f t="shared" si="4"/>
        <v>1</v>
      </c>
      <c r="AC11" s="1572">
        <f t="shared" si="5"/>
        <v>1</v>
      </c>
    </row>
    <row r="12" spans="1:29" s="1338" customFormat="1" ht="27">
      <c r="A12" s="2917"/>
      <c r="B12" s="2922" t="s">
        <v>2760</v>
      </c>
      <c r="C12" s="528">
        <f>'数据-取费表'!F6</f>
        <v>40.159999999999997</v>
      </c>
      <c r="D12" s="255">
        <v>100</v>
      </c>
      <c r="E12" s="528">
        <v>50</v>
      </c>
      <c r="F12" s="255">
        <f>ROUND(100/'数据-取费表'!G16,0)</f>
        <v>110</v>
      </c>
      <c r="G12" s="528">
        <v>50</v>
      </c>
      <c r="H12" s="255">
        <f>ROUND(100/'数据-取费表'!G16,0)</f>
        <v>110</v>
      </c>
      <c r="I12" s="528">
        <v>50</v>
      </c>
      <c r="J12" s="255">
        <f>ROUND(100/'数据-取费表'!G16,0)</f>
        <v>110</v>
      </c>
      <c r="K12" s="531"/>
      <c r="L12" s="2140"/>
      <c r="M12" s="2180"/>
      <c r="N12" s="2180"/>
      <c r="O12" s="2141"/>
      <c r="P12" s="3384"/>
      <c r="Q12" s="1151" t="str">
        <f t="shared" si="6"/>
        <v>土地使用年限（年）</v>
      </c>
      <c r="R12" s="1569" t="s">
        <v>8</v>
      </c>
      <c r="S12" s="1570">
        <f t="shared" si="0"/>
        <v>110</v>
      </c>
      <c r="T12" s="1569" t="s">
        <v>8</v>
      </c>
      <c r="U12" s="1570">
        <f t="shared" si="1"/>
        <v>110</v>
      </c>
      <c r="V12" s="1569" t="s">
        <v>8</v>
      </c>
      <c r="W12" s="1570">
        <f t="shared" si="2"/>
        <v>110</v>
      </c>
      <c r="X12" s="1571"/>
      <c r="Y12" s="3341"/>
      <c r="Z12" s="1150" t="str">
        <f t="shared" si="7"/>
        <v>土地使用年限（年）</v>
      </c>
      <c r="AA12" s="1572">
        <f t="shared" si="3"/>
        <v>0.90909090909090906</v>
      </c>
      <c r="AB12" s="1572">
        <f t="shared" si="4"/>
        <v>0.90909090909090906</v>
      </c>
      <c r="AC12" s="1572">
        <f t="shared" si="5"/>
        <v>0.90909090909090906</v>
      </c>
    </row>
    <row r="13" spans="1:29" ht="15">
      <c r="A13" s="2918"/>
      <c r="B13" s="2922" t="s">
        <v>2761</v>
      </c>
      <c r="C13" s="533">
        <v>1</v>
      </c>
      <c r="D13" s="255">
        <v>100</v>
      </c>
      <c r="E13" s="533">
        <f>案例!L30</f>
        <v>1.5</v>
      </c>
      <c r="F13" s="255">
        <f>LOOKUP(E13,77:77,78:78)-LOOKUP(C13,77:77,78:78)+100</f>
        <v>100</v>
      </c>
      <c r="G13" s="534">
        <f>案例!L31</f>
        <v>1.5</v>
      </c>
      <c r="H13" s="255">
        <f>LOOKUP(G13,77:77,78:78)-LOOKUP(C13,77:77,78:78)+100</f>
        <v>100</v>
      </c>
      <c r="I13" s="533">
        <v>1.4</v>
      </c>
      <c r="J13" s="255">
        <f>LOOKUP(I13,77:77,78:78)-LOOKUP(C13,77:77,78:78)+100</f>
        <v>100</v>
      </c>
      <c r="K13" s="535"/>
      <c r="L13" s="2142"/>
      <c r="M13" s="2136"/>
      <c r="N13" s="2136"/>
      <c r="O13" s="2143"/>
      <c r="P13" s="3384"/>
      <c r="Q13" s="1151" t="str">
        <f t="shared" si="6"/>
        <v>容积率</v>
      </c>
      <c r="R13" s="1569" t="s">
        <v>8</v>
      </c>
      <c r="S13" s="1570">
        <f t="shared" si="0"/>
        <v>100</v>
      </c>
      <c r="T13" s="1569" t="s">
        <v>8</v>
      </c>
      <c r="U13" s="1570">
        <f t="shared" si="1"/>
        <v>100</v>
      </c>
      <c r="V13" s="1569" t="s">
        <v>8</v>
      </c>
      <c r="W13" s="1570">
        <f t="shared" si="2"/>
        <v>100</v>
      </c>
      <c r="X13" s="1571"/>
      <c r="Y13" s="3341"/>
      <c r="Z13" s="1150" t="str">
        <f t="shared" si="7"/>
        <v>容积率</v>
      </c>
      <c r="AA13" s="1572">
        <f t="shared" si="3"/>
        <v>1</v>
      </c>
      <c r="AB13" s="1572">
        <f t="shared" si="4"/>
        <v>1</v>
      </c>
      <c r="AC13" s="1572">
        <f t="shared" si="5"/>
        <v>1</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4"/>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4"/>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4"/>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 t="shared" si="3"/>
        <v>1</v>
      </c>
      <c r="AB16" s="1572">
        <f t="shared" si="4"/>
        <v>1</v>
      </c>
      <c r="AC16" s="1572">
        <f t="shared" si="5"/>
        <v>1</v>
      </c>
    </row>
    <row r="17" spans="1:29" ht="81.75" customHeight="1">
      <c r="A17" s="2912" t="s">
        <v>2757</v>
      </c>
      <c r="B17" s="166" t="s">
        <v>598</v>
      </c>
      <c r="C17" s="921" t="str">
        <f>估价对象房地状况!G15</f>
        <v>估价对象位于北京市通州区马驹桥镇金桥产业基地，园区建设成熟，产业集聚程度较好</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6" t="s">
        <v>540</v>
      </c>
      <c r="Q17" s="1573" t="str">
        <f t="shared" si="6"/>
        <v>产业集聚程度</v>
      </c>
      <c r="R17" s="1574" t="s">
        <v>8</v>
      </c>
      <c r="S17" s="1575">
        <f t="shared" si="0"/>
        <v>100</v>
      </c>
      <c r="T17" s="1574" t="s">
        <v>8</v>
      </c>
      <c r="U17" s="1575">
        <f t="shared" si="1"/>
        <v>100</v>
      </c>
      <c r="V17" s="1574" t="s">
        <v>8</v>
      </c>
      <c r="W17" s="1575">
        <f t="shared" si="2"/>
        <v>100</v>
      </c>
      <c r="X17" s="1568"/>
      <c r="Y17" s="3386" t="s">
        <v>540</v>
      </c>
      <c r="Z17" s="1576" t="str">
        <f t="shared" si="7"/>
        <v>产业集聚程度</v>
      </c>
      <c r="AA17" s="1577">
        <f t="shared" si="3"/>
        <v>1</v>
      </c>
      <c r="AB17" s="1577">
        <f t="shared" si="4"/>
        <v>1</v>
      </c>
      <c r="AC17" s="1577">
        <f t="shared" si="5"/>
        <v>1</v>
      </c>
    </row>
    <row r="18" spans="1:29" ht="15">
      <c r="A18" s="532"/>
      <c r="B18" s="869"/>
      <c r="C18" s="576" t="s">
        <v>3028</v>
      </c>
      <c r="D18" s="555"/>
      <c r="E18" s="554" t="s">
        <v>3028</v>
      </c>
      <c r="F18" s="555"/>
      <c r="G18" s="554" t="s">
        <v>3028</v>
      </c>
      <c r="H18" s="559"/>
      <c r="I18" s="554" t="s">
        <v>3028</v>
      </c>
      <c r="J18" s="555"/>
      <c r="K18" s="531"/>
      <c r="L18" s="2144"/>
      <c r="M18" s="2136"/>
      <c r="N18" s="2136"/>
      <c r="O18" s="2143"/>
      <c r="P18" s="3387"/>
      <c r="Q18" s="1573"/>
      <c r="R18" s="1574"/>
      <c r="S18" s="1575"/>
      <c r="T18" s="1574"/>
      <c r="U18" s="1575"/>
      <c r="V18" s="1574"/>
      <c r="W18" s="1575"/>
      <c r="X18" s="1568"/>
      <c r="Y18" s="3387"/>
      <c r="Z18" s="1576"/>
      <c r="AA18" s="1577">
        <v>1</v>
      </c>
      <c r="AB18" s="1577">
        <v>1</v>
      </c>
      <c r="AC18" s="1577">
        <v>1</v>
      </c>
    </row>
    <row r="19" spans="1:29" ht="71.25" customHeight="1">
      <c r="A19" s="532"/>
      <c r="B19" s="871" t="s">
        <v>543</v>
      </c>
      <c r="C19" s="872" t="str">
        <f>估价对象房地状况!G16</f>
        <v>估价对象紧邻六环高速路、公共交通通达情况较好、综合评价交通便捷度较好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7"/>
      <c r="Q19" s="1573" t="str">
        <f>B19</f>
        <v>交通便捷度</v>
      </c>
      <c r="R19" s="1574" t="s">
        <v>8</v>
      </c>
      <c r="S19" s="1575">
        <f>F19</f>
        <v>100</v>
      </c>
      <c r="T19" s="1574" t="s">
        <v>8</v>
      </c>
      <c r="U19" s="1575">
        <f>H19</f>
        <v>100</v>
      </c>
      <c r="V19" s="1574" t="s">
        <v>8</v>
      </c>
      <c r="W19" s="1575">
        <f>J19</f>
        <v>100</v>
      </c>
      <c r="X19" s="1568"/>
      <c r="Y19" s="3387"/>
      <c r="Z19" s="1576" t="str">
        <f>Q19</f>
        <v>交通便捷度</v>
      </c>
      <c r="AA19" s="1577">
        <f t="shared" si="3"/>
        <v>1</v>
      </c>
      <c r="AB19" s="1577">
        <f t="shared" si="4"/>
        <v>1</v>
      </c>
      <c r="AC19" s="1577">
        <f t="shared" si="5"/>
        <v>1</v>
      </c>
    </row>
    <row r="20" spans="1:29" ht="15">
      <c r="A20" s="532"/>
      <c r="B20" s="922"/>
      <c r="C20" s="576" t="s">
        <v>3028</v>
      </c>
      <c r="D20" s="555"/>
      <c r="E20" s="556" t="s">
        <v>3028</v>
      </c>
      <c r="F20" s="555"/>
      <c r="G20" s="556" t="s">
        <v>3028</v>
      </c>
      <c r="H20" s="555"/>
      <c r="I20" s="558" t="s">
        <v>3028</v>
      </c>
      <c r="J20" s="555"/>
      <c r="K20" s="531"/>
      <c r="L20" s="2144"/>
      <c r="M20" s="2136"/>
      <c r="N20" s="2136"/>
      <c r="O20" s="2143"/>
      <c r="P20" s="3387"/>
      <c r="Q20" s="1573"/>
      <c r="R20" s="1574"/>
      <c r="S20" s="1575"/>
      <c r="T20" s="1574"/>
      <c r="U20" s="1575"/>
      <c r="V20" s="1574"/>
      <c r="W20" s="1575"/>
      <c r="X20" s="1568"/>
      <c r="Y20" s="3387"/>
      <c r="Z20" s="1576"/>
      <c r="AA20" s="1577">
        <v>1</v>
      </c>
      <c r="AB20" s="1577">
        <v>1</v>
      </c>
      <c r="AC20" s="1577">
        <v>1</v>
      </c>
    </row>
    <row r="21" spans="1:29" ht="45" customHeight="1">
      <c r="A21" s="515"/>
      <c r="B21" s="871" t="s">
        <v>544</v>
      </c>
      <c r="C21" s="872" t="str">
        <f>估价对象房地状况!G17</f>
        <v>零星有其他用地，基本不影响本宗地</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7"/>
      <c r="Q21" s="1573" t="str">
        <f t="shared" ref="Q21:Q35" si="8">B21</f>
        <v>区域土地利用方向</v>
      </c>
      <c r="R21" s="1574" t="s">
        <v>8</v>
      </c>
      <c r="S21" s="1575">
        <f>F21</f>
        <v>100</v>
      </c>
      <c r="T21" s="1574" t="s">
        <v>8</v>
      </c>
      <c r="U21" s="1575">
        <f>H21</f>
        <v>100</v>
      </c>
      <c r="V21" s="1574" t="s">
        <v>8</v>
      </c>
      <c r="W21" s="1575">
        <f>J21</f>
        <v>100</v>
      </c>
      <c r="X21" s="1568"/>
      <c r="Y21" s="3387"/>
      <c r="Z21" s="1576" t="str">
        <f>Q21</f>
        <v>区域土地利用方向</v>
      </c>
      <c r="AA21" s="1577">
        <f t="shared" si="3"/>
        <v>1</v>
      </c>
      <c r="AB21" s="1577">
        <f t="shared" si="4"/>
        <v>1</v>
      </c>
      <c r="AC21" s="1577">
        <f t="shared" si="5"/>
        <v>1</v>
      </c>
    </row>
    <row r="22" spans="1:29" ht="15">
      <c r="A22" s="515"/>
      <c r="B22" s="595"/>
      <c r="C22" s="576" t="s">
        <v>3028</v>
      </c>
      <c r="D22" s="555"/>
      <c r="E22" s="556" t="s">
        <v>3028</v>
      </c>
      <c r="F22" s="557"/>
      <c r="G22" s="558" t="s">
        <v>3028</v>
      </c>
      <c r="H22" s="557"/>
      <c r="I22" s="558" t="s">
        <v>3028</v>
      </c>
      <c r="J22" s="557"/>
      <c r="K22" s="1348"/>
      <c r="L22" s="2144"/>
      <c r="M22" s="2136"/>
      <c r="N22" s="2136"/>
      <c r="O22" s="2143"/>
      <c r="P22" s="3387"/>
      <c r="Q22" s="1573"/>
      <c r="R22" s="1574"/>
      <c r="S22" s="1575"/>
      <c r="T22" s="1574"/>
      <c r="U22" s="1575"/>
      <c r="V22" s="1574"/>
      <c r="W22" s="1575"/>
      <c r="X22" s="1568"/>
      <c r="Y22" s="3387"/>
      <c r="Z22" s="1576"/>
      <c r="AA22" s="1577"/>
      <c r="AB22" s="1577"/>
      <c r="AC22" s="1577"/>
    </row>
    <row r="23" spans="1:29" ht="71.25">
      <c r="A23" s="515"/>
      <c r="B23" s="922" t="s">
        <v>599</v>
      </c>
      <c r="C23" s="872" t="str">
        <f>估价对象房地状况!G18</f>
        <v>该园区内无污染型企业，绿化条件一般，卫生条件一般，整体环境状况一般</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7"/>
      <c r="Q23" s="1573" t="str">
        <f t="shared" si="8"/>
        <v>环境状况</v>
      </c>
      <c r="R23" s="1574" t="s">
        <v>8</v>
      </c>
      <c r="S23" s="1575">
        <f>F23</f>
        <v>100</v>
      </c>
      <c r="T23" s="1574" t="s">
        <v>8</v>
      </c>
      <c r="U23" s="1575">
        <f>H23</f>
        <v>100</v>
      </c>
      <c r="V23" s="1574" t="s">
        <v>8</v>
      </c>
      <c r="W23" s="1575">
        <f>J23</f>
        <v>100</v>
      </c>
      <c r="X23" s="1568"/>
      <c r="Y23" s="3387"/>
      <c r="Z23" s="1576" t="str">
        <f>Q23</f>
        <v>环境状况</v>
      </c>
      <c r="AA23" s="1577">
        <f t="shared" si="3"/>
        <v>1</v>
      </c>
      <c r="AB23" s="1577">
        <f t="shared" si="4"/>
        <v>1</v>
      </c>
      <c r="AC23" s="1577">
        <f t="shared" si="5"/>
        <v>1</v>
      </c>
    </row>
    <row r="24" spans="1:29" ht="15">
      <c r="A24" s="515"/>
      <c r="B24" s="595"/>
      <c r="C24" s="576" t="s">
        <v>3029</v>
      </c>
      <c r="D24" s="555"/>
      <c r="E24" s="554" t="s">
        <v>3029</v>
      </c>
      <c r="F24" s="555"/>
      <c r="G24" s="554" t="s">
        <v>3029</v>
      </c>
      <c r="H24" s="555"/>
      <c r="I24" s="576" t="s">
        <v>3029</v>
      </c>
      <c r="J24" s="555"/>
      <c r="K24" s="531"/>
      <c r="L24" s="2144"/>
      <c r="M24" s="2136"/>
      <c r="N24" s="2136"/>
      <c r="O24" s="2143"/>
      <c r="P24" s="3387"/>
      <c r="Q24" s="1573"/>
      <c r="R24" s="1574"/>
      <c r="S24" s="1575"/>
      <c r="T24" s="1574"/>
      <c r="U24" s="1575"/>
      <c r="V24" s="1574"/>
      <c r="W24" s="1575"/>
      <c r="X24" s="1568"/>
      <c r="Y24" s="3387"/>
      <c r="Z24" s="1576"/>
      <c r="AA24" s="1577">
        <v>1</v>
      </c>
      <c r="AB24" s="1577">
        <v>1</v>
      </c>
      <c r="AC24" s="1577">
        <v>1</v>
      </c>
    </row>
    <row r="25" spans="1:29" s="1220" customFormat="1" ht="99.75">
      <c r="A25" s="577"/>
      <c r="B25" s="2595" t="s">
        <v>2551</v>
      </c>
      <c r="C25" s="872" t="str">
        <f>估价对象房地状况!G19</f>
        <v>估价对象所在区域公共配套设施齐备情况一般；基础设施水平一般；综合评价公用设施及基础设施水平一般</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7"/>
      <c r="Q25" s="1151" t="str">
        <f t="shared" si="8"/>
        <v>公共配套设施</v>
      </c>
      <c r="R25" s="1569" t="s">
        <v>8</v>
      </c>
      <c r="S25" s="1570">
        <f>F25</f>
        <v>100</v>
      </c>
      <c r="T25" s="1569" t="s">
        <v>8</v>
      </c>
      <c r="U25" s="1570">
        <f>H25</f>
        <v>100</v>
      </c>
      <c r="V25" s="1569" t="s">
        <v>8</v>
      </c>
      <c r="W25" s="1570">
        <f>J25</f>
        <v>100</v>
      </c>
      <c r="X25" s="1571"/>
      <c r="Y25" s="3387"/>
      <c r="Z25" s="1150" t="str">
        <f>Q25</f>
        <v>公共配套设施</v>
      </c>
      <c r="AA25" s="1577">
        <f>D25/F25</f>
        <v>1</v>
      </c>
      <c r="AB25" s="1577">
        <f>D25/H25</f>
        <v>1</v>
      </c>
      <c r="AC25" s="1577">
        <f>D25/J25</f>
        <v>1</v>
      </c>
    </row>
    <row r="26" spans="1:29" s="1220" customFormat="1" ht="15">
      <c r="A26" s="577"/>
      <c r="B26" s="595"/>
      <c r="C26" s="2594" t="s">
        <v>3029</v>
      </c>
      <c r="D26" s="555"/>
      <c r="E26" s="554" t="s">
        <v>3029</v>
      </c>
      <c r="F26" s="555"/>
      <c r="G26" s="554" t="s">
        <v>3029</v>
      </c>
      <c r="H26" s="555"/>
      <c r="I26" s="576" t="s">
        <v>3029</v>
      </c>
      <c r="J26" s="555"/>
      <c r="K26" s="531"/>
      <c r="L26" s="2137"/>
      <c r="M26" s="2138"/>
      <c r="N26" s="2138"/>
      <c r="O26" s="2139"/>
      <c r="P26" s="3387"/>
      <c r="Q26" s="1151"/>
      <c r="R26" s="1569"/>
      <c r="S26" s="1570"/>
      <c r="T26" s="1569"/>
      <c r="U26" s="1570"/>
      <c r="V26" s="1569"/>
      <c r="W26" s="1570"/>
      <c r="X26" s="1571"/>
      <c r="Y26" s="3387"/>
      <c r="Z26" s="1150"/>
      <c r="AA26" s="1572">
        <v>1</v>
      </c>
      <c r="AB26" s="1572">
        <v>1</v>
      </c>
      <c r="AC26" s="1572">
        <v>1</v>
      </c>
    </row>
    <row r="27" spans="1:29" s="1220" customFormat="1" ht="15">
      <c r="A27" s="577"/>
      <c r="B27" s="2595" t="s">
        <v>2552</v>
      </c>
      <c r="C27" s="872" t="str">
        <f>估价对象房地状况!G20</f>
        <v>五通</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7"/>
      <c r="Q27" s="2580" t="str">
        <f t="shared" ref="Q27" si="9">B27</f>
        <v>基础设施水平</v>
      </c>
      <c r="R27" s="1569" t="s">
        <v>8</v>
      </c>
      <c r="S27" s="1570">
        <f>F27</f>
        <v>100</v>
      </c>
      <c r="T27" s="1569" t="s">
        <v>8</v>
      </c>
      <c r="U27" s="1570">
        <f>H27</f>
        <v>100</v>
      </c>
      <c r="V27" s="1569" t="s">
        <v>8</v>
      </c>
      <c r="W27" s="1570">
        <f>J27</f>
        <v>100</v>
      </c>
      <c r="X27" s="1571"/>
      <c r="Y27" s="3387"/>
      <c r="Z27" s="2577" t="str">
        <f>Q27</f>
        <v>基础设施水平</v>
      </c>
      <c r="AA27" s="1577">
        <f>D27/F27</f>
        <v>1</v>
      </c>
      <c r="AB27" s="1577">
        <f>D27/H27</f>
        <v>1</v>
      </c>
      <c r="AC27" s="1577">
        <f>D27/J27</f>
        <v>1</v>
      </c>
    </row>
    <row r="28" spans="1:29" s="1220" customFormat="1" ht="15">
      <c r="A28" s="577"/>
      <c r="B28" s="595"/>
      <c r="C28" s="2594" t="s">
        <v>3281</v>
      </c>
      <c r="D28" s="555"/>
      <c r="E28" s="579" t="s">
        <v>3281</v>
      </c>
      <c r="F28" s="555"/>
      <c r="G28" s="579" t="s">
        <v>3281</v>
      </c>
      <c r="H28" s="555"/>
      <c r="I28" s="579" t="s">
        <v>3281</v>
      </c>
      <c r="J28" s="555"/>
      <c r="K28" s="531"/>
      <c r="L28" s="2137"/>
      <c r="M28" s="2138"/>
      <c r="N28" s="2138"/>
      <c r="O28" s="2139"/>
      <c r="P28" s="3387"/>
      <c r="Q28" s="2580"/>
      <c r="R28" s="1569"/>
      <c r="S28" s="1570"/>
      <c r="T28" s="1569"/>
      <c r="U28" s="1570"/>
      <c r="V28" s="1569"/>
      <c r="W28" s="1570"/>
      <c r="X28" s="1571"/>
      <c r="Y28" s="3387"/>
      <c r="Z28" s="2577"/>
      <c r="AA28" s="1572">
        <v>1</v>
      </c>
      <c r="AB28" s="1572">
        <v>1</v>
      </c>
      <c r="AC28" s="1572">
        <v>1</v>
      </c>
    </row>
    <row r="29" spans="1:29" ht="15">
      <c r="A29" s="532"/>
      <c r="B29" s="595" t="s">
        <v>547</v>
      </c>
      <c r="C29" s="583" t="s">
        <v>3037</v>
      </c>
      <c r="D29" s="540">
        <v>100</v>
      </c>
      <c r="E29" s="580" t="s">
        <v>3037</v>
      </c>
      <c r="F29" s="540">
        <f>SUMIF(97:97,E29,98:98)-SUMIF(97:97,C29,98:98)+100</f>
        <v>100</v>
      </c>
      <c r="G29" s="580" t="s">
        <v>3037</v>
      </c>
      <c r="H29" s="540">
        <f>SUMIF(97:97,G29,98:98)-SUMIF(97:97,C29,98:98)+100</f>
        <v>100</v>
      </c>
      <c r="I29" s="580" t="s">
        <v>3037</v>
      </c>
      <c r="J29" s="540">
        <f>SUMIF(97:97,I29,98:98)-SUMIF(97:97,C29,98:98)+100</f>
        <v>100</v>
      </c>
      <c r="K29" s="535"/>
      <c r="L29" s="2144"/>
      <c r="M29" s="2136"/>
      <c r="N29" s="2136"/>
      <c r="O29" s="2143"/>
      <c r="P29" s="338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7"/>
      <c r="Z29" s="1576" t="str">
        <f t="shared" ref="Z29:Z42" si="13">Q29</f>
        <v>临街状况</v>
      </c>
      <c r="AA29" s="1577">
        <f t="shared" si="3"/>
        <v>1</v>
      </c>
      <c r="AB29" s="1577">
        <f t="shared" si="4"/>
        <v>1</v>
      </c>
      <c r="AC29" s="1577">
        <f t="shared" si="5"/>
        <v>1</v>
      </c>
    </row>
    <row r="30" spans="1:29" ht="28.5">
      <c r="A30" s="532"/>
      <c r="B30" s="922" t="s">
        <v>548</v>
      </c>
      <c r="C30" s="2597" t="str">
        <f>估价对象房地状况!G22</f>
        <v>城市高速路——六环路</v>
      </c>
      <c r="D30" s="559">
        <v>100</v>
      </c>
      <c r="E30" s="562"/>
      <c r="F30" s="559">
        <f>SUMIF(99:99,E31,100:100)-SUMIF(99:99,C31,100:100)+100</f>
        <v>96</v>
      </c>
      <c r="G30" s="562"/>
      <c r="H30" s="559">
        <f>SUMIF(99:99,G31,100:100)-SUMIF(99:99,C31,100:100)+100</f>
        <v>96</v>
      </c>
      <c r="I30" s="564"/>
      <c r="J30" s="559">
        <f>SUMIF(99:99,I31,100:100)-SUMIF(99:99,C31,100:100)+100</f>
        <v>96</v>
      </c>
      <c r="K30" s="535">
        <v>2</v>
      </c>
      <c r="L30" s="2144"/>
      <c r="M30" s="2136"/>
      <c r="N30" s="2136"/>
      <c r="O30" s="2143"/>
      <c r="P30" s="3387"/>
      <c r="Q30" s="1573" t="str">
        <f t="shared" si="8"/>
        <v>毗邻道路的类型与等级</v>
      </c>
      <c r="R30" s="1574" t="s">
        <v>8</v>
      </c>
      <c r="S30" s="1575">
        <f t="shared" si="10"/>
        <v>96</v>
      </c>
      <c r="T30" s="1574" t="s">
        <v>8</v>
      </c>
      <c r="U30" s="1575">
        <f t="shared" si="11"/>
        <v>96</v>
      </c>
      <c r="V30" s="1574" t="s">
        <v>8</v>
      </c>
      <c r="W30" s="1575">
        <f t="shared" si="12"/>
        <v>96</v>
      </c>
      <c r="X30" s="1568"/>
      <c r="Y30" s="3387"/>
      <c r="Z30" s="1576" t="str">
        <f t="shared" si="13"/>
        <v>毗邻道路的类型与等级</v>
      </c>
      <c r="AA30" s="1577">
        <f t="shared" si="3"/>
        <v>1.0416666666666667</v>
      </c>
      <c r="AB30" s="1577">
        <f t="shared" si="4"/>
        <v>1.0416666666666667</v>
      </c>
      <c r="AC30" s="1577">
        <f t="shared" si="5"/>
        <v>1.0416666666666667</v>
      </c>
    </row>
    <row r="31" spans="1:29" ht="15">
      <c r="A31" s="532"/>
      <c r="B31" s="595"/>
      <c r="C31" s="576" t="s">
        <v>3272</v>
      </c>
      <c r="D31" s="555"/>
      <c r="E31" s="576" t="s">
        <v>3275</v>
      </c>
      <c r="F31" s="555"/>
      <c r="G31" s="576" t="s">
        <v>3275</v>
      </c>
      <c r="H31" s="555"/>
      <c r="I31" s="576" t="s">
        <v>3275</v>
      </c>
      <c r="J31" s="555"/>
      <c r="K31" s="581"/>
      <c r="L31" s="2144"/>
      <c r="M31" s="2136"/>
      <c r="N31" s="2136"/>
      <c r="O31" s="2143"/>
      <c r="P31" s="3387"/>
      <c r="Q31" s="1573"/>
      <c r="R31" s="1574"/>
      <c r="S31" s="1575"/>
      <c r="T31" s="1574"/>
      <c r="U31" s="1575"/>
      <c r="V31" s="1574"/>
      <c r="W31" s="1575"/>
      <c r="X31" s="1568"/>
      <c r="Y31" s="3387"/>
      <c r="Z31" s="1576"/>
      <c r="AA31" s="1577">
        <v>1</v>
      </c>
      <c r="AB31" s="1577">
        <v>1</v>
      </c>
      <c r="AC31" s="1577">
        <v>1</v>
      </c>
    </row>
    <row r="32" spans="1:29" ht="15">
      <c r="A32" s="532"/>
      <c r="B32" s="527" t="s">
        <v>549</v>
      </c>
      <c r="C32" s="2598" t="str">
        <f>估价对象房地状况!G23</f>
        <v>8级</v>
      </c>
      <c r="D32" s="540">
        <v>100</v>
      </c>
      <c r="E32" s="580" t="s">
        <v>3286</v>
      </c>
      <c r="F32" s="540">
        <f>SUMIF(101:101,E32,102:102)-SUMIF(101:101,C32,102:102)+100</f>
        <v>100</v>
      </c>
      <c r="G32" s="580" t="s">
        <v>3286</v>
      </c>
      <c r="H32" s="540">
        <f>SUMIF(101:101,G32,102:102)-SUMIF(101:101,C32,102:102)+100</f>
        <v>100</v>
      </c>
      <c r="I32" s="580" t="s">
        <v>3286</v>
      </c>
      <c r="J32" s="540">
        <f>SUMIF(101:101,I32,102:102)-SUMIF(101:101,C32,102:102)+100</f>
        <v>100</v>
      </c>
      <c r="K32" s="584"/>
      <c r="L32" s="2144"/>
      <c r="M32" s="2136"/>
      <c r="N32" s="2136"/>
      <c r="O32" s="2143"/>
      <c r="P32" s="3387"/>
      <c r="Q32" s="1573" t="str">
        <f t="shared" si="8"/>
        <v>土地级别</v>
      </c>
      <c r="R32" s="1574" t="s">
        <v>8</v>
      </c>
      <c r="S32" s="1575">
        <f t="shared" si="10"/>
        <v>100</v>
      </c>
      <c r="T32" s="1574" t="s">
        <v>8</v>
      </c>
      <c r="U32" s="1575">
        <f t="shared" si="11"/>
        <v>100</v>
      </c>
      <c r="V32" s="1574" t="s">
        <v>8</v>
      </c>
      <c r="W32" s="1575">
        <f t="shared" si="12"/>
        <v>100</v>
      </c>
      <c r="X32" s="1568"/>
      <c r="Y32" s="338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7"/>
      <c r="Q33" s="1573">
        <f t="shared" si="8"/>
        <v>111</v>
      </c>
      <c r="R33" s="1574" t="s">
        <v>8</v>
      </c>
      <c r="S33" s="1575">
        <f t="shared" si="10"/>
        <v>100</v>
      </c>
      <c r="T33" s="1574" t="s">
        <v>8</v>
      </c>
      <c r="U33" s="1575">
        <f t="shared" si="11"/>
        <v>100</v>
      </c>
      <c r="V33" s="1574" t="s">
        <v>8</v>
      </c>
      <c r="W33" s="1575">
        <f t="shared" si="12"/>
        <v>100</v>
      </c>
      <c r="X33" s="1568"/>
      <c r="Y33" s="338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8" t="s">
        <v>550</v>
      </c>
      <c r="Q34" s="1573">
        <f t="shared" si="8"/>
        <v>111</v>
      </c>
      <c r="R34" s="1574" t="s">
        <v>8</v>
      </c>
      <c r="S34" s="1575">
        <f t="shared" si="10"/>
        <v>100</v>
      </c>
      <c r="T34" s="1574" t="s">
        <v>8</v>
      </c>
      <c r="U34" s="1575">
        <f t="shared" si="11"/>
        <v>100</v>
      </c>
      <c r="V34" s="1574" t="s">
        <v>8</v>
      </c>
      <c r="W34" s="1575">
        <f t="shared" si="12"/>
        <v>100</v>
      </c>
      <c r="X34" s="1568"/>
      <c r="Y34" s="3389"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9"/>
      <c r="Q35" s="1573">
        <f t="shared" si="8"/>
        <v>111</v>
      </c>
      <c r="R35" s="1578" t="s">
        <v>8</v>
      </c>
      <c r="S35" s="1579">
        <f t="shared" si="10"/>
        <v>100</v>
      </c>
      <c r="T35" s="1578" t="s">
        <v>8</v>
      </c>
      <c r="U35" s="1579">
        <f t="shared" si="11"/>
        <v>100</v>
      </c>
      <c r="V35" s="1578" t="s">
        <v>8</v>
      </c>
      <c r="W35" s="1579">
        <f t="shared" si="12"/>
        <v>100</v>
      </c>
      <c r="X35" s="1580"/>
      <c r="Y35" s="3389"/>
      <c r="Z35" s="1581">
        <f t="shared" si="13"/>
        <v>111</v>
      </c>
      <c r="AA35" s="1577">
        <f t="shared" si="3"/>
        <v>1</v>
      </c>
      <c r="AB35" s="1577">
        <f t="shared" si="4"/>
        <v>1</v>
      </c>
      <c r="AC35" s="1577">
        <f t="shared" si="5"/>
        <v>1</v>
      </c>
    </row>
    <row r="36" spans="1:29" ht="15">
      <c r="A36" s="2909" t="s">
        <v>2758</v>
      </c>
      <c r="B36" s="595" t="s">
        <v>552</v>
      </c>
      <c r="C36" s="596">
        <f>'数据-基础表'!A3</f>
        <v>86802.494000000006</v>
      </c>
      <c r="D36" s="597">
        <v>100</v>
      </c>
      <c r="E36" s="596">
        <f>案例!J30</f>
        <v>107244</v>
      </c>
      <c r="F36" s="597">
        <f>LOOKUP(E36,110:110,111:111)-LOOKUP(C36,110:110,111:111)+100</f>
        <v>102</v>
      </c>
      <c r="G36" s="596">
        <f>案例!J31</f>
        <v>126492.9</v>
      </c>
      <c r="H36" s="597">
        <f>LOOKUP(G36,110:110,111:111)-LOOKUP(C36,110:110,111:111)+100</f>
        <v>102</v>
      </c>
      <c r="I36" s="598">
        <f>案例!J7</f>
        <v>19655.95</v>
      </c>
      <c r="J36" s="597">
        <f>LOOKUP(I36,110:110,111:111)-LOOKUP(C36,110:110,111:111)+100</f>
        <v>98</v>
      </c>
      <c r="K36" s="581"/>
      <c r="L36" s="2144"/>
      <c r="M36" s="2136"/>
      <c r="N36" s="2136"/>
      <c r="O36" s="2143"/>
      <c r="P36" s="3389"/>
      <c r="Q36" s="1573" t="str">
        <f>B36</f>
        <v>宗地面积</v>
      </c>
      <c r="R36" s="1574" t="s">
        <v>8</v>
      </c>
      <c r="S36" s="1575">
        <f t="shared" si="10"/>
        <v>102</v>
      </c>
      <c r="T36" s="1574" t="s">
        <v>8</v>
      </c>
      <c r="U36" s="1575">
        <f t="shared" si="11"/>
        <v>102</v>
      </c>
      <c r="V36" s="1574" t="s">
        <v>8</v>
      </c>
      <c r="W36" s="1575">
        <f t="shared" si="12"/>
        <v>98</v>
      </c>
      <c r="X36" s="1568"/>
      <c r="Y36" s="3389"/>
      <c r="Z36" s="1576" t="str">
        <f t="shared" si="13"/>
        <v>宗地面积</v>
      </c>
      <c r="AA36" s="1577">
        <f t="shared" si="3"/>
        <v>0.98039215686274506</v>
      </c>
      <c r="AB36" s="1577">
        <f t="shared" si="4"/>
        <v>0.98039215686274506</v>
      </c>
      <c r="AC36" s="1577">
        <f t="shared" si="5"/>
        <v>1.0204081632653061</v>
      </c>
    </row>
    <row r="37" spans="1:29" ht="15">
      <c r="A37" s="594"/>
      <c r="B37" s="527" t="s">
        <v>553</v>
      </c>
      <c r="C37" s="599" t="s">
        <v>3277</v>
      </c>
      <c r="D37" s="540">
        <v>100</v>
      </c>
      <c r="E37" s="599" t="s">
        <v>3277</v>
      </c>
      <c r="F37" s="540">
        <f>SUMIF(112:112,E37,113:113)-SUMIF(112:112,C37,113:113)+100</f>
        <v>100</v>
      </c>
      <c r="G37" s="599" t="s">
        <v>3277</v>
      </c>
      <c r="H37" s="540">
        <f>SUMIF(112:112,G37,113:113)-SUMIF(112:112,C37,113:113)+100</f>
        <v>100</v>
      </c>
      <c r="I37" s="599" t="s">
        <v>3277</v>
      </c>
      <c r="J37" s="540">
        <f>SUMIF(112:112,I37,113:113)-SUMIF(112:112,C37,113:113)+100</f>
        <v>100</v>
      </c>
      <c r="K37" s="584"/>
      <c r="L37" s="2144"/>
      <c r="M37" s="2136"/>
      <c r="N37" s="2136"/>
      <c r="O37" s="2143"/>
      <c r="P37" s="3389"/>
      <c r="Q37" s="1573" t="str">
        <f t="shared" ref="Q37:Q42" si="14">B37</f>
        <v>宗地形状</v>
      </c>
      <c r="R37" s="1574" t="s">
        <v>8</v>
      </c>
      <c r="S37" s="1575">
        <f t="shared" si="10"/>
        <v>100</v>
      </c>
      <c r="T37" s="1574" t="s">
        <v>8</v>
      </c>
      <c r="U37" s="1575">
        <f t="shared" si="11"/>
        <v>100</v>
      </c>
      <c r="V37" s="1574" t="s">
        <v>8</v>
      </c>
      <c r="W37" s="1575">
        <f t="shared" si="12"/>
        <v>100</v>
      </c>
      <c r="X37" s="1568"/>
      <c r="Y37" s="3389"/>
      <c r="Z37" s="1576" t="str">
        <f t="shared" si="13"/>
        <v>宗地形状</v>
      </c>
      <c r="AA37" s="1577">
        <f t="shared" si="3"/>
        <v>1</v>
      </c>
      <c r="AB37" s="1577">
        <f t="shared" si="4"/>
        <v>1</v>
      </c>
      <c r="AC37" s="1577">
        <f t="shared" si="5"/>
        <v>1</v>
      </c>
    </row>
    <row r="38" spans="1:29" s="1220" customFormat="1" ht="15">
      <c r="A38" s="600"/>
      <c r="B38" s="1897" t="s">
        <v>2427</v>
      </c>
      <c r="C38" s="601" t="s">
        <v>3271</v>
      </c>
      <c r="D38" s="255">
        <v>100</v>
      </c>
      <c r="E38" s="601" t="s">
        <v>3281</v>
      </c>
      <c r="F38" s="540">
        <f>SUMIF(114:114,E38,115:115)-SUMIF(114:114,C38,115:115)+100</f>
        <v>98</v>
      </c>
      <c r="G38" s="601" t="s">
        <v>3281</v>
      </c>
      <c r="H38" s="540">
        <f>SUMIF(114:114,G38,115:115)-SUMIF(114:114,C38,115:115)+100</f>
        <v>98</v>
      </c>
      <c r="I38" s="601" t="s">
        <v>3281</v>
      </c>
      <c r="J38" s="540">
        <f>SUMIF(114:114,I38,115:115)-SUMIF(114:114,C38,115:115)+100</f>
        <v>98</v>
      </c>
      <c r="K38" s="584">
        <v>2</v>
      </c>
      <c r="L38" s="2137"/>
      <c r="M38" s="2138"/>
      <c r="N38" s="2138"/>
      <c r="O38" s="2139"/>
      <c r="P38" s="3389"/>
      <c r="Q38" s="1573" t="str">
        <f t="shared" si="14"/>
        <v>宗地开发程度</v>
      </c>
      <c r="R38" s="1569" t="s">
        <v>8</v>
      </c>
      <c r="S38" s="1570">
        <f t="shared" si="10"/>
        <v>98</v>
      </c>
      <c r="T38" s="1569" t="s">
        <v>8</v>
      </c>
      <c r="U38" s="1570">
        <f t="shared" si="11"/>
        <v>98</v>
      </c>
      <c r="V38" s="1569" t="s">
        <v>8</v>
      </c>
      <c r="W38" s="1570">
        <f t="shared" si="12"/>
        <v>98</v>
      </c>
      <c r="X38" s="1571"/>
      <c r="Y38" s="3389"/>
      <c r="Z38" s="1150" t="str">
        <f t="shared" si="13"/>
        <v>宗地开发程度</v>
      </c>
      <c r="AA38" s="1572">
        <f t="shared" si="3"/>
        <v>1.0204081632653061</v>
      </c>
      <c r="AB38" s="1572">
        <f t="shared" si="4"/>
        <v>1.0204081632653061</v>
      </c>
      <c r="AC38" s="1572">
        <f t="shared" si="5"/>
        <v>1.0204081632653061</v>
      </c>
    </row>
    <row r="39" spans="1:29" ht="15">
      <c r="A39" s="594"/>
      <c r="B39" s="527" t="s">
        <v>555</v>
      </c>
      <c r="C39" s="599" t="s">
        <v>3006</v>
      </c>
      <c r="D39" s="540">
        <v>100</v>
      </c>
      <c r="E39" s="599" t="s">
        <v>3006</v>
      </c>
      <c r="F39" s="540">
        <f>SUMIF(116:116,E39,117:117)-SUMIF(116:116,C39,117:117)+100</f>
        <v>100</v>
      </c>
      <c r="G39" s="599" t="s">
        <v>3006</v>
      </c>
      <c r="H39" s="540">
        <f>SUMIF(116:116,G39,117:117)-SUMIF(116:116,C39,117:117)+100</f>
        <v>100</v>
      </c>
      <c r="I39" s="599" t="s">
        <v>3006</v>
      </c>
      <c r="J39" s="540">
        <f>SUMIF(116:116,I39,117:117)-SUMIF(116:116,C39,117:117)+100</f>
        <v>100</v>
      </c>
      <c r="K39" s="584"/>
      <c r="L39" s="2144"/>
      <c r="M39" s="2136"/>
      <c r="N39" s="2136"/>
      <c r="O39" s="2143"/>
      <c r="P39" s="3389" t="s">
        <v>601</v>
      </c>
      <c r="Q39" s="1573" t="str">
        <f t="shared" si="14"/>
        <v>工程地质条件</v>
      </c>
      <c r="R39" s="1574" t="s">
        <v>8</v>
      </c>
      <c r="S39" s="1575">
        <f t="shared" si="10"/>
        <v>100</v>
      </c>
      <c r="T39" s="1574" t="s">
        <v>8</v>
      </c>
      <c r="U39" s="1575">
        <f t="shared" si="11"/>
        <v>100</v>
      </c>
      <c r="V39" s="1574" t="s">
        <v>8</v>
      </c>
      <c r="W39" s="1575">
        <f t="shared" si="12"/>
        <v>100</v>
      </c>
      <c r="X39" s="1568"/>
      <c r="Y39" s="338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9"/>
      <c r="Q40" s="1573">
        <f t="shared" si="14"/>
        <v>111</v>
      </c>
      <c r="R40" s="1574" t="s">
        <v>8</v>
      </c>
      <c r="S40" s="1575">
        <f t="shared" si="10"/>
        <v>100</v>
      </c>
      <c r="T40" s="1574" t="s">
        <v>8</v>
      </c>
      <c r="U40" s="1575">
        <f t="shared" si="11"/>
        <v>100</v>
      </c>
      <c r="V40" s="1574" t="s">
        <v>8</v>
      </c>
      <c r="W40" s="1575">
        <f t="shared" si="12"/>
        <v>100</v>
      </c>
      <c r="X40" s="1568"/>
      <c r="Y40" s="338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9"/>
      <c r="Q41" s="1573">
        <f t="shared" si="14"/>
        <v>111</v>
      </c>
      <c r="R41" s="1574" t="s">
        <v>8</v>
      </c>
      <c r="S41" s="1575">
        <f t="shared" si="10"/>
        <v>100</v>
      </c>
      <c r="T41" s="1574" t="s">
        <v>8</v>
      </c>
      <c r="U41" s="1575">
        <f t="shared" si="11"/>
        <v>100</v>
      </c>
      <c r="V41" s="1574" t="s">
        <v>8</v>
      </c>
      <c r="W41" s="1575">
        <f t="shared" si="12"/>
        <v>100</v>
      </c>
      <c r="X41" s="1568"/>
      <c r="Y41" s="338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9"/>
      <c r="Q42" s="1573">
        <f t="shared" si="14"/>
        <v>111</v>
      </c>
      <c r="R42" s="1578" t="s">
        <v>8</v>
      </c>
      <c r="S42" s="1579">
        <f t="shared" si="10"/>
        <v>100</v>
      </c>
      <c r="T42" s="1578" t="s">
        <v>8</v>
      </c>
      <c r="U42" s="1579">
        <f t="shared" si="11"/>
        <v>100</v>
      </c>
      <c r="V42" s="1578" t="s">
        <v>8</v>
      </c>
      <c r="W42" s="1579">
        <f t="shared" si="12"/>
        <v>100</v>
      </c>
      <c r="X42" s="1580"/>
      <c r="Y42" s="3389"/>
      <c r="Z42" s="1581">
        <f t="shared" si="13"/>
        <v>111</v>
      </c>
      <c r="AA42" s="1577">
        <f t="shared" si="3"/>
        <v>1</v>
      </c>
      <c r="AB42" s="1577">
        <f t="shared" si="4"/>
        <v>1</v>
      </c>
      <c r="AC42" s="1577">
        <f t="shared" si="5"/>
        <v>1</v>
      </c>
    </row>
    <row r="43" spans="1:29" ht="15">
      <c r="A43" s="607" t="s">
        <v>556</v>
      </c>
      <c r="B43" s="608" t="s">
        <v>3288</v>
      </c>
      <c r="C43" s="609" t="s">
        <v>1</v>
      </c>
      <c r="D43" s="610"/>
      <c r="E43" s="611">
        <f>ROUND(案例!AG30*10000/E36,0)</f>
        <v>1582</v>
      </c>
      <c r="F43" s="612"/>
      <c r="G43" s="613">
        <f>ROUND(案例!AG31*10000/G36,0)</f>
        <v>1582</v>
      </c>
      <c r="H43" s="614"/>
      <c r="I43" s="611">
        <f>ROUND(案例!AG7*10000/I36,0)</f>
        <v>1340</v>
      </c>
      <c r="J43" s="614"/>
      <c r="K43" s="1340"/>
      <c r="L43" s="2146"/>
      <c r="M43" s="2136"/>
      <c r="N43" s="2136"/>
      <c r="O43" s="2147"/>
      <c r="P43" s="3384" t="str">
        <f>A43</f>
        <v>成交单价</v>
      </c>
      <c r="Q43" s="3384"/>
      <c r="R43" s="3398">
        <f>E43</f>
        <v>1582</v>
      </c>
      <c r="S43" s="3398"/>
      <c r="T43" s="3398">
        <f>G43</f>
        <v>1582</v>
      </c>
      <c r="U43" s="3398"/>
      <c r="V43" s="3398">
        <f>I43</f>
        <v>1340</v>
      </c>
      <c r="W43" s="3398"/>
      <c r="X43" s="1560"/>
      <c r="Y43" s="1582"/>
      <c r="Z43" s="1560"/>
      <c r="AA43" s="1560"/>
      <c r="AB43" s="1560"/>
      <c r="AC43" s="1560"/>
    </row>
    <row r="44" spans="1:29" ht="15.75" thickBot="1">
      <c r="A44" s="615" t="s">
        <v>2696</v>
      </c>
      <c r="B44" s="616"/>
      <c r="C44" s="617">
        <f>R45</f>
        <v>1464</v>
      </c>
      <c r="D44" s="618"/>
      <c r="E44" s="617">
        <f>R44</f>
        <v>1529</v>
      </c>
      <c r="F44" s="619"/>
      <c r="G44" s="620">
        <f>T44</f>
        <v>1529</v>
      </c>
      <c r="H44" s="618"/>
      <c r="I44" s="617">
        <f>V44</f>
        <v>1335</v>
      </c>
      <c r="J44" s="618"/>
      <c r="K44" s="1341"/>
      <c r="L44" s="2146"/>
      <c r="M44" s="2136"/>
      <c r="N44" s="2136"/>
      <c r="O44" s="2147"/>
      <c r="P44" s="3384" t="str">
        <f>A44</f>
        <v>比较价格（元/平方米）</v>
      </c>
      <c r="Q44" s="3384"/>
      <c r="R44" s="3408">
        <f>ROUND(PRODUCT(R43,AA9:AA42),0)</f>
        <v>1529</v>
      </c>
      <c r="S44" s="3408"/>
      <c r="T44" s="3408">
        <f>ROUND(PRODUCT(T43,AB9:AB42),0)</f>
        <v>1529</v>
      </c>
      <c r="U44" s="3408"/>
      <c r="V44" s="3408">
        <f>ROUND(PRODUCT(V43,AC9:AC42),0)</f>
        <v>1335</v>
      </c>
      <c r="W44" s="3408"/>
      <c r="X44" s="1560"/>
      <c r="Y44" s="1560"/>
      <c r="Z44" s="1560"/>
      <c r="AA44" s="1560"/>
      <c r="AB44" s="1560"/>
      <c r="AC44" s="1560"/>
    </row>
    <row r="45" spans="1:29" ht="15.75" thickBot="1">
      <c r="A45" s="621" t="s">
        <v>2936</v>
      </c>
      <c r="B45" s="622"/>
      <c r="C45" s="623">
        <f>R45</f>
        <v>1464</v>
      </c>
      <c r="D45" s="623"/>
      <c r="E45" s="623"/>
      <c r="F45" s="623"/>
      <c r="G45" s="623"/>
      <c r="H45" s="623"/>
      <c r="I45" s="623"/>
      <c r="J45" s="623"/>
      <c r="K45" s="1342"/>
      <c r="L45" s="2146"/>
      <c r="M45" s="2136"/>
      <c r="N45" s="2136"/>
      <c r="O45" s="2147"/>
      <c r="P45" s="3405" t="str">
        <f>A45</f>
        <v>估价对象XX用房的比较价格（楼面单价，元/平方米）</v>
      </c>
      <c r="Q45" s="3406"/>
      <c r="R45" s="3407">
        <f>ROUND(AVERAGE(R44:V44),0)</f>
        <v>1464</v>
      </c>
      <c r="S45" s="3407"/>
      <c r="T45" s="3407"/>
      <c r="U45" s="3407"/>
      <c r="V45" s="3407"/>
      <c r="W45" s="340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f>IF(E43&lt;E44,E44/E43-1,E43/E44-1)</f>
        <v>3.4663178548070661E-2</v>
      </c>
      <c r="F48" s="627" t="str">
        <f>IF(OR(E48&gt;=0.3,E48&lt;=-0.3),"超过30%","")</f>
        <v/>
      </c>
      <c r="G48" s="626">
        <f>IF(G43&lt;G44,G44/G43-1,G43/G44-1)</f>
        <v>3.4663178548070661E-2</v>
      </c>
      <c r="H48" s="627" t="str">
        <f>IF(OR(G48&gt;=0.3,G48&lt;=-0.3),"超过30%","")</f>
        <v/>
      </c>
      <c r="I48" s="626">
        <f>IF(I43&lt;I44,I44/I43-1,I43/I44-1)</f>
        <v>3.7453183520599342E-3</v>
      </c>
      <c r="J48" s="627" t="str">
        <f>IF(OR(I48&gt;=0.3,I48&lt;=-0.3),"超过30%","")</f>
        <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f>IF(E44&lt;G44,G44/E44-1,E44/G44-1)</f>
        <v>0</v>
      </c>
      <c r="F49" s="627" t="str">
        <f>IF(OR(E49&gt;=0.2,E49&lt;=-0.2),"超过20%","")</f>
        <v/>
      </c>
      <c r="G49" s="626">
        <f>IF(G44&lt;I44,I44/G44-1,G44/I44-1)</f>
        <v>0.14531835205992505</v>
      </c>
      <c r="H49" s="627" t="str">
        <f>IF(OR(G49&gt;=0.2,G49&lt;=-0.2),"超过20%","")</f>
        <v/>
      </c>
      <c r="I49" s="626">
        <f>IF(I44&lt;E44,E44/I44-1,I44/E44-1)</f>
        <v>0.14531835205992505</v>
      </c>
      <c r="J49" s="627" t="str">
        <f>IF(OR(I49&gt;=0.2,I49&lt;=-0.2),"超过20%","")</f>
        <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f>IF(E43&lt;G43,G43/E43-1,E43/G43-1)</f>
        <v>0</v>
      </c>
      <c r="F50" s="627" t="str">
        <f>IF(OR(E50&gt;=0.3,E50&lt;=-0.3),"超过30%","")</f>
        <v/>
      </c>
      <c r="G50" s="626">
        <f>IF(G43&lt;I43,I43/G43-1,G43/I43-1)</f>
        <v>0.18059701492537306</v>
      </c>
      <c r="H50" s="627" t="str">
        <f>IF(OR(G50&gt;=0.3,G50&lt;=-0.3),"超过30%","")</f>
        <v/>
      </c>
      <c r="I50" s="626">
        <f>IF(I43&lt;E43,E43/I43-1,I43/E43-1)</f>
        <v>0.18059701492537306</v>
      </c>
      <c r="J50" s="627" t="str">
        <f>IF(OR(I50&gt;=0.3,I50&lt;=-0.3),"超过30%","")</f>
        <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9" t="s">
        <v>2287</v>
      </c>
      <c r="H52" s="3410"/>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f>C45</f>
        <v>1464</v>
      </c>
      <c r="C53" s="635">
        <v>1</v>
      </c>
      <c r="D53" s="2230">
        <v>1</v>
      </c>
      <c r="E53" s="635">
        <f>'数据-汇总表'!E8+'数据-汇总表'!E9</f>
        <v>80808</v>
      </c>
      <c r="F53" s="1952">
        <f t="shared" ref="F53:F62" si="15">ROUND(B53*E53/10000,0)</f>
        <v>11830</v>
      </c>
      <c r="G53" s="3411"/>
      <c r="H53" s="341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f>ROUND($C$45*C54*D54,0)</f>
        <v>0</v>
      </c>
      <c r="C54" s="378">
        <f t="shared" ref="C54:C62" si="16">IF($C$52="北京市系数",I54,J54)</f>
        <v>0</v>
      </c>
      <c r="D54" s="2231">
        <v>0.25</v>
      </c>
      <c r="E54" s="639"/>
      <c r="F54" s="1952">
        <f t="shared" si="15"/>
        <v>0</v>
      </c>
      <c r="G54" s="3413"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f t="shared" ref="B55:B62" si="17">ROUND($C$45*C55*D55,0)</f>
        <v>0</v>
      </c>
      <c r="C55" s="378">
        <f t="shared" si="16"/>
        <v>0</v>
      </c>
      <c r="D55" s="2231">
        <v>0.25</v>
      </c>
      <c r="E55" s="639"/>
      <c r="F55" s="1952">
        <f t="shared" si="15"/>
        <v>0</v>
      </c>
      <c r="G55" s="341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f t="shared" si="17"/>
        <v>0</v>
      </c>
      <c r="C56" s="378">
        <f t="shared" si="16"/>
        <v>0</v>
      </c>
      <c r="D56" s="2231">
        <v>0.25</v>
      </c>
      <c r="E56" s="639"/>
      <c r="F56" s="1952">
        <f t="shared" si="15"/>
        <v>0</v>
      </c>
      <c r="G56" s="341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f t="shared" si="17"/>
        <v>0</v>
      </c>
      <c r="C57" s="378">
        <f t="shared" si="16"/>
        <v>0</v>
      </c>
      <c r="D57" s="2231">
        <v>0.25</v>
      </c>
      <c r="E57" s="639"/>
      <c r="F57" s="1952">
        <f t="shared" si="15"/>
        <v>0</v>
      </c>
      <c r="G57" s="341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f t="shared" si="17"/>
        <v>0</v>
      </c>
      <c r="C58" s="378">
        <f t="shared" si="16"/>
        <v>0</v>
      </c>
      <c r="D58" s="2231">
        <v>0.25</v>
      </c>
      <c r="E58" s="641">
        <f>'数据-汇总表'!E11</f>
        <v>0</v>
      </c>
      <c r="F58" s="1952">
        <f t="shared" si="15"/>
        <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f t="shared" si="17"/>
        <v>0</v>
      </c>
      <c r="C59" s="378">
        <f t="shared" si="16"/>
        <v>0</v>
      </c>
      <c r="D59" s="2231">
        <v>0.25</v>
      </c>
      <c r="E59" s="641">
        <f>'数据-汇总表'!E12</f>
        <v>0</v>
      </c>
      <c r="F59" s="1952">
        <f t="shared" si="15"/>
        <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f t="shared" si="17"/>
        <v>0</v>
      </c>
      <c r="C60" s="378">
        <f t="shared" si="16"/>
        <v>0</v>
      </c>
      <c r="D60" s="2231">
        <v>0.25</v>
      </c>
      <c r="E60" s="641">
        <f>'数据-汇总表'!E13</f>
        <v>0</v>
      </c>
      <c r="F60" s="1952">
        <f t="shared" si="15"/>
        <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f t="shared" si="17"/>
        <v>0</v>
      </c>
      <c r="C61" s="378">
        <f t="shared" si="16"/>
        <v>0</v>
      </c>
      <c r="D61" s="2231">
        <v>0.25</v>
      </c>
      <c r="E61" s="641">
        <f>'数据-汇总表'!E14</f>
        <v>0</v>
      </c>
      <c r="F61" s="1952">
        <f t="shared" si="15"/>
        <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f t="shared" si="17"/>
        <v>0</v>
      </c>
      <c r="C62" s="378">
        <f t="shared" si="16"/>
        <v>0</v>
      </c>
      <c r="D62" s="2231">
        <v>0.25</v>
      </c>
      <c r="E62" s="641">
        <f>'数据-汇总表'!E15</f>
        <v>0</v>
      </c>
      <c r="F62" s="1952">
        <f t="shared" si="15"/>
        <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86802.49</v>
      </c>
      <c r="F63" s="644">
        <f>IF(B43="楼面地价",SUM(F53:F62),ROUND(C45*E63/10000,0))</f>
        <v>12708</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2018-7-1</v>
      </c>
      <c r="D65" s="2801">
        <f>EDATE(C65,-3)</f>
        <v>43191</v>
      </c>
      <c r="E65" s="2801">
        <f t="shared" ref="E65:N65" si="18">EDATE(D65,-3)</f>
        <v>43101</v>
      </c>
      <c r="F65" s="2801">
        <f t="shared" si="18"/>
        <v>43009</v>
      </c>
      <c r="G65" s="2801">
        <f t="shared" si="18"/>
        <v>42917</v>
      </c>
      <c r="H65" s="2801">
        <f t="shared" si="18"/>
        <v>42826</v>
      </c>
      <c r="I65" s="2801">
        <f t="shared" si="18"/>
        <v>42736</v>
      </c>
      <c r="J65" s="2801">
        <f t="shared" si="18"/>
        <v>42644</v>
      </c>
      <c r="K65" s="2801">
        <f t="shared" si="18"/>
        <v>42552</v>
      </c>
      <c r="L65" s="2801">
        <f t="shared" si="18"/>
        <v>42461</v>
      </c>
      <c r="M65" s="2801">
        <f t="shared" si="18"/>
        <v>42370</v>
      </c>
      <c r="N65" s="2801">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北京市平均增长率1.28%</v>
      </c>
      <c r="C68" s="894">
        <v>100</v>
      </c>
      <c r="D68" s="730">
        <v>100</v>
      </c>
      <c r="E68" s="730">
        <v>100</v>
      </c>
      <c r="F68" s="730">
        <v>99</v>
      </c>
      <c r="G68" s="730">
        <v>99</v>
      </c>
      <c r="H68" s="730">
        <v>99</v>
      </c>
      <c r="I68" s="730">
        <v>99</v>
      </c>
      <c r="J68" s="730">
        <v>98</v>
      </c>
      <c r="K68" s="730">
        <v>98</v>
      </c>
      <c r="L68" s="730">
        <v>98</v>
      </c>
      <c r="M68" s="2794">
        <v>98</v>
      </c>
      <c r="N68" s="2795">
        <v>98</v>
      </c>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3192" t="s">
        <v>3267</v>
      </c>
      <c r="D72" s="3192" t="s">
        <v>3269</v>
      </c>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1（含）-2</v>
      </c>
      <c r="D76" s="682" t="str">
        <f t="shared" ref="D76:L76" si="20">D77&amp;"（含）"&amp;"-"&amp;E77</f>
        <v>2（含）-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v>1</v>
      </c>
      <c r="D77" s="541">
        <v>2</v>
      </c>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3194" t="s">
        <v>3273</v>
      </c>
      <c r="D99" s="3194" t="s">
        <v>3274</v>
      </c>
      <c r="E99" s="3194" t="s">
        <v>3276</v>
      </c>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t="s">
        <v>3285</v>
      </c>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ht="28.5">
      <c r="A109" s="664" t="s">
        <v>551</v>
      </c>
      <c r="B109" s="665" t="s">
        <v>593</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v>
      </c>
      <c r="H109" s="704" t="str">
        <f t="shared" si="25"/>
        <v>(含)-</v>
      </c>
      <c r="I109" s="704" t="str">
        <f t="shared" si="25"/>
        <v>(含)-</v>
      </c>
      <c r="J109" s="704" t="str">
        <f t="shared" si="25"/>
        <v>(含)-</v>
      </c>
      <c r="K109" s="3092" t="str">
        <f t="shared" si="25"/>
        <v>(含)-</v>
      </c>
      <c r="L109" s="3093" t="str">
        <f t="shared" si="25"/>
        <v>(含)-</v>
      </c>
      <c r="M109" s="3094"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v>0</v>
      </c>
      <c r="D110" s="730">
        <v>50000</v>
      </c>
      <c r="E110" s="730">
        <v>100000</v>
      </c>
      <c r="F110" s="730">
        <v>150000</v>
      </c>
      <c r="G110" s="730">
        <v>200000</v>
      </c>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v>92</v>
      </c>
      <c r="D111" s="726">
        <v>94</v>
      </c>
      <c r="E111" s="726">
        <v>96</v>
      </c>
      <c r="F111" s="726">
        <v>98</v>
      </c>
      <c r="G111" s="726">
        <v>100</v>
      </c>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3195" t="s">
        <v>3278</v>
      </c>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t="s">
        <v>3279</v>
      </c>
      <c r="D114" s="1376" t="s">
        <v>3280</v>
      </c>
      <c r="E114" s="1376" t="s">
        <v>3282</v>
      </c>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3194" t="s">
        <v>3283</v>
      </c>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 sqref="F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80808</v>
      </c>
      <c r="E1" s="1407" t="s">
        <v>2430</v>
      </c>
      <c r="F1" s="2454">
        <f>项目基本情况!C22</f>
        <v>86802.49</v>
      </c>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920</v>
      </c>
      <c r="B2" s="1038">
        <f ca="1">C26</f>
        <v>9915</v>
      </c>
      <c r="C2" s="1408" t="s">
        <v>921</v>
      </c>
      <c r="D2" s="1409" t="s">
        <v>922</v>
      </c>
      <c r="E2" s="1410" t="s">
        <v>982</v>
      </c>
      <c r="F2" s="1409" t="s">
        <v>924</v>
      </c>
      <c r="G2" s="1653" t="str">
        <f>IF(E2="商业",项目基本情况!B43,IF(E2="办公",项目基本情况!C43,IF(E2="住宅",项目基本情况!D43,项目基本情况!E43)))</f>
        <v>八级</v>
      </c>
      <c r="H2" s="1409" t="s">
        <v>926</v>
      </c>
      <c r="I2" s="1654" t="str">
        <f>IF(E2="商业",项目基本情况!B44,IF(E2="办公",项目基本情况!C44,IF(E2="住宅",项目基本情况!D44,项目基本情况!E44)))</f>
        <v>Ⅷ-通州环保园</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2383</v>
      </c>
      <c r="U2" s="2928"/>
      <c r="V2" s="2939">
        <f ca="1">ROUND(T2*U2/10000,0)</f>
        <v>0</v>
      </c>
      <c r="W2" s="2191"/>
      <c r="X2" s="2191"/>
      <c r="Y2" s="2191"/>
      <c r="Z2" s="2191"/>
      <c r="AA2" s="2191"/>
      <c r="AB2" s="2191"/>
      <c r="AC2" s="2192"/>
    </row>
    <row r="3" spans="1:39" ht="15.75">
      <c r="A3" s="1412" t="s">
        <v>1688</v>
      </c>
      <c r="B3" s="1038">
        <f ca="1">ROUND(B2*10000/D1,0)</f>
        <v>1227</v>
      </c>
      <c r="C3" s="1408" t="s">
        <v>927</v>
      </c>
      <c r="D3" s="1409" t="s">
        <v>928</v>
      </c>
      <c r="E3" s="1413" t="s">
        <v>3023</v>
      </c>
      <c r="F3" s="1414" t="s">
        <v>3027</v>
      </c>
      <c r="G3" s="1039">
        <f>IF(F3="宗地容积率",'数据-汇总表'!I4,IF(F3="估价对象容积率",'数据-汇总表'!I6,'数据-汇总表'!I7))</f>
        <v>1</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1570</v>
      </c>
      <c r="U3" s="2928"/>
      <c r="V3" s="2939">
        <f t="shared" ref="V3:V16" ca="1" si="1">ROUND(T3*U3/10000,0)</f>
        <v>0</v>
      </c>
      <c r="W3" s="2191"/>
      <c r="X3" s="2191"/>
      <c r="Y3" s="2191"/>
      <c r="Z3" s="2191"/>
      <c r="AA3" s="2191"/>
      <c r="AB3" s="2191"/>
      <c r="AC3" s="2192"/>
    </row>
    <row r="4" spans="1:39" ht="28.5">
      <c r="A4" s="1893" t="s">
        <v>2283</v>
      </c>
      <c r="B4" s="2455">
        <f ca="1">ROUND(B2*10000/F1,0)</f>
        <v>1142</v>
      </c>
      <c r="C4" s="1896" t="s">
        <v>2257</v>
      </c>
      <c r="D4" s="1896">
        <f ca="1">ROUND(B2/(F1/666.67),0)</f>
        <v>76</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1236</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1020</v>
      </c>
      <c r="D5" s="312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923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990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694</v>
      </c>
      <c r="U6" s="2928"/>
      <c r="V6" s="2939">
        <f t="shared" ca="1" si="1"/>
        <v>0</v>
      </c>
      <c r="W6" s="2191"/>
      <c r="X6" s="2191"/>
      <c r="Y6" s="2191"/>
      <c r="Z6" s="2191"/>
      <c r="AA6" s="2191"/>
      <c r="AB6" s="2191"/>
      <c r="AC6" s="2193"/>
      <c r="AD6" s="1420"/>
      <c r="AE6" s="1420"/>
      <c r="AF6" s="1420"/>
      <c r="AG6" s="1420"/>
      <c r="AH6" s="1420"/>
      <c r="AI6" s="1420"/>
      <c r="AJ6" s="1421"/>
    </row>
    <row r="7" spans="1:39" ht="24">
      <c r="A7" s="3422"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555</v>
      </c>
      <c r="U7" s="2928"/>
      <c r="V7" s="2939">
        <f t="shared" ca="1" si="1"/>
        <v>0</v>
      </c>
      <c r="W7" s="2937" t="s">
        <v>2767</v>
      </c>
      <c r="X7" s="2929" t="str">
        <f>G2</f>
        <v>八级</v>
      </c>
      <c r="Y7" s="2929" t="s">
        <v>2768</v>
      </c>
      <c r="Z7" s="2930">
        <f>G3</f>
        <v>1</v>
      </c>
      <c r="AA7" s="2194"/>
      <c r="AB7" s="2194"/>
      <c r="AC7" s="2195"/>
      <c r="AD7" s="2931"/>
      <c r="AE7" s="2931"/>
      <c r="AF7" s="2931"/>
      <c r="AG7" s="2931"/>
      <c r="AH7" s="2931"/>
      <c r="AI7" s="2931"/>
      <c r="AJ7" s="2932"/>
    </row>
    <row r="8" spans="1:39" ht="15">
      <c r="A8" s="3423"/>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990</v>
      </c>
      <c r="N8" s="1889">
        <f>SUMPRODUCT((因素修正幅度!B206:B244=I2)*(因素修正幅度!C3:F3=E2)*(因素修正幅度!C206:F244))</f>
        <v>0.05</v>
      </c>
      <c r="O8" s="2191"/>
      <c r="P8" s="2191"/>
      <c r="Q8" s="2191"/>
      <c r="R8" s="2939">
        <v>7</v>
      </c>
      <c r="S8" s="2928"/>
      <c r="T8" s="2939">
        <f t="shared" ca="1" si="0"/>
        <v>0</v>
      </c>
      <c r="U8" s="2928"/>
      <c r="V8" s="2939">
        <f t="shared" ca="1" si="1"/>
        <v>0</v>
      </c>
      <c r="W8" s="3432" t="s">
        <v>2785</v>
      </c>
      <c r="X8" s="3433"/>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3"/>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431" t="s">
        <v>2781</v>
      </c>
      <c r="X9" s="2933" t="s">
        <v>2782</v>
      </c>
      <c r="Y9" s="3098"/>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23"/>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31"/>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23"/>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31" t="s">
        <v>2783</v>
      </c>
      <c r="X11" s="1048" t="s">
        <v>2768</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22"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31"/>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24"/>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431"/>
      <c r="X13" s="2936"/>
      <c r="Y13" s="2935">
        <f>(-0.163*(Y12^2)-0.59*Y12+7617)*(10^(-4))/Y11</f>
        <v>0.76170000000000004</v>
      </c>
      <c r="Z13" s="2935">
        <f t="shared" ref="Z13:AJ13" si="5">(-0.163*(Z12^2)-0.59*Z12+7617)*(10^(-4))/Z11</f>
        <v>0.76170000000000004</v>
      </c>
      <c r="AA13" s="2935">
        <f t="shared" si="5"/>
        <v>0.76170000000000004</v>
      </c>
      <c r="AB13" s="2935">
        <f t="shared" si="5"/>
        <v>0.76170000000000004</v>
      </c>
      <c r="AC13" s="2935">
        <f t="shared" si="5"/>
        <v>0.76170000000000004</v>
      </c>
      <c r="AD13" s="2935">
        <f t="shared" si="5"/>
        <v>0.76170000000000004</v>
      </c>
      <c r="AE13" s="2935">
        <f t="shared" si="5"/>
        <v>0.76170000000000004</v>
      </c>
      <c r="AF13" s="2935">
        <f t="shared" si="5"/>
        <v>0.76170000000000004</v>
      </c>
      <c r="AG13" s="2935">
        <f t="shared" si="5"/>
        <v>0.76170000000000004</v>
      </c>
      <c r="AH13" s="2935">
        <f t="shared" si="5"/>
        <v>0.76170000000000004</v>
      </c>
      <c r="AI13" s="2935">
        <f t="shared" si="5"/>
        <v>0.76170000000000004</v>
      </c>
      <c r="AJ13" s="2935">
        <f t="shared" si="5"/>
        <v>0.76170000000000004</v>
      </c>
    </row>
    <row r="14" spans="1:39" ht="12.75" customHeight="1" thickBot="1">
      <c r="A14" s="3424"/>
      <c r="B14" s="1452"/>
      <c r="C14" s="1453"/>
      <c r="D14" s="1454"/>
      <c r="E14" s="1454"/>
      <c r="F14" s="1455"/>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25"/>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422" t="s">
        <v>1839</v>
      </c>
      <c r="B16" s="1428" t="s">
        <v>950</v>
      </c>
      <c r="C16" s="1054">
        <f>ROUND(SUM(G17:J17)/C17,0)</f>
        <v>30</v>
      </c>
      <c r="D16" s="1461" t="s">
        <v>951</v>
      </c>
      <c r="E16" s="1462" t="s">
        <v>3024</v>
      </c>
      <c r="F16" s="1463" t="s">
        <v>3025</v>
      </c>
      <c r="G16" s="1464" t="s">
        <v>3005</v>
      </c>
      <c r="H16" s="1464"/>
      <c r="I16" s="1464"/>
      <c r="J16" s="1464"/>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23"/>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30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ROUND(IF(H19="按公示增长率计算",SUMPRODUCT((地价!A3:A23=YEAR(G19)&amp;"-"&amp;ROUNDUP(MONTH(G19)/3,0))*(地价!X2:AB2=E2)*(地价!X3:AB23)),IF(H19="地价指数",M20/M19,(1+I19)^O19)),4)</f>
        <v>1.2565</v>
      </c>
      <c r="D19" s="1475" t="s">
        <v>958</v>
      </c>
      <c r="E19" s="1058">
        <v>41640</v>
      </c>
      <c r="F19" s="1475" t="s">
        <v>959</v>
      </c>
      <c r="G19" s="1059">
        <f>'数据-取费表'!B2</f>
        <v>43290</v>
      </c>
      <c r="H19" s="1476" t="s">
        <v>2937</v>
      </c>
      <c r="I19" s="2786" t="str">
        <f>IF(H19="季度增幅（自定义）",SUMIF(N21:N24,E2,O21:O24),"")</f>
        <v/>
      </c>
      <c r="J19" s="1472"/>
      <c r="K19" s="1482"/>
      <c r="L19" s="3042" t="s">
        <v>2843</v>
      </c>
      <c r="M19" s="3043">
        <f>ROUND(SUMIF(地价!B2:F2,E2,地价!B23:F23),0)</f>
        <v>230</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0.93779999999999997</v>
      </c>
      <c r="D20" s="2783" t="s">
        <v>973</v>
      </c>
      <c r="E20" s="3095">
        <f ca="1">存贷款利率!I4/100</f>
        <v>4.3499999999999997E-2</v>
      </c>
      <c r="F20" s="2783" t="s">
        <v>974</v>
      </c>
      <c r="G20" s="2784">
        <f ca="1">SUMIF(M15:P15,E2,M17:P17)</f>
        <v>4.8000000000000001E-2</v>
      </c>
      <c r="H20" s="2783" t="s">
        <v>975</v>
      </c>
      <c r="I20" s="2773">
        <f>SUMIF('数据-取费表'!C6:C15,E2,'数据-取费表'!F6:F15)/COUNTIF('数据-取费表'!C6:C15,E2)</f>
        <v>40.159999999999997</v>
      </c>
      <c r="J20" s="2785">
        <f>IF(E2="住宅",70,IF(E2="商业",40,50))</f>
        <v>50</v>
      </c>
      <c r="K20" s="1482"/>
      <c r="L20" s="3044" t="s">
        <v>2844</v>
      </c>
      <c r="M20" s="3045">
        <f>ROUND(SUMPRODUCT((地价!A4:A23=YEAR(G19)&amp;"-"&amp;ROUNDUP(MONTH(G19)/3,0))*(地价!B2:F2=E2)*(地价!B4:F23)),0)</f>
        <v>289</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3026</v>
      </c>
      <c r="C21" s="1158">
        <f>IF(B21="容积率修正",IF(G3&lt;=10,D22,J22),C23)</f>
        <v>1</v>
      </c>
      <c r="D21" s="1482"/>
      <c r="E21" s="1482"/>
      <c r="F21" s="1482"/>
      <c r="G21" s="1482"/>
      <c r="H21" s="1482"/>
      <c r="I21" s="1482"/>
      <c r="J21" s="1483"/>
      <c r="K21" s="1482"/>
      <c r="L21" s="1482"/>
      <c r="M21" s="1482"/>
      <c r="N21" s="1479" t="s">
        <v>976</v>
      </c>
      <c r="O21" s="1543"/>
      <c r="P21" s="2771">
        <f>SUMPRODUCT((地价!A3:A23=YEAR(G19)&amp;"-"&amp;ROUNDUP(MONTH(G19)/3,0))*(地价!AD2:AH2=N21)*(地价!AD3:AH23))</f>
        <v>1.49E-2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1</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771">
        <f>SUMPRODUCT((地价!A3:A23=YEAR(G19)&amp;"-"&amp;ROUNDUP(MONTH(G19)/3,0))*(地价!AD2:AH2=N22)*(地价!AD3:AH23))</f>
        <v>1.49E-2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923</v>
      </c>
      <c r="O23" s="1543"/>
      <c r="P23" s="2771">
        <f>SUMPRODUCT((地价!A3:A23=YEAR(G19)&amp;"-"&amp;ROUNDUP(MONTH(G19)/3,0))*(地价!AD2:AH2=N23)*(地价!AD3:AH23))</f>
        <v>2.3699999999999999E-2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1.0207999999999999</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2.1499999999999998E-2</v>
      </c>
      <c r="R25" s="2927"/>
      <c r="S25" s="2927"/>
      <c r="T25" s="2927"/>
      <c r="U25" s="2927"/>
      <c r="V25" s="2927"/>
      <c r="W25" s="2197"/>
      <c r="X25" s="2197"/>
      <c r="Y25" s="2197"/>
      <c r="Z25" s="2197"/>
      <c r="AA25" s="2197"/>
      <c r="AB25" s="2197"/>
      <c r="AC25" s="2197"/>
    </row>
    <row r="26" spans="1:40" ht="14.25">
      <c r="A26" s="1490"/>
      <c r="B26" s="1484" t="s">
        <v>987</v>
      </c>
      <c r="C26" s="1063">
        <f ca="1">E29+SUM(E33:E39)</f>
        <v>9915</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1227</v>
      </c>
      <c r="D29" s="1505">
        <f>'数据-基础表'!B3</f>
        <v>80808</v>
      </c>
      <c r="E29" s="1851">
        <f ca="1">ROUND(C29*D29/10000,0)</f>
        <v>9915</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184</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8" t="s">
        <v>2963</v>
      </c>
      <c r="B33" s="1525" t="s">
        <v>1000</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9"/>
      <c r="B34" s="1446" t="s">
        <v>1001</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9"/>
      <c r="B35" s="1446" t="s">
        <v>1002</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0"/>
      <c r="B36" s="1446" t="s">
        <v>1003</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245</v>
      </c>
      <c r="D37" s="1538"/>
      <c r="E37" s="1048">
        <f t="shared" ca="1" si="7"/>
        <v>0</v>
      </c>
      <c r="F37" s="1063">
        <f>SUMIF(修正!A45:A56,G2,修正!F45:F56)</f>
        <v>0.2</v>
      </c>
      <c r="G37" s="1048">
        <f ca="1">ROUND(IF(E2="工业",C37*$M$39,C37*$M$38),0)</f>
        <v>37</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245</v>
      </c>
      <c r="D38" s="1538"/>
      <c r="E38" s="1048">
        <f t="shared" ca="1" si="7"/>
        <v>0</v>
      </c>
      <c r="F38" s="1063">
        <f>SUMIF(修正!A45:A56,G2,修正!G45:G56)</f>
        <v>0.2</v>
      </c>
      <c r="G38" s="1048">
        <f ca="1">ROUND(IF(E2="工业",C38*$M$39,C38*$M$38),0)</f>
        <v>37</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184</v>
      </c>
      <c r="D39" s="1539"/>
      <c r="E39" s="1051">
        <f t="shared" ca="1" si="7"/>
        <v>0</v>
      </c>
      <c r="F39" s="1065">
        <f>SUMIF(修正!A45:A56,G2,修正!H45:H56)</f>
        <v>0.15</v>
      </c>
      <c r="G39" s="1051">
        <f ca="1">ROUND(IF(E2="工业",C39*$M$39,C39*$M$38),0)</f>
        <v>28</v>
      </c>
      <c r="H39" s="1051">
        <f t="shared" si="8"/>
        <v>0</v>
      </c>
      <c r="I39" s="1051">
        <f t="shared" ca="1" si="9"/>
        <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7" t="s">
        <v>2939</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6" t="s">
        <v>2938</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7" t="s">
        <v>2940</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6" t="s">
        <v>2938</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6" t="s">
        <v>2938</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1.0207999999999999</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48">
      <c r="A80" s="1067" t="s">
        <v>1038</v>
      </c>
      <c r="B80" s="2410" t="str">
        <f>估价对象房地状况!G15</f>
        <v>估价对象位于北京市通州区马驹桥镇金桥产业基地，园区建设成熟，产业集聚程度较好</v>
      </c>
      <c r="C80" s="1050" t="s">
        <v>3028</v>
      </c>
      <c r="D80" s="2419">
        <f t="shared" ref="D80:D87" si="25">SUMIF($J$79:$N$79,C80,J80:N80)</f>
        <v>6.4999999999999997E-3</v>
      </c>
      <c r="E80" s="2438">
        <f>ROUND(SUM(D80:D87),4)</f>
        <v>2.0799999999999999E-2</v>
      </c>
      <c r="F80" s="2439">
        <f>IF(E2="工业",SUMIF(L1:L12,G2,N1:N12),"——")</f>
        <v>0.05</v>
      </c>
      <c r="G80" s="2417">
        <v>6.4999999999999997E-3</v>
      </c>
      <c r="H80" s="2463">
        <f t="shared" ref="H80:H87" si="26">IFERROR(ROUNDDOWN($F$80*I80/2,4),"——")</f>
        <v>6.4999999999999997E-3</v>
      </c>
      <c r="I80" s="2437">
        <v>0.26</v>
      </c>
      <c r="J80" s="2440">
        <f t="shared" ref="J80:J87" si="27">K80+$G80</f>
        <v>1.2999999999999999E-2</v>
      </c>
      <c r="K80" s="2440">
        <f t="shared" ref="K80:K87" si="28">$L80+$G80</f>
        <v>6.4999999999999997E-3</v>
      </c>
      <c r="L80" s="2440">
        <v>0</v>
      </c>
      <c r="M80" s="2440">
        <f t="shared" ref="M80:N87" si="29">L80-$G80</f>
        <v>-6.4999999999999997E-3</v>
      </c>
      <c r="N80" s="2440">
        <f t="shared" si="29"/>
        <v>-1.2999999999999999E-2</v>
      </c>
      <c r="AC80" s="1406"/>
      <c r="AD80" s="1405"/>
      <c r="AJ80" s="1404"/>
      <c r="AN80" s="1405"/>
    </row>
    <row r="81" spans="1:40" ht="48">
      <c r="A81" s="1067" t="s">
        <v>1034</v>
      </c>
      <c r="B81" s="2410" t="str">
        <f>估价对象房地状况!G16</f>
        <v>估价对象紧邻六环高速路、公共交通通达情况较好、综合评价交通便捷度较好</v>
      </c>
      <c r="C81" s="1050" t="s">
        <v>3028</v>
      </c>
      <c r="D81" s="2419">
        <f t="shared" si="25"/>
        <v>8.2000000000000007E-3</v>
      </c>
      <c r="E81" s="2447"/>
      <c r="F81" s="2448"/>
      <c r="G81" s="2417">
        <v>8.2000000000000007E-3</v>
      </c>
      <c r="H81" s="2463">
        <f t="shared" si="26"/>
        <v>8.2000000000000007E-3</v>
      </c>
      <c r="I81" s="2437">
        <v>0.33</v>
      </c>
      <c r="J81" s="2440">
        <f t="shared" si="27"/>
        <v>1.6400000000000001E-2</v>
      </c>
      <c r="K81" s="2440">
        <f t="shared" si="28"/>
        <v>8.2000000000000007E-3</v>
      </c>
      <c r="L81" s="2440">
        <v>0</v>
      </c>
      <c r="M81" s="2440">
        <f t="shared" si="29"/>
        <v>-8.2000000000000007E-3</v>
      </c>
      <c r="N81" s="2440">
        <f t="shared" si="29"/>
        <v>-1.6400000000000001E-2</v>
      </c>
      <c r="AC81" s="1406"/>
      <c r="AD81" s="1405"/>
      <c r="AJ81" s="1404"/>
      <c r="AN81" s="1405"/>
    </row>
    <row r="82" spans="1:40" ht="24">
      <c r="A82" s="1067" t="s">
        <v>1023</v>
      </c>
      <c r="B82" s="2410" t="str">
        <f>估价对象房地状况!G17</f>
        <v>零星有其他用地，基本不影响本宗地</v>
      </c>
      <c r="C82" s="1050" t="s">
        <v>3028</v>
      </c>
      <c r="D82" s="2419">
        <f t="shared" si="25"/>
        <v>1.1999999999999999E-3</v>
      </c>
      <c r="E82" s="2447"/>
      <c r="F82" s="2448"/>
      <c r="G82" s="2417">
        <v>1.1999999999999999E-3</v>
      </c>
      <c r="H82" s="2463">
        <f t="shared" si="26"/>
        <v>1.1999999999999999E-3</v>
      </c>
      <c r="I82" s="2437">
        <v>0.05</v>
      </c>
      <c r="J82" s="2440">
        <f t="shared" si="27"/>
        <v>2.3999999999999998E-3</v>
      </c>
      <c r="K82" s="2440">
        <f t="shared" si="28"/>
        <v>1.1999999999999999E-3</v>
      </c>
      <c r="L82" s="2440">
        <v>0</v>
      </c>
      <c r="M82" s="2440">
        <f t="shared" si="29"/>
        <v>-1.1999999999999999E-3</v>
      </c>
      <c r="N82" s="2440">
        <f t="shared" si="29"/>
        <v>-2.3999999999999998E-3</v>
      </c>
      <c r="AC82" s="1406"/>
      <c r="AD82" s="1405"/>
      <c r="AJ82" s="1404"/>
      <c r="AN82" s="1405"/>
    </row>
    <row r="83" spans="1:40" ht="14.25">
      <c r="A83" s="1067" t="s">
        <v>1035</v>
      </c>
      <c r="B83" s="2410" t="str">
        <f>估价对象房地状况!G22</f>
        <v>城市高速路——六环路</v>
      </c>
      <c r="C83" s="1050" t="s">
        <v>3029</v>
      </c>
      <c r="D83" s="2419">
        <f t="shared" si="25"/>
        <v>0</v>
      </c>
      <c r="E83" s="2447"/>
      <c r="F83" s="2448"/>
      <c r="G83" s="2417">
        <v>1E-3</v>
      </c>
      <c r="H83" s="2463">
        <f t="shared" si="26"/>
        <v>1E-3</v>
      </c>
      <c r="I83" s="2437">
        <v>0.04</v>
      </c>
      <c r="J83" s="2440">
        <f t="shared" si="27"/>
        <v>2E-3</v>
      </c>
      <c r="K83" s="2440">
        <f t="shared" si="28"/>
        <v>1E-3</v>
      </c>
      <c r="L83" s="2440">
        <v>0</v>
      </c>
      <c r="M83" s="2440">
        <f t="shared" si="29"/>
        <v>-1E-3</v>
      </c>
      <c r="N83" s="2440">
        <f t="shared" si="29"/>
        <v>-2E-3</v>
      </c>
      <c r="AC83" s="1406"/>
      <c r="AD83" s="1405"/>
      <c r="AJ83" s="1404"/>
      <c r="AN83" s="1405"/>
    </row>
    <row r="84" spans="1:40" ht="60">
      <c r="A84" s="1067" t="s">
        <v>1027</v>
      </c>
      <c r="B84" s="2411" t="str">
        <f>估价对象房地状况!G19</f>
        <v>估价对象所在区域公共配套设施齐备情况一般；基础设施水平一般；综合评价公用设施及基础设施水平一般</v>
      </c>
      <c r="C84" s="1050" t="s">
        <v>3029</v>
      </c>
      <c r="D84" s="2419">
        <f t="shared" si="25"/>
        <v>0</v>
      </c>
      <c r="E84" s="2447"/>
      <c r="F84" s="2448"/>
      <c r="G84" s="2417">
        <v>1.5E-3</v>
      </c>
      <c r="H84" s="2463">
        <f t="shared" si="26"/>
        <v>1.5E-3</v>
      </c>
      <c r="I84" s="2437">
        <v>0.06</v>
      </c>
      <c r="J84" s="2440">
        <f t="shared" si="27"/>
        <v>3.0000000000000001E-3</v>
      </c>
      <c r="K84" s="2440">
        <f t="shared" si="28"/>
        <v>1.5E-3</v>
      </c>
      <c r="L84" s="2440">
        <v>0</v>
      </c>
      <c r="M84" s="2440">
        <f t="shared" si="29"/>
        <v>-1.5E-3</v>
      </c>
      <c r="N84" s="2440">
        <f t="shared" si="29"/>
        <v>-3.0000000000000001E-3</v>
      </c>
      <c r="AC84" s="1406"/>
      <c r="AD84" s="1405"/>
      <c r="AJ84" s="1404"/>
      <c r="AN84" s="1405"/>
    </row>
    <row r="85" spans="1:40" ht="24">
      <c r="A85" s="1067" t="s">
        <v>1028</v>
      </c>
      <c r="B85" s="2411" t="str">
        <f>估价对象房地状况!G20</f>
        <v>五通</v>
      </c>
      <c r="C85" s="1050" t="s">
        <v>3028</v>
      </c>
      <c r="D85" s="2419">
        <f t="shared" si="25"/>
        <v>3.7000000000000002E-3</v>
      </c>
      <c r="E85" s="2447"/>
      <c r="F85" s="2448"/>
      <c r="G85" s="2417">
        <v>3.7000000000000002E-3</v>
      </c>
      <c r="H85" s="2463">
        <f t="shared" si="26"/>
        <v>3.7000000000000002E-3</v>
      </c>
      <c r="I85" s="2437">
        <v>0.15</v>
      </c>
      <c r="J85" s="2440">
        <f t="shared" si="27"/>
        <v>7.4000000000000003E-3</v>
      </c>
      <c r="K85" s="2440">
        <f t="shared" si="28"/>
        <v>3.7000000000000002E-3</v>
      </c>
      <c r="L85" s="2440">
        <v>0</v>
      </c>
      <c r="M85" s="2440">
        <f t="shared" si="29"/>
        <v>-3.7000000000000002E-3</v>
      </c>
      <c r="N85" s="2440">
        <f t="shared" si="29"/>
        <v>-7.4000000000000003E-3</v>
      </c>
      <c r="AC85" s="1406"/>
      <c r="AD85" s="1405"/>
      <c r="AJ85" s="1404"/>
      <c r="AN85" s="1405"/>
    </row>
    <row r="86" spans="1:40" ht="24">
      <c r="A86" s="1067" t="s">
        <v>1026</v>
      </c>
      <c r="B86" s="3096" t="s">
        <v>2938</v>
      </c>
      <c r="C86" s="1050" t="s">
        <v>3028</v>
      </c>
      <c r="D86" s="2419">
        <f t="shared" si="25"/>
        <v>1.1999999999999999E-3</v>
      </c>
      <c r="E86" s="2447"/>
      <c r="F86" s="2448"/>
      <c r="G86" s="2417">
        <v>1.1999999999999999E-3</v>
      </c>
      <c r="H86" s="2463">
        <f t="shared" si="26"/>
        <v>1.1999999999999999E-3</v>
      </c>
      <c r="I86" s="2437">
        <v>0.05</v>
      </c>
      <c r="J86" s="2440">
        <f t="shared" si="27"/>
        <v>2.3999999999999998E-3</v>
      </c>
      <c r="K86" s="2440">
        <f t="shared" si="28"/>
        <v>1.1999999999999999E-3</v>
      </c>
      <c r="L86" s="2440">
        <v>0</v>
      </c>
      <c r="M86" s="2440">
        <f t="shared" si="29"/>
        <v>-1.1999999999999999E-3</v>
      </c>
      <c r="N86" s="2440">
        <f t="shared" si="29"/>
        <v>-2.3999999999999998E-3</v>
      </c>
      <c r="AC86" s="1406"/>
      <c r="AD86" s="1405"/>
      <c r="AJ86" s="1404"/>
      <c r="AN86" s="1405"/>
    </row>
    <row r="87" spans="1:40" ht="36.75" thickBot="1">
      <c r="A87" s="2443" t="s">
        <v>1039</v>
      </c>
      <c r="B87" s="2412" t="str">
        <f>估价对象房地状况!G18</f>
        <v>该园区内无污染型企业，绿化条件一般，卫生条件一般，整体环境状况一般</v>
      </c>
      <c r="C87" s="1050" t="s">
        <v>3029</v>
      </c>
      <c r="D87" s="2419">
        <f t="shared" si="25"/>
        <v>0</v>
      </c>
      <c r="E87" s="2449"/>
      <c r="F87" s="2448"/>
      <c r="G87" s="2417">
        <v>1.5E-3</v>
      </c>
      <c r="H87" s="2463">
        <f t="shared" si="26"/>
        <v>1.5E-3</v>
      </c>
      <c r="I87" s="2444">
        <v>0.06</v>
      </c>
      <c r="J87" s="2440">
        <f t="shared" si="27"/>
        <v>3.0000000000000001E-3</v>
      </c>
      <c r="K87" s="2440">
        <f t="shared" si="28"/>
        <v>1.5E-3</v>
      </c>
      <c r="L87" s="2440">
        <v>0</v>
      </c>
      <c r="M87" s="2440">
        <f t="shared" si="29"/>
        <v>-1.5E-3</v>
      </c>
      <c r="N87" s="2440">
        <f t="shared" si="29"/>
        <v>-3.0000000000000001E-3</v>
      </c>
      <c r="AC87" s="1406"/>
      <c r="AD87" s="1405"/>
      <c r="AJ87" s="1404"/>
      <c r="AN87" s="1405"/>
    </row>
    <row r="90" spans="1:40">
      <c r="A90" s="3426" t="s">
        <v>1634</v>
      </c>
      <c r="B90" s="3426"/>
      <c r="C90" s="3426"/>
      <c r="D90" s="3426"/>
      <c r="E90" s="3426"/>
      <c r="F90" s="3426"/>
      <c r="G90" s="3426"/>
      <c r="H90" s="3426"/>
      <c r="I90" s="3426"/>
      <c r="J90" s="3426"/>
      <c r="K90" s="2452"/>
      <c r="L90" s="2452"/>
      <c r="M90" s="2452"/>
      <c r="N90" s="2452"/>
    </row>
    <row r="91" spans="1:40">
      <c r="A91" s="3427" t="s">
        <v>1444</v>
      </c>
      <c r="B91" s="3427" t="s">
        <v>1635</v>
      </c>
      <c r="C91" s="1140" t="s">
        <v>1636</v>
      </c>
      <c r="D91" s="1141"/>
      <c r="E91" s="1141"/>
      <c r="F91" s="1141"/>
      <c r="G91" s="1141"/>
      <c r="H91" s="1141"/>
      <c r="I91" s="1141"/>
      <c r="J91" s="1142"/>
      <c r="K91" s="1134"/>
      <c r="L91" s="1134"/>
      <c r="M91" s="1134"/>
      <c r="N91" s="1134"/>
    </row>
    <row r="92" spans="1:40">
      <c r="A92" s="3427"/>
      <c r="B92" s="3427"/>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4"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4"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35"/>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35"/>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35"/>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35"/>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35"/>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35"/>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35"/>
      <c r="B108" s="343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6"/>
      <c r="B109" s="3438"/>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21" t="s">
        <v>1640</v>
      </c>
      <c r="B110" s="3421"/>
      <c r="C110" s="3421"/>
      <c r="D110" s="3421"/>
      <c r="E110" s="3421"/>
      <c r="F110" s="3421"/>
      <c r="G110" s="3421"/>
      <c r="H110" s="3421"/>
      <c r="I110" s="3421"/>
      <c r="J110" s="3421"/>
      <c r="K110" s="2450"/>
      <c r="L110" s="2450"/>
      <c r="M110" s="2450"/>
      <c r="N110" s="2450"/>
    </row>
    <row r="112" spans="1:14" ht="12.75" thickBot="1"/>
    <row r="113" spans="1:13" ht="25.5" thickBot="1">
      <c r="A113" s="1016" t="s">
        <v>896</v>
      </c>
      <c r="B113" s="2453">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7" t="s">
        <v>1008</v>
      </c>
      <c r="B18" s="1154" t="s">
        <v>1447</v>
      </c>
      <c r="C18" s="1131" t="s">
        <v>1448</v>
      </c>
      <c r="D18" s="1132"/>
      <c r="E18" s="1154">
        <v>1</v>
      </c>
      <c r="F18" s="1133" t="s">
        <v>1449</v>
      </c>
      <c r="G18" s="1134"/>
      <c r="H18" s="1105"/>
      <c r="I18" s="1105"/>
    </row>
    <row r="19" spans="1:9" s="1600" customFormat="1" ht="19.5" customHeight="1">
      <c r="A19" s="3427"/>
      <c r="B19" s="3427" t="s">
        <v>1450</v>
      </c>
      <c r="C19" s="1131" t="s">
        <v>1451</v>
      </c>
      <c r="D19" s="1132"/>
      <c r="E19" s="1154">
        <v>0.9</v>
      </c>
      <c r="F19" s="1133" t="s">
        <v>1452</v>
      </c>
      <c r="G19" s="1134"/>
      <c r="H19" s="1105"/>
      <c r="I19" s="1105"/>
    </row>
    <row r="20" spans="1:9" s="1600" customFormat="1" ht="19.5" customHeight="1">
      <c r="A20" s="3427"/>
      <c r="B20" s="3427"/>
      <c r="C20" s="1131" t="s">
        <v>1453</v>
      </c>
      <c r="D20" s="1132"/>
      <c r="E20" s="1154">
        <v>1.1000000000000001</v>
      </c>
      <c r="F20" s="1133" t="s">
        <v>1454</v>
      </c>
      <c r="G20" s="1134"/>
      <c r="H20" s="1105"/>
      <c r="I20" s="1105"/>
    </row>
    <row r="21" spans="1:9" s="1600" customFormat="1" ht="19.5" customHeight="1">
      <c r="A21" s="3427"/>
      <c r="B21" s="3427"/>
      <c r="C21" s="1131" t="s">
        <v>1455</v>
      </c>
      <c r="D21" s="1132"/>
      <c r="E21" s="1154">
        <v>0.8</v>
      </c>
      <c r="F21" s="1133" t="s">
        <v>1456</v>
      </c>
      <c r="G21" s="1134"/>
      <c r="H21" s="1105"/>
      <c r="I21" s="1105"/>
    </row>
    <row r="22" spans="1:9" s="1600" customFormat="1" ht="19.5" customHeight="1">
      <c r="A22" s="3427"/>
      <c r="B22" s="3427"/>
      <c r="C22" s="1131" t="s">
        <v>1457</v>
      </c>
      <c r="D22" s="1132"/>
      <c r="E22" s="1154">
        <v>0.5</v>
      </c>
      <c r="F22" s="1133"/>
      <c r="G22" s="1134"/>
      <c r="H22" s="1105"/>
      <c r="I22" s="1105"/>
    </row>
    <row r="23" spans="1:9" s="1600" customFormat="1" ht="19.5" customHeight="1">
      <c r="A23" s="3427" t="s">
        <v>1030</v>
      </c>
      <c r="B23" s="1154" t="s">
        <v>1447</v>
      </c>
      <c r="C23" s="1131" t="s">
        <v>1458</v>
      </c>
      <c r="D23" s="1132"/>
      <c r="E23" s="1154">
        <v>1</v>
      </c>
      <c r="F23" s="1133" t="s">
        <v>1459</v>
      </c>
      <c r="G23" s="1134"/>
      <c r="H23" s="1105"/>
      <c r="I23" s="1105"/>
    </row>
    <row r="24" spans="1:9" s="1600" customFormat="1" ht="19.5" customHeight="1">
      <c r="A24" s="3427"/>
      <c r="B24" s="3427" t="s">
        <v>1450</v>
      </c>
      <c r="C24" s="1131" t="s">
        <v>1460</v>
      </c>
      <c r="D24" s="1132"/>
      <c r="E24" s="1154">
        <v>0.5</v>
      </c>
      <c r="F24" s="1133"/>
      <c r="G24" s="1134"/>
      <c r="H24" s="1105"/>
      <c r="I24" s="1105"/>
    </row>
    <row r="25" spans="1:9" s="1600" customFormat="1" ht="19.5" customHeight="1">
      <c r="A25" s="3427"/>
      <c r="B25" s="3427"/>
      <c r="C25" s="1131" t="s">
        <v>1461</v>
      </c>
      <c r="D25" s="1132"/>
      <c r="E25" s="1154">
        <v>1.1000000000000001</v>
      </c>
      <c r="F25" s="1133"/>
      <c r="G25" s="1134"/>
      <c r="H25" s="1105"/>
      <c r="I25" s="1105"/>
    </row>
    <row r="26" spans="1:9" s="1600" customFormat="1" ht="19.5" customHeight="1">
      <c r="A26" s="3427"/>
      <c r="B26" s="3427"/>
      <c r="C26" s="1131" t="s">
        <v>1462</v>
      </c>
      <c r="D26" s="1132"/>
      <c r="E26" s="1154">
        <v>1.1000000000000001</v>
      </c>
      <c r="F26" s="1133"/>
      <c r="G26" s="1134"/>
      <c r="H26" s="1105"/>
      <c r="I26" s="1105"/>
    </row>
    <row r="27" spans="1:9" s="1600" customFormat="1" ht="19.5" customHeight="1">
      <c r="A27" s="3427"/>
      <c r="B27" s="3427"/>
      <c r="C27" s="1131" t="s">
        <v>1463</v>
      </c>
      <c r="D27" s="1132"/>
      <c r="E27" s="1154">
        <v>0.9</v>
      </c>
      <c r="F27" s="1133" t="s">
        <v>1464</v>
      </c>
      <c r="G27" s="1134"/>
      <c r="H27" s="1105"/>
      <c r="I27" s="1105"/>
    </row>
    <row r="28" spans="1:9" s="1600" customFormat="1" ht="19.5" customHeight="1">
      <c r="A28" s="3427"/>
      <c r="B28" s="3427"/>
      <c r="C28" s="1131" t="s">
        <v>1465</v>
      </c>
      <c r="D28" s="1132"/>
      <c r="E28" s="1154">
        <v>0.9</v>
      </c>
      <c r="F28" s="1133" t="s">
        <v>1466</v>
      </c>
      <c r="G28" s="1134"/>
      <c r="H28" s="1105"/>
      <c r="I28" s="1105"/>
    </row>
    <row r="29" spans="1:9" s="1600" customFormat="1" ht="19.5" customHeight="1">
      <c r="A29" s="3427"/>
      <c r="B29" s="3427"/>
      <c r="C29" s="1131" t="s">
        <v>1467</v>
      </c>
      <c r="D29" s="1132"/>
      <c r="E29" s="1154">
        <v>0.9</v>
      </c>
      <c r="F29" s="1133" t="s">
        <v>1468</v>
      </c>
      <c r="G29" s="1134"/>
      <c r="H29" s="1105"/>
      <c r="I29" s="1105"/>
    </row>
    <row r="30" spans="1:9" s="1600" customFormat="1" ht="19.5" customHeight="1">
      <c r="A30" s="3427"/>
      <c r="B30" s="3427"/>
      <c r="C30" s="1131" t="s">
        <v>1469</v>
      </c>
      <c r="D30" s="1132"/>
      <c r="E30" s="1154">
        <v>0.9</v>
      </c>
      <c r="F30" s="1133" t="s">
        <v>1470</v>
      </c>
      <c r="G30" s="1134"/>
      <c r="H30" s="1105"/>
      <c r="I30" s="1105"/>
    </row>
    <row r="31" spans="1:9" s="1600" customFormat="1" ht="19.5" customHeight="1">
      <c r="A31" s="3427"/>
      <c r="B31" s="3427"/>
      <c r="C31" s="1131" t="s">
        <v>1471</v>
      </c>
      <c r="D31" s="1132"/>
      <c r="E31" s="1154">
        <v>0.8</v>
      </c>
      <c r="F31" s="1133" t="s">
        <v>1472</v>
      </c>
      <c r="G31" s="1134"/>
      <c r="H31" s="1105"/>
      <c r="I31" s="1105"/>
    </row>
    <row r="32" spans="1:9" s="1600" customFormat="1" ht="19.5" customHeight="1">
      <c r="A32" s="3427"/>
      <c r="B32" s="3427"/>
      <c r="C32" s="1131" t="s">
        <v>1473</v>
      </c>
      <c r="D32" s="1132"/>
      <c r="E32" s="1154">
        <v>0.8</v>
      </c>
      <c r="F32" s="1133" t="s">
        <v>1474</v>
      </c>
      <c r="G32" s="1134"/>
      <c r="H32" s="1105"/>
      <c r="I32" s="1105"/>
    </row>
    <row r="33" spans="1:9" s="1600" customFormat="1" ht="19.5" customHeight="1">
      <c r="A33" s="3427" t="s">
        <v>1475</v>
      </c>
      <c r="B33" s="1154" t="s">
        <v>1447</v>
      </c>
      <c r="C33" s="1131" t="s">
        <v>1476</v>
      </c>
      <c r="D33" s="1132"/>
      <c r="E33" s="1154">
        <v>1</v>
      </c>
      <c r="F33" s="1133" t="s">
        <v>1477</v>
      </c>
      <c r="G33" s="1134"/>
      <c r="H33" s="1105"/>
      <c r="I33" s="1105"/>
    </row>
    <row r="34" spans="1:9" s="1600" customFormat="1" ht="19.5" customHeight="1">
      <c r="A34" s="3427"/>
      <c r="B34" s="1154" t="s">
        <v>1450</v>
      </c>
      <c r="C34" s="1131" t="s">
        <v>1478</v>
      </c>
      <c r="D34" s="1132"/>
      <c r="E34" s="1154">
        <v>1.5</v>
      </c>
      <c r="F34" s="1133" t="s">
        <v>1479</v>
      </c>
      <c r="G34" s="1134"/>
      <c r="H34" s="1105"/>
      <c r="I34" s="1105"/>
    </row>
    <row r="35" spans="1:9" s="1600" customFormat="1" ht="19.5" customHeight="1">
      <c r="A35" s="3427" t="s">
        <v>1433</v>
      </c>
      <c r="B35" s="1154" t="s">
        <v>1447</v>
      </c>
      <c r="C35" s="1131" t="s">
        <v>1480</v>
      </c>
      <c r="D35" s="1132"/>
      <c r="E35" s="1154">
        <v>1</v>
      </c>
      <c r="F35" s="1133" t="s">
        <v>1481</v>
      </c>
      <c r="G35" s="1134"/>
      <c r="H35" s="1105"/>
      <c r="I35" s="1105"/>
    </row>
    <row r="36" spans="1:9" s="1600" customFormat="1" ht="19.5" customHeight="1">
      <c r="A36" s="3427"/>
      <c r="B36" s="3427" t="s">
        <v>1450</v>
      </c>
      <c r="C36" s="1131" t="s">
        <v>1482</v>
      </c>
      <c r="D36" s="1132"/>
      <c r="E36" s="1154">
        <v>1</v>
      </c>
      <c r="F36" s="1133" t="s">
        <v>1483</v>
      </c>
      <c r="G36" s="1134"/>
      <c r="H36" s="1105"/>
      <c r="I36" s="1105"/>
    </row>
    <row r="37" spans="1:9" s="1600" customFormat="1" ht="19.5" customHeight="1">
      <c r="A37" s="3427"/>
      <c r="B37" s="3427"/>
      <c r="C37" s="1131" t="s">
        <v>1484</v>
      </c>
      <c r="D37" s="1132"/>
      <c r="E37" s="1154">
        <v>1.5</v>
      </c>
      <c r="F37" s="1133" t="s">
        <v>1485</v>
      </c>
      <c r="G37" s="1134"/>
      <c r="H37" s="1105"/>
      <c r="I37" s="1105"/>
    </row>
    <row r="38" spans="1:9" s="1600" customFormat="1" ht="19.5" customHeight="1">
      <c r="A38" s="3427"/>
      <c r="B38" s="3427"/>
      <c r="C38" s="1131" t="s">
        <v>1486</v>
      </c>
      <c r="D38" s="1132"/>
      <c r="E38" s="1154">
        <v>1</v>
      </c>
      <c r="F38" s="1133" t="s">
        <v>1487</v>
      </c>
      <c r="G38" s="1134"/>
      <c r="H38" s="1105"/>
      <c r="I38" s="1105"/>
    </row>
    <row r="39" spans="1:9" s="1600" customFormat="1" ht="19.5" customHeight="1">
      <c r="A39" s="3427"/>
      <c r="B39" s="3427"/>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7" t="s">
        <v>1502</v>
      </c>
      <c r="C61" s="1068" t="s">
        <v>1503</v>
      </c>
      <c r="D61" s="1068" t="s">
        <v>1504</v>
      </c>
      <c r="E61" s="1139">
        <v>0.5</v>
      </c>
      <c r="F61" s="1154">
        <v>80</v>
      </c>
      <c r="H61" s="1105">
        <f>SUMIF(C59:C119,基准地价!C8,E59:E119)</f>
        <v>0</v>
      </c>
    </row>
    <row r="62" spans="1:8" s="1105" customFormat="1" ht="24">
      <c r="A62" s="1154">
        <v>2</v>
      </c>
      <c r="B62" s="3427"/>
      <c r="C62" s="1068" t="s">
        <v>1505</v>
      </c>
      <c r="D62" s="1068" t="s">
        <v>1506</v>
      </c>
      <c r="E62" s="1139">
        <v>0.5</v>
      </c>
      <c r="F62" s="1154">
        <v>80</v>
      </c>
    </row>
    <row r="63" spans="1:8" s="1105" customFormat="1" ht="36">
      <c r="A63" s="1154">
        <v>3</v>
      </c>
      <c r="B63" s="3427"/>
      <c r="C63" s="1068" t="s">
        <v>1507</v>
      </c>
      <c r="D63" s="1068" t="s">
        <v>1508</v>
      </c>
      <c r="E63" s="1139">
        <v>0.5</v>
      </c>
      <c r="F63" s="1154">
        <v>80</v>
      </c>
    </row>
    <row r="64" spans="1:8" s="1105" customFormat="1" ht="36">
      <c r="A64" s="1154">
        <v>4</v>
      </c>
      <c r="B64" s="3427"/>
      <c r="C64" s="1068" t="s">
        <v>1509</v>
      </c>
      <c r="D64" s="1068" t="s">
        <v>1510</v>
      </c>
      <c r="E64" s="1139">
        <v>0.4</v>
      </c>
      <c r="F64" s="1154">
        <v>60</v>
      </c>
    </row>
    <row r="65" spans="1:6" s="1105" customFormat="1" ht="36">
      <c r="A65" s="1154">
        <v>5</v>
      </c>
      <c r="B65" s="3427"/>
      <c r="C65" s="1068" t="s">
        <v>1511</v>
      </c>
      <c r="D65" s="1068" t="s">
        <v>1512</v>
      </c>
      <c r="E65" s="1139">
        <v>0.2</v>
      </c>
      <c r="F65" s="1154">
        <v>30</v>
      </c>
    </row>
    <row r="66" spans="1:6" s="1105" customFormat="1" ht="36">
      <c r="A66" s="1154">
        <v>6</v>
      </c>
      <c r="B66" s="3427"/>
      <c r="C66" s="1068" t="s">
        <v>1513</v>
      </c>
      <c r="D66" s="1068" t="s">
        <v>1514</v>
      </c>
      <c r="E66" s="1139">
        <v>0.3</v>
      </c>
      <c r="F66" s="1154">
        <v>50</v>
      </c>
    </row>
    <row r="67" spans="1:6" s="1105" customFormat="1" ht="36">
      <c r="A67" s="1154">
        <v>7</v>
      </c>
      <c r="B67" s="3427"/>
      <c r="C67" s="1068" t="s">
        <v>1515</v>
      </c>
      <c r="D67" s="1068" t="s">
        <v>1516</v>
      </c>
      <c r="E67" s="1139">
        <v>0.2</v>
      </c>
      <c r="F67" s="1154">
        <v>30</v>
      </c>
    </row>
    <row r="68" spans="1:6" s="1105" customFormat="1" ht="36">
      <c r="A68" s="1154">
        <v>8</v>
      </c>
      <c r="B68" s="3427"/>
      <c r="C68" s="1068" t="s">
        <v>1517</v>
      </c>
      <c r="D68" s="1068" t="s">
        <v>1518</v>
      </c>
      <c r="E68" s="1139">
        <v>0.2</v>
      </c>
      <c r="F68" s="1154">
        <v>30</v>
      </c>
    </row>
    <row r="69" spans="1:6" s="1105" customFormat="1" ht="36">
      <c r="A69" s="1154">
        <v>9</v>
      </c>
      <c r="B69" s="3427"/>
      <c r="C69" s="1068" t="s">
        <v>1519</v>
      </c>
      <c r="D69" s="1068" t="s">
        <v>1520</v>
      </c>
      <c r="E69" s="1139">
        <v>0.2</v>
      </c>
      <c r="F69" s="1154">
        <v>30</v>
      </c>
    </row>
    <row r="70" spans="1:6" s="1105" customFormat="1" ht="48">
      <c r="A70" s="1154">
        <v>10</v>
      </c>
      <c r="B70" s="3427"/>
      <c r="C70" s="1068" t="s">
        <v>1521</v>
      </c>
      <c r="D70" s="1068" t="s">
        <v>1522</v>
      </c>
      <c r="E70" s="1139">
        <v>0.2</v>
      </c>
      <c r="F70" s="1154">
        <v>30</v>
      </c>
    </row>
    <row r="71" spans="1:6" s="1105" customFormat="1" ht="48">
      <c r="A71" s="1154">
        <v>11</v>
      </c>
      <c r="B71" s="3427"/>
      <c r="C71" s="1068" t="s">
        <v>1523</v>
      </c>
      <c r="D71" s="1068" t="s">
        <v>1524</v>
      </c>
      <c r="E71" s="1139">
        <v>0.2</v>
      </c>
      <c r="F71" s="1154">
        <v>30</v>
      </c>
    </row>
    <row r="72" spans="1:6" s="1105" customFormat="1" ht="36">
      <c r="A72" s="1154">
        <v>12</v>
      </c>
      <c r="B72" s="3427"/>
      <c r="C72" s="1068" t="s">
        <v>1525</v>
      </c>
      <c r="D72" s="1068" t="s">
        <v>1526</v>
      </c>
      <c r="E72" s="1139">
        <v>0.5</v>
      </c>
      <c r="F72" s="1154">
        <v>80</v>
      </c>
    </row>
    <row r="73" spans="1:6" s="1105" customFormat="1" ht="24">
      <c r="A73" s="1154">
        <v>13</v>
      </c>
      <c r="B73" s="3427"/>
      <c r="C73" s="1068" t="s">
        <v>1527</v>
      </c>
      <c r="D73" s="1068" t="s">
        <v>1528</v>
      </c>
      <c r="E73" s="1139">
        <v>0.4</v>
      </c>
      <c r="F73" s="1154">
        <v>60</v>
      </c>
    </row>
    <row r="74" spans="1:6" s="1105" customFormat="1" ht="24">
      <c r="A74" s="1154">
        <v>14</v>
      </c>
      <c r="B74" s="3427"/>
      <c r="C74" s="1068" t="s">
        <v>1529</v>
      </c>
      <c r="D74" s="1068" t="s">
        <v>1530</v>
      </c>
      <c r="E74" s="1139">
        <v>0.2</v>
      </c>
      <c r="F74" s="1154">
        <v>30</v>
      </c>
    </row>
    <row r="75" spans="1:6" s="1105" customFormat="1" ht="24">
      <c r="A75" s="1154">
        <v>15</v>
      </c>
      <c r="B75" s="3427"/>
      <c r="C75" s="1068" t="s">
        <v>1531</v>
      </c>
      <c r="D75" s="1068" t="s">
        <v>1532</v>
      </c>
      <c r="E75" s="1139">
        <v>0.2</v>
      </c>
      <c r="F75" s="1154">
        <v>30</v>
      </c>
    </row>
    <row r="76" spans="1:6" s="1105" customFormat="1" ht="24">
      <c r="A76" s="1154">
        <v>16</v>
      </c>
      <c r="B76" s="3427" t="s">
        <v>1533</v>
      </c>
      <c r="C76" s="1068" t="s">
        <v>1534</v>
      </c>
      <c r="D76" s="1068" t="s">
        <v>1535</v>
      </c>
      <c r="E76" s="1139">
        <v>0.5</v>
      </c>
      <c r="F76" s="1154">
        <v>80</v>
      </c>
    </row>
    <row r="77" spans="1:6" s="1105" customFormat="1" ht="24">
      <c r="A77" s="1154">
        <v>17</v>
      </c>
      <c r="B77" s="3427"/>
      <c r="C77" s="1068" t="s">
        <v>1536</v>
      </c>
      <c r="D77" s="1068" t="s">
        <v>1537</v>
      </c>
      <c r="E77" s="1139">
        <v>0.5</v>
      </c>
      <c r="F77" s="1154">
        <v>80</v>
      </c>
    </row>
    <row r="78" spans="1:6" s="1105" customFormat="1" ht="24">
      <c r="A78" s="1154">
        <v>18</v>
      </c>
      <c r="B78" s="3427"/>
      <c r="C78" s="1068" t="s">
        <v>1538</v>
      </c>
      <c r="D78" s="1068" t="s">
        <v>1539</v>
      </c>
      <c r="E78" s="1139">
        <v>0.2</v>
      </c>
      <c r="F78" s="1154">
        <v>30</v>
      </c>
    </row>
    <row r="79" spans="1:6" s="1105" customFormat="1" ht="24">
      <c r="A79" s="1154">
        <v>19</v>
      </c>
      <c r="B79" s="3427"/>
      <c r="C79" s="1068" t="s">
        <v>1540</v>
      </c>
      <c r="D79" s="1068" t="s">
        <v>1541</v>
      </c>
      <c r="E79" s="1139">
        <v>0.5</v>
      </c>
      <c r="F79" s="1154">
        <v>80</v>
      </c>
    </row>
    <row r="80" spans="1:6" s="1105" customFormat="1" ht="36">
      <c r="A80" s="1154">
        <v>20</v>
      </c>
      <c r="B80" s="3427"/>
      <c r="C80" s="1068" t="s">
        <v>1542</v>
      </c>
      <c r="D80" s="1068" t="s">
        <v>1543</v>
      </c>
      <c r="E80" s="1139">
        <v>0.2</v>
      </c>
      <c r="F80" s="1154">
        <v>30</v>
      </c>
    </row>
    <row r="81" spans="1:6" s="1105" customFormat="1" ht="36">
      <c r="A81" s="1154">
        <v>21</v>
      </c>
      <c r="B81" s="3427"/>
      <c r="C81" s="1068" t="s">
        <v>1544</v>
      </c>
      <c r="D81" s="1068" t="s">
        <v>1545</v>
      </c>
      <c r="E81" s="1139">
        <v>0.2</v>
      </c>
      <c r="F81" s="1154">
        <v>30</v>
      </c>
    </row>
    <row r="82" spans="1:6" s="1105" customFormat="1" ht="48">
      <c r="A82" s="1154">
        <v>22</v>
      </c>
      <c r="B82" s="3427"/>
      <c r="C82" s="1068" t="s">
        <v>1546</v>
      </c>
      <c r="D82" s="1068" t="s">
        <v>1547</v>
      </c>
      <c r="E82" s="1139">
        <v>0.2</v>
      </c>
      <c r="F82" s="1154">
        <v>30</v>
      </c>
    </row>
    <row r="83" spans="1:6" s="1105" customFormat="1" ht="48">
      <c r="A83" s="1154">
        <v>23</v>
      </c>
      <c r="B83" s="3427"/>
      <c r="C83" s="1068" t="s">
        <v>1548</v>
      </c>
      <c r="D83" s="1068" t="s">
        <v>1549</v>
      </c>
      <c r="E83" s="1139">
        <v>0.2</v>
      </c>
      <c r="F83" s="1154">
        <v>30</v>
      </c>
    </row>
    <row r="84" spans="1:6" s="1105" customFormat="1" ht="36">
      <c r="A84" s="1154">
        <v>24</v>
      </c>
      <c r="B84" s="3427"/>
      <c r="C84" s="1068" t="s">
        <v>1550</v>
      </c>
      <c r="D84" s="1068" t="s">
        <v>1551</v>
      </c>
      <c r="E84" s="1139">
        <v>0.2</v>
      </c>
      <c r="F84" s="1154">
        <v>30</v>
      </c>
    </row>
    <row r="85" spans="1:6" s="1105" customFormat="1" ht="36">
      <c r="A85" s="1154">
        <v>25</v>
      </c>
      <c r="B85" s="3427"/>
      <c r="C85" s="1068" t="s">
        <v>1552</v>
      </c>
      <c r="D85" s="1068" t="s">
        <v>1553</v>
      </c>
      <c r="E85" s="1139">
        <v>0.5</v>
      </c>
      <c r="F85" s="1154">
        <v>80</v>
      </c>
    </row>
    <row r="86" spans="1:6" s="1105" customFormat="1" ht="36">
      <c r="A86" s="1154">
        <v>26</v>
      </c>
      <c r="B86" s="3427"/>
      <c r="C86" s="1068" t="s">
        <v>1554</v>
      </c>
      <c r="D86" s="1068" t="s">
        <v>1555</v>
      </c>
      <c r="E86" s="1139">
        <v>0.2</v>
      </c>
      <c r="F86" s="1154">
        <v>30</v>
      </c>
    </row>
    <row r="87" spans="1:6" s="1105" customFormat="1" ht="36">
      <c r="A87" s="1154">
        <v>27</v>
      </c>
      <c r="B87" s="3427"/>
      <c r="C87" s="1068" t="s">
        <v>1556</v>
      </c>
      <c r="D87" s="1068" t="s">
        <v>1557</v>
      </c>
      <c r="E87" s="1139">
        <v>0.2</v>
      </c>
      <c r="F87" s="1154">
        <v>30</v>
      </c>
    </row>
    <row r="88" spans="1:6" s="1105" customFormat="1" ht="36">
      <c r="A88" s="1154">
        <v>28</v>
      </c>
      <c r="B88" s="3427"/>
      <c r="C88" s="1068" t="s">
        <v>1558</v>
      </c>
      <c r="D88" s="1068" t="s">
        <v>1559</v>
      </c>
      <c r="E88" s="1139">
        <v>0.2</v>
      </c>
      <c r="F88" s="1154">
        <v>30</v>
      </c>
    </row>
    <row r="89" spans="1:6" s="1105" customFormat="1" ht="24">
      <c r="A89" s="1154">
        <v>29</v>
      </c>
      <c r="B89" s="3427"/>
      <c r="C89" s="1068" t="s">
        <v>1560</v>
      </c>
      <c r="D89" s="1068" t="s">
        <v>1561</v>
      </c>
      <c r="E89" s="1139">
        <v>0.2</v>
      </c>
      <c r="F89" s="1154">
        <v>30</v>
      </c>
    </row>
    <row r="90" spans="1:6" s="1105" customFormat="1" ht="24">
      <c r="A90" s="1154">
        <v>30</v>
      </c>
      <c r="B90" s="3427"/>
      <c r="C90" s="1068" t="s">
        <v>1562</v>
      </c>
      <c r="D90" s="1068" t="s">
        <v>1563</v>
      </c>
      <c r="E90" s="1139">
        <v>0.2</v>
      </c>
      <c r="F90" s="1154">
        <v>30</v>
      </c>
    </row>
    <row r="91" spans="1:6" s="1105" customFormat="1" ht="36">
      <c r="A91" s="1154">
        <v>31</v>
      </c>
      <c r="B91" s="3427"/>
      <c r="C91" s="1068" t="s">
        <v>1564</v>
      </c>
      <c r="D91" s="1068" t="s">
        <v>1565</v>
      </c>
      <c r="E91" s="1139">
        <v>0.2</v>
      </c>
      <c r="F91" s="1154">
        <v>30</v>
      </c>
    </row>
    <row r="92" spans="1:6" s="1105" customFormat="1" ht="24">
      <c r="A92" s="1154">
        <v>32</v>
      </c>
      <c r="B92" s="3427" t="s">
        <v>1566</v>
      </c>
      <c r="C92" s="1154" t="s">
        <v>1567</v>
      </c>
      <c r="D92" s="1068" t="s">
        <v>1568</v>
      </c>
      <c r="E92" s="1139">
        <v>0.2</v>
      </c>
      <c r="F92" s="1154">
        <v>30</v>
      </c>
    </row>
    <row r="93" spans="1:6" s="1105" customFormat="1" ht="36">
      <c r="A93" s="1154">
        <v>33</v>
      </c>
      <c r="B93" s="3427"/>
      <c r="C93" s="1154" t="s">
        <v>1569</v>
      </c>
      <c r="D93" s="1068" t="s">
        <v>1570</v>
      </c>
      <c r="E93" s="1139">
        <v>0.2</v>
      </c>
      <c r="F93" s="1154">
        <v>30</v>
      </c>
    </row>
    <row r="94" spans="1:6" s="1105" customFormat="1" ht="48">
      <c r="A94" s="1154">
        <v>34</v>
      </c>
      <c r="B94" s="3427"/>
      <c r="C94" s="1154" t="s">
        <v>1571</v>
      </c>
      <c r="D94" s="1068" t="s">
        <v>1572</v>
      </c>
      <c r="E94" s="1139">
        <v>0.2</v>
      </c>
      <c r="F94" s="1154">
        <v>30</v>
      </c>
    </row>
    <row r="95" spans="1:6" s="1105" customFormat="1" ht="36">
      <c r="A95" s="1154">
        <v>35</v>
      </c>
      <c r="B95" s="3427"/>
      <c r="C95" s="1154" t="s">
        <v>1573</v>
      </c>
      <c r="D95" s="1068" t="s">
        <v>1574</v>
      </c>
      <c r="E95" s="1139">
        <v>0.2</v>
      </c>
      <c r="F95" s="1154">
        <v>30</v>
      </c>
    </row>
    <row r="96" spans="1:6" s="1105" customFormat="1" ht="48">
      <c r="A96" s="1154">
        <v>36</v>
      </c>
      <c r="B96" s="3427"/>
      <c r="C96" s="1068" t="s">
        <v>1575</v>
      </c>
      <c r="D96" s="1068" t="s">
        <v>1576</v>
      </c>
      <c r="E96" s="1139">
        <v>0.2</v>
      </c>
      <c r="F96" s="1154">
        <v>30</v>
      </c>
    </row>
    <row r="97" spans="1:6" s="1105" customFormat="1" ht="36">
      <c r="A97" s="1154">
        <v>37</v>
      </c>
      <c r="B97" s="3427"/>
      <c r="C97" s="1154" t="s">
        <v>1577</v>
      </c>
      <c r="D97" s="1068" t="s">
        <v>1578</v>
      </c>
      <c r="E97" s="1139">
        <v>0.2</v>
      </c>
      <c r="F97" s="1154">
        <v>30</v>
      </c>
    </row>
    <row r="98" spans="1:6" s="1105" customFormat="1" ht="36">
      <c r="A98" s="1154">
        <v>38</v>
      </c>
      <c r="B98" s="3427"/>
      <c r="C98" s="1154" t="s">
        <v>1579</v>
      </c>
      <c r="D98" s="1068" t="s">
        <v>1580</v>
      </c>
      <c r="E98" s="1139">
        <v>0.2</v>
      </c>
      <c r="F98" s="1154">
        <v>30</v>
      </c>
    </row>
    <row r="99" spans="1:6" s="1105" customFormat="1" ht="36">
      <c r="A99" s="1154">
        <v>39</v>
      </c>
      <c r="B99" s="3427" t="s">
        <v>1581</v>
      </c>
      <c r="C99" s="1154" t="s">
        <v>1582</v>
      </c>
      <c r="D99" s="1068" t="s">
        <v>1583</v>
      </c>
      <c r="E99" s="1139">
        <v>0.3</v>
      </c>
      <c r="F99" s="1154">
        <v>50</v>
      </c>
    </row>
    <row r="100" spans="1:6" s="1105" customFormat="1" ht="24">
      <c r="A100" s="1154">
        <v>40</v>
      </c>
      <c r="B100" s="3427"/>
      <c r="C100" s="1154" t="s">
        <v>1584</v>
      </c>
      <c r="D100" s="1068" t="s">
        <v>1585</v>
      </c>
      <c r="E100" s="1139">
        <v>0.2</v>
      </c>
      <c r="F100" s="1154">
        <v>30</v>
      </c>
    </row>
    <row r="101" spans="1:6" s="1105" customFormat="1" ht="36">
      <c r="A101" s="1154">
        <v>41</v>
      </c>
      <c r="B101" s="342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7" t="s">
        <v>1596</v>
      </c>
      <c r="C105" s="1154" t="s">
        <v>1597</v>
      </c>
      <c r="D105" s="1068" t="s">
        <v>1598</v>
      </c>
      <c r="E105" s="1139">
        <v>0.2</v>
      </c>
      <c r="F105" s="1154">
        <v>30</v>
      </c>
    </row>
    <row r="106" spans="1:6" s="1105" customFormat="1" ht="36">
      <c r="A106" s="1154">
        <v>46</v>
      </c>
      <c r="B106" s="3427"/>
      <c r="C106" s="1154" t="s">
        <v>1599</v>
      </c>
      <c r="D106" s="1068" t="s">
        <v>1600</v>
      </c>
      <c r="E106" s="1139">
        <v>0.2</v>
      </c>
      <c r="F106" s="1154">
        <v>30</v>
      </c>
    </row>
    <row r="107" spans="1:6" s="1105" customFormat="1" ht="36">
      <c r="A107" s="1154">
        <v>47</v>
      </c>
      <c r="B107" s="3427" t="s">
        <v>1601</v>
      </c>
      <c r="C107" s="1154" t="s">
        <v>1602</v>
      </c>
      <c r="D107" s="1068" t="s">
        <v>1603</v>
      </c>
      <c r="E107" s="1139">
        <v>0.3</v>
      </c>
      <c r="F107" s="1154">
        <v>50</v>
      </c>
    </row>
    <row r="108" spans="1:6" s="1105" customFormat="1" ht="36">
      <c r="A108" s="1154">
        <v>48</v>
      </c>
      <c r="B108" s="342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7" t="s">
        <v>1612</v>
      </c>
      <c r="C111" s="1154" t="s">
        <v>1613</v>
      </c>
      <c r="D111" s="1068" t="s">
        <v>1614</v>
      </c>
      <c r="E111" s="1139">
        <v>0.2</v>
      </c>
      <c r="F111" s="1154">
        <v>30</v>
      </c>
    </row>
    <row r="112" spans="1:6" s="1105" customFormat="1" ht="24">
      <c r="A112" s="1154">
        <v>52</v>
      </c>
      <c r="B112" s="3427"/>
      <c r="C112" s="1154" t="s">
        <v>1615</v>
      </c>
      <c r="D112" s="1068" t="s">
        <v>1616</v>
      </c>
      <c r="E112" s="1139">
        <v>0.2</v>
      </c>
      <c r="F112" s="1154">
        <v>30</v>
      </c>
    </row>
    <row r="113" spans="1:14" s="1105" customFormat="1" ht="24">
      <c r="A113" s="1154">
        <v>53</v>
      </c>
      <c r="B113" s="342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7" t="s">
        <v>1625</v>
      </c>
      <c r="C116" s="1154" t="s">
        <v>1626</v>
      </c>
      <c r="D116" s="1068" t="s">
        <v>1627</v>
      </c>
      <c r="E116" s="1139">
        <v>0.2</v>
      </c>
      <c r="F116" s="1154">
        <v>30</v>
      </c>
    </row>
    <row r="117" spans="1:14" ht="36">
      <c r="A117" s="1154">
        <v>57</v>
      </c>
      <c r="B117" s="342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6" t="s">
        <v>1634</v>
      </c>
      <c r="B121" s="3426"/>
      <c r="C121" s="3426"/>
      <c r="D121" s="3426"/>
      <c r="E121" s="3426"/>
      <c r="F121" s="3426"/>
      <c r="G121" s="3426"/>
      <c r="H121" s="3426"/>
      <c r="I121" s="3426"/>
      <c r="J121" s="342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9" t="s">
        <v>1040</v>
      </c>
      <c r="B1" s="3439"/>
      <c r="C1" s="3439"/>
      <c r="D1" s="3439"/>
      <c r="E1" s="3439"/>
      <c r="F1" s="343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0" t="s">
        <v>1053</v>
      </c>
      <c r="B2" s="3440"/>
      <c r="C2" s="3440"/>
      <c r="D2" s="3440"/>
      <c r="E2" s="3440"/>
      <c r="F2" s="344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990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3" t="s">
        <v>2082</v>
      </c>
      <c r="B1" s="3443"/>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2951</v>
      </c>
      <c r="B1" s="3105"/>
      <c r="C1" s="3105"/>
      <c r="D1" s="3105"/>
      <c r="E1" s="3105"/>
      <c r="F1" s="3105"/>
    </row>
    <row r="2" spans="1:6" ht="14.25">
      <c r="A2" s="3106" t="s">
        <v>2946</v>
      </c>
      <c r="B2" s="3107">
        <f ca="1">SUMIF(B7:B14,"&lt;&gt;#ref!",B7:B14)</f>
        <v>9915</v>
      </c>
      <c r="C2" s="3106" t="s">
        <v>2947</v>
      </c>
      <c r="D2" s="3105"/>
      <c r="E2" s="3105"/>
      <c r="F2" s="3105"/>
    </row>
    <row r="3" spans="1:6" ht="14.25">
      <c r="A3" s="3106" t="s">
        <v>2980</v>
      </c>
      <c r="B3" s="3107">
        <f ca="1">ROUND(B2*10000/E3,0)</f>
        <v>1227</v>
      </c>
      <c r="C3" s="3106" t="s">
        <v>2081</v>
      </c>
      <c r="D3" s="3106" t="s">
        <v>2948</v>
      </c>
      <c r="E3" s="3107">
        <f ca="1">SUMIF(E7:E14,"&lt;&gt;#ref!",E7:E14)</f>
        <v>80808</v>
      </c>
      <c r="F3" s="3105"/>
    </row>
    <row r="4" spans="1:6" ht="14.25">
      <c r="A4" s="3106" t="s">
        <v>2955</v>
      </c>
      <c r="B4" s="3107">
        <f ca="1">ROUND(B2*10000/E4,0)</f>
        <v>1142</v>
      </c>
      <c r="C4" s="3106" t="s">
        <v>2081</v>
      </c>
      <c r="D4" s="3106" t="s">
        <v>2956</v>
      </c>
      <c r="E4" s="3107">
        <f ca="1">SUMIF(F7:F14,"&lt;&gt;#ref!",F7:F14)</f>
        <v>86802.49</v>
      </c>
      <c r="F4" s="3105"/>
    </row>
    <row r="5" spans="1:6" ht="14.25">
      <c r="A5" s="3108"/>
      <c r="B5" s="1883"/>
      <c r="C5" s="1883"/>
      <c r="D5" s="1883"/>
      <c r="E5" s="1883"/>
      <c r="F5" s="3105"/>
    </row>
    <row r="6" spans="1:6" ht="28.5">
      <c r="A6" s="3109" t="s">
        <v>2952</v>
      </c>
      <c r="B6" s="3106" t="s">
        <v>2949</v>
      </c>
      <c r="C6" s="3107"/>
      <c r="D6" s="1883"/>
      <c r="E6" s="3106" t="s">
        <v>2950</v>
      </c>
      <c r="F6" s="3106" t="s">
        <v>2954</v>
      </c>
    </row>
    <row r="7" spans="1:6" ht="14.25">
      <c r="A7" s="260" t="s">
        <v>2953</v>
      </c>
      <c r="B7" s="3110">
        <f ca="1">SUMIF(INDIRECT("'"&amp;A7&amp;"'"&amp;"!A:A"),"总价",INDIRECT("'"&amp;A7&amp;"'"&amp;"!B:B"))</f>
        <v>9915</v>
      </c>
      <c r="C7" s="3106" t="s">
        <v>2947</v>
      </c>
      <c r="D7" s="1883"/>
      <c r="E7" s="3111">
        <f ca="1">SUMIF(INDIRECT("'"&amp;A7&amp;"'"&amp;"!C:C"),"建筑面积",INDIRECT("'"&amp;A7&amp;"'"&amp;"!D:D"))</f>
        <v>80808</v>
      </c>
      <c r="F7" s="3111">
        <f ca="1">SUMIF(INDIRECT("'"&amp;A7&amp;"'"&amp;"!E:E"),"土地面积",INDIRECT("'"&amp;A7&amp;"'"&amp;"!F:F"))</f>
        <v>86802.49</v>
      </c>
    </row>
    <row r="8" spans="1:6" ht="14.25">
      <c r="A8" s="260"/>
      <c r="B8" s="3110" t="e">
        <f t="shared" ref="B8:B14" ca="1" si="0">SUMIF(INDIRECT("'"&amp;A8&amp;"'"&amp;"!A:A"),"总价",INDIRECT("'"&amp;A8&amp;"'"&amp;"!B:B"))</f>
        <v>#REF!</v>
      </c>
      <c r="C8" s="3106" t="s">
        <v>2947</v>
      </c>
      <c r="D8" s="1883"/>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2947</v>
      </c>
      <c r="D9" s="1883"/>
      <c r="E9" s="3111" t="e">
        <f t="shared" ca="1" si="1"/>
        <v>#REF!</v>
      </c>
      <c r="F9" s="3111" t="e">
        <f t="shared" ca="1" si="2"/>
        <v>#REF!</v>
      </c>
    </row>
    <row r="10" spans="1:6" ht="14.25">
      <c r="A10" s="260"/>
      <c r="B10" s="3110" t="e">
        <f t="shared" ca="1" si="0"/>
        <v>#REF!</v>
      </c>
      <c r="C10" s="3106" t="s">
        <v>2947</v>
      </c>
      <c r="D10" s="1883"/>
      <c r="E10" s="3111" t="e">
        <f t="shared" ca="1" si="1"/>
        <v>#REF!</v>
      </c>
      <c r="F10" s="3111" t="e">
        <f t="shared" ca="1" si="2"/>
        <v>#REF!</v>
      </c>
    </row>
    <row r="11" spans="1:6" ht="14.25">
      <c r="A11" s="260"/>
      <c r="B11" s="3110" t="e">
        <f t="shared" ca="1" si="0"/>
        <v>#REF!</v>
      </c>
      <c r="C11" s="3106" t="s">
        <v>2947</v>
      </c>
      <c r="D11" s="1883"/>
      <c r="E11" s="3111" t="e">
        <f t="shared" ca="1" si="1"/>
        <v>#REF!</v>
      </c>
      <c r="F11" s="3111" t="e">
        <f t="shared" ca="1" si="2"/>
        <v>#REF!</v>
      </c>
    </row>
    <row r="12" spans="1:6" ht="14.25">
      <c r="A12" s="260"/>
      <c r="B12" s="3110" t="e">
        <f t="shared" ca="1" si="0"/>
        <v>#REF!</v>
      </c>
      <c r="C12" s="3106" t="s">
        <v>2947</v>
      </c>
      <c r="D12" s="1883"/>
      <c r="E12" s="3111" t="e">
        <f t="shared" ca="1" si="1"/>
        <v>#REF!</v>
      </c>
      <c r="F12" s="3111" t="e">
        <f t="shared" ca="1" si="2"/>
        <v>#REF!</v>
      </c>
    </row>
    <row r="13" spans="1:6" ht="14.25">
      <c r="A13" s="260"/>
      <c r="B13" s="3110" t="e">
        <f t="shared" ca="1" si="0"/>
        <v>#REF!</v>
      </c>
      <c r="C13" s="3106" t="s">
        <v>2947</v>
      </c>
      <c r="D13" s="1883"/>
      <c r="E13" s="3111" t="e">
        <f t="shared" ca="1" si="1"/>
        <v>#REF!</v>
      </c>
      <c r="F13" s="3111" t="e">
        <f t="shared" ca="1" si="2"/>
        <v>#REF!</v>
      </c>
    </row>
    <row r="14" spans="1:6" ht="14.25">
      <c r="A14" s="3104"/>
      <c r="B14" s="3110" t="e">
        <f t="shared" ca="1" si="0"/>
        <v>#REF!</v>
      </c>
      <c r="C14" s="3106" t="s">
        <v>2947</v>
      </c>
      <c r="D14" s="1883"/>
      <c r="E14" s="3111" t="e">
        <f t="shared" ca="1" si="1"/>
        <v>#REF!</v>
      </c>
      <c r="F14" s="3111"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-1</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45" t="s">
        <v>2466</v>
      </c>
      <c r="C8" s="1827">
        <f ca="1">ROUND(F8*F10*F9*(1-F11)/10000,0)</f>
        <v>0</v>
      </c>
      <c r="D8" s="1824" t="s">
        <v>2537</v>
      </c>
      <c r="E8" s="61" t="s">
        <v>637</v>
      </c>
      <c r="F8" s="785">
        <f ca="1">INDIRECT("'数据-取费表'!u"&amp;$G$1)</f>
        <v>0</v>
      </c>
      <c r="G8" s="1593"/>
      <c r="H8" s="2506" t="s">
        <v>1825</v>
      </c>
      <c r="I8" s="3445" t="s">
        <v>2466</v>
      </c>
      <c r="J8" s="783">
        <f ca="1">ROUND(M8*M10*M9*(1-M11)/10000,0)</f>
        <v>0</v>
      </c>
      <c r="K8" s="341" t="s">
        <v>2537</v>
      </c>
      <c r="L8" s="784" t="s">
        <v>1739</v>
      </c>
      <c r="M8" s="785">
        <f ca="1">INDIRECT("'数据-取费表'!z"&amp;$G$1)</f>
        <v>0</v>
      </c>
    </row>
    <row r="9" spans="1:25" ht="18" customHeight="1">
      <c r="A9" s="2502"/>
      <c r="B9" s="3446"/>
      <c r="C9" s="1828"/>
      <c r="D9" s="1825"/>
      <c r="E9" s="61" t="s">
        <v>638</v>
      </c>
      <c r="F9" s="785">
        <f ca="1">IF(INDIRECT("'数据-取费表'!ah"&amp;$G$1)="",INDIRECT("'数据-取费表'!k"&amp;$G$1),INDIRECT("'数据-取费表'!ah"&amp;$G$1))</f>
        <v>0</v>
      </c>
      <c r="G9" s="1593"/>
      <c r="H9" s="2491"/>
      <c r="I9" s="3446"/>
      <c r="J9" s="788"/>
      <c r="K9" s="789"/>
      <c r="L9" s="784" t="s">
        <v>1740</v>
      </c>
      <c r="M9" s="785">
        <f ca="1">F9</f>
        <v>0</v>
      </c>
    </row>
    <row r="10" spans="1:25" ht="18" customHeight="1">
      <c r="A10" s="2495"/>
      <c r="B10" s="3447"/>
      <c r="C10" s="1828"/>
      <c r="D10" s="1825"/>
      <c r="E10" s="61" t="s">
        <v>639</v>
      </c>
      <c r="F10" s="785">
        <f ca="1">INDIRECT("'数据-取费表'!ai"&amp;$G$1)</f>
        <v>0</v>
      </c>
      <c r="G10" s="1593"/>
      <c r="H10" s="2491"/>
      <c r="I10" s="3447"/>
      <c r="J10" s="788"/>
      <c r="K10" s="789"/>
      <c r="L10" s="784" t="s">
        <v>1741</v>
      </c>
      <c r="M10" s="785">
        <f ca="1">INDIRECT("'数据-取费表'!ai"&amp;$G$1)</f>
        <v>0</v>
      </c>
    </row>
    <row r="11" spans="1:25" ht="18" customHeight="1">
      <c r="A11" s="786"/>
      <c r="B11" s="3448"/>
      <c r="C11" s="1828"/>
      <c r="D11" s="1825"/>
      <c r="E11" s="61" t="s">
        <v>640</v>
      </c>
      <c r="F11" s="794">
        <f ca="1">INDIRECT("'数据-取费表'!w"&amp;$G$1)</f>
        <v>0</v>
      </c>
      <c r="G11" s="1593"/>
      <c r="H11" s="2507"/>
      <c r="I11" s="3447"/>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2976</v>
      </c>
      <c r="E12" s="2500" t="s">
        <v>2467</v>
      </c>
      <c r="F12" s="2623"/>
      <c r="G12" s="1593"/>
      <c r="H12" s="2563" t="s">
        <v>1826</v>
      </c>
      <c r="I12" s="2568" t="s">
        <v>2462</v>
      </c>
      <c r="J12" s="783">
        <f ca="1">ROUND(IF(M12="押一",J8/12*M13,IF(M12="押二",J8/12*2*M13,IF(M12="押三",J8/12*3*M13,J13*M13))),0)</f>
        <v>0</v>
      </c>
      <c r="K12" s="2503" t="s">
        <v>2976</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0.01</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0.01</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单利计息。建造成本、管理费用、销售费用产生的利息。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2.0000000000000001E-4</v>
      </c>
      <c r="D26" s="2573" t="str">
        <f>IF(F25&lt;=1,"销售费用×利率×(建设周期÷2)","销售费用×((1+利率)^(建设周期÷2)-1)")</f>
        <v>销售费用×利率×(建设周期÷2)</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2824</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4"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444"/>
      <c r="J36" s="2081"/>
      <c r="K36" s="2082"/>
      <c r="L36" s="2081"/>
      <c r="M36" s="2081"/>
    </row>
    <row r="37" spans="1:18" ht="18" customHeight="1">
      <c r="A37" s="815"/>
      <c r="B37" s="793"/>
      <c r="C37" s="69"/>
      <c r="D37" s="816"/>
      <c r="E37" s="784" t="s">
        <v>674</v>
      </c>
      <c r="F37" s="785">
        <f ca="1">INDIRECT("'数据-取费表'!r"&amp;$G$1)</f>
        <v>0</v>
      </c>
      <c r="G37" s="2064"/>
      <c r="H37" s="2067"/>
      <c r="I37" s="3444"/>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2" t="s">
        <v>2964</v>
      </c>
      <c r="F43" s="3123">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4" t="s">
        <v>2967</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0" t="str">
        <f ca="1">IF(M48="住宅",0,IF(L49&gt;J52,L61,J61))</f>
        <v>0</v>
      </c>
      <c r="O47" s="2396" t="s">
        <v>2413</v>
      </c>
      <c r="P47" s="1593"/>
      <c r="Q47" s="1605"/>
      <c r="R47" s="1593"/>
    </row>
    <row r="48" spans="1:18" s="2061" customFormat="1" ht="18" customHeight="1" thickBot="1">
      <c r="A48" s="2086"/>
      <c r="C48" s="2089"/>
      <c r="D48" s="2090"/>
      <c r="E48" s="2090"/>
      <c r="F48" s="2091"/>
      <c r="G48" s="2092"/>
      <c r="I48" s="3150" t="s">
        <v>2347</v>
      </c>
      <c r="J48" s="2383"/>
      <c r="K48" s="3157" t="s">
        <v>2352</v>
      </c>
      <c r="L48" s="3161">
        <f ca="1">INDIRECT("'数据-取费表'!d"&amp;$G$1)</f>
        <v>0</v>
      </c>
      <c r="M48" s="3121"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6" t="s">
        <v>2348</v>
      </c>
      <c r="J49" s="2384"/>
      <c r="K49" s="3158"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6" t="s">
        <v>2349</v>
      </c>
      <c r="J50" s="2385"/>
      <c r="K50" s="3159"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6" t="s">
        <v>2350</v>
      </c>
      <c r="J51" s="3154">
        <f>SUMPRODUCT((I64:I66=J48)*(J63:L63=J49)*(J64:L66))</f>
        <v>0</v>
      </c>
      <c r="K51" s="3159" t="s">
        <v>2356</v>
      </c>
      <c r="L51" s="2386"/>
      <c r="O51" s="2403" t="s">
        <v>2386</v>
      </c>
      <c r="P51" s="2401" t="s">
        <v>2410</v>
      </c>
      <c r="Q51" s="2402">
        <f ca="1">C31</f>
        <v>0</v>
      </c>
      <c r="R51" s="2401" t="s">
        <v>2383</v>
      </c>
    </row>
    <row r="52" spans="1:18" s="2061" customFormat="1" ht="18" customHeight="1" thickBot="1">
      <c r="A52" s="2098"/>
      <c r="F52" s="2087"/>
      <c r="I52" s="3151" t="s">
        <v>2351</v>
      </c>
      <c r="J52" s="3155">
        <f>IF(J50="",J51,J50+J51-YEAR('数据-取费表'!B3))</f>
        <v>0</v>
      </c>
      <c r="K52" s="3126" t="s">
        <v>2357</v>
      </c>
      <c r="L52" s="3162">
        <f ca="1">ROUND(-PV(INDIRECT("'数据-取费表'!h"&amp;$G$1),L49,(C40-C14*J36),0),0)</f>
        <v>0</v>
      </c>
      <c r="O52" s="2403" t="s">
        <v>2387</v>
      </c>
      <c r="P52" s="2401" t="s">
        <v>2388</v>
      </c>
      <c r="Q52" s="2404" t="e">
        <f ca="1">J59</f>
        <v>#VALUE!</v>
      </c>
      <c r="R52" s="2405"/>
    </row>
    <row r="53" spans="1:18" s="2061" customFormat="1" ht="18" customHeight="1" thickBot="1">
      <c r="A53" s="2098"/>
      <c r="F53" s="2087"/>
      <c r="I53" s="3152" t="s">
        <v>2424</v>
      </c>
      <c r="J53" s="2387"/>
      <c r="K53" s="3152" t="s">
        <v>2423</v>
      </c>
      <c r="L53" s="2387"/>
      <c r="O53" s="2403" t="s">
        <v>2389</v>
      </c>
      <c r="P53" s="2401" t="s">
        <v>2390</v>
      </c>
      <c r="Q53" s="2404">
        <f>J53</f>
        <v>0</v>
      </c>
      <c r="R53" s="2405"/>
    </row>
    <row r="54" spans="1:18" s="2061" customFormat="1" ht="29.25" thickBot="1">
      <c r="A54" s="2098"/>
      <c r="I54" s="3153" t="s">
        <v>2981</v>
      </c>
      <c r="J54" s="3156">
        <f ca="1">IF(M48="住宅",MAX(J52,L49-'数据-取费表'!B20),MIN(J52,L49-'数据-取费表'!B20))</f>
        <v>-1</v>
      </c>
      <c r="K54" s="3449"/>
      <c r="L54" s="3450"/>
      <c r="O54" s="2403" t="s">
        <v>2391</v>
      </c>
      <c r="P54" s="2401" t="s">
        <v>2392</v>
      </c>
      <c r="Q54" s="2402">
        <f ca="1">J54</f>
        <v>-1</v>
      </c>
      <c r="R54" s="2401" t="s">
        <v>2393</v>
      </c>
    </row>
    <row r="55" spans="1:18" s="2061" customFormat="1" ht="18" customHeight="1" thickBot="1">
      <c r="A55" s="2098"/>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400" t="s">
        <v>2394</v>
      </c>
      <c r="P55" s="2401" t="s">
        <v>2411</v>
      </c>
      <c r="Q55" s="2402">
        <f ca="1">Q49+Q50</f>
        <v>0</v>
      </c>
      <c r="R55" s="2405" t="s">
        <v>2395</v>
      </c>
    </row>
    <row r="56" spans="1:18" s="2061" customFormat="1" ht="16.5" thickBot="1">
      <c r="A56" s="2098"/>
      <c r="B56" s="2099"/>
      <c r="C56" s="2099"/>
      <c r="I56" s="3165" t="s">
        <v>2358</v>
      </c>
      <c r="J56" s="3101" t="e">
        <f ca="1">ROUND(IF(J48="钢混",J58/J51,1-(1-2%)*(J51-J58)/J51),3)</f>
        <v>#VALUE!</v>
      </c>
      <c r="K56" s="3166" t="s">
        <v>2359</v>
      </c>
      <c r="L56" s="2388"/>
      <c r="O56" s="2406" t="s">
        <v>2414</v>
      </c>
      <c r="P56" s="1593"/>
      <c r="Q56" s="1605"/>
      <c r="R56" s="1593"/>
    </row>
    <row r="57" spans="1:18" s="2061" customFormat="1" ht="43.5" thickBot="1">
      <c r="A57" s="2098"/>
      <c r="B57" s="2099"/>
      <c r="C57" s="2099"/>
      <c r="I57" s="3167" t="s">
        <v>2360</v>
      </c>
      <c r="J57" s="3177" t="s">
        <v>1679</v>
      </c>
      <c r="K57" s="3126" t="s">
        <v>2365</v>
      </c>
      <c r="L57" s="1910">
        <f ca="1">IF(L49&lt;J52,"——",L49-J52)</f>
        <v>0</v>
      </c>
      <c r="O57" s="2397" t="s">
        <v>2378</v>
      </c>
      <c r="P57" s="2398" t="s">
        <v>2379</v>
      </c>
      <c r="Q57" s="2399" t="s">
        <v>2380</v>
      </c>
      <c r="R57" s="2398" t="s">
        <v>2381</v>
      </c>
    </row>
    <row r="58" spans="1:18" s="2061" customFormat="1" ht="29.25" thickBot="1">
      <c r="A58" s="2098"/>
      <c r="B58" s="2099"/>
      <c r="C58" s="2099"/>
      <c r="I58" s="3168" t="s">
        <v>2361</v>
      </c>
      <c r="J58" s="3169" t="str">
        <f ca="1">IF(OR(M48="住宅",J52&lt;L49,J57="是"),"——",J52-L49)</f>
        <v>——</v>
      </c>
      <c r="K58" s="3126"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68" t="s">
        <v>2362</v>
      </c>
      <c r="J59" s="3102" t="e">
        <f ca="1">IF(J56&lt;0.4,0.4,J56)</f>
        <v>#VALUE!</v>
      </c>
      <c r="K59" s="3126"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68" t="s">
        <v>2363</v>
      </c>
      <c r="J60" s="3169" t="str">
        <f ca="1">IF(OR(M48="住宅",J52&lt;L49,J57="是"),"——",ROUND(C30*J59,0))</f>
        <v>——</v>
      </c>
      <c r="K60" s="3126"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0" t="s">
        <v>2364</v>
      </c>
      <c r="J61" s="3171" t="str">
        <f ca="1">IF(OR(M48="住宅",J52&lt;L49,J57="是"),"0",ROUND(J60/(1+J53)^J54,0))</f>
        <v>0</v>
      </c>
      <c r="K61" s="3172" t="s">
        <v>2369</v>
      </c>
      <c r="L61" s="3171"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3" t="s">
        <v>2370</v>
      </c>
      <c r="J63" s="3174" t="s">
        <v>2371</v>
      </c>
      <c r="K63" s="3174" t="s">
        <v>2372</v>
      </c>
      <c r="L63" s="3174" t="s">
        <v>2353</v>
      </c>
      <c r="M63" s="3175" t="s">
        <v>2944</v>
      </c>
      <c r="O63" s="2403" t="s">
        <v>2391</v>
      </c>
      <c r="P63" s="2401" t="s">
        <v>2399</v>
      </c>
      <c r="Q63" s="2402">
        <f ca="1">L60</f>
        <v>0</v>
      </c>
      <c r="R63" s="2405" t="s">
        <v>2400</v>
      </c>
    </row>
    <row r="64" spans="1:18" s="2061" customFormat="1" ht="15.75" thickBot="1">
      <c r="A64" s="2098"/>
      <c r="B64" s="2099"/>
      <c r="C64" s="2099"/>
      <c r="I64" s="3173" t="s">
        <v>2373</v>
      </c>
      <c r="J64" s="3174">
        <v>70</v>
      </c>
      <c r="K64" s="3174">
        <v>50</v>
      </c>
      <c r="L64" s="3174">
        <v>80</v>
      </c>
      <c r="M64" s="3176">
        <v>0.02</v>
      </c>
      <c r="O64" s="2400" t="s">
        <v>2394</v>
      </c>
      <c r="P64" s="2401" t="s">
        <v>2411</v>
      </c>
      <c r="Q64" s="2402" t="e">
        <f ca="1">Q58+Q59</f>
        <v>#DIV/0!</v>
      </c>
      <c r="R64" s="2405" t="s">
        <v>2395</v>
      </c>
    </row>
    <row r="65" spans="1:18" s="2061" customFormat="1" ht="16.5" thickBot="1">
      <c r="A65" s="2098"/>
      <c r="B65" s="2099"/>
      <c r="C65" s="2099"/>
      <c r="I65" s="3173" t="s">
        <v>2374</v>
      </c>
      <c r="J65" s="3174">
        <v>50</v>
      </c>
      <c r="K65" s="3174">
        <v>35</v>
      </c>
      <c r="L65" s="3174">
        <v>60</v>
      </c>
      <c r="M65" s="846">
        <v>0</v>
      </c>
      <c r="O65" s="2406" t="s">
        <v>2418</v>
      </c>
      <c r="P65" s="1593"/>
      <c r="Q65" s="1605"/>
      <c r="R65" s="1593"/>
    </row>
    <row r="66" spans="1:18" s="2061" customFormat="1" ht="15.75" thickBot="1">
      <c r="A66" s="2098"/>
      <c r="B66" s="2099"/>
      <c r="C66" s="2099"/>
      <c r="I66" s="3173" t="s">
        <v>2375</v>
      </c>
      <c r="J66" s="3174">
        <v>40</v>
      </c>
      <c r="K66" s="3174">
        <v>30</v>
      </c>
      <c r="L66" s="3174">
        <v>50</v>
      </c>
      <c r="M66" s="3176">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 sqref="A4"/>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3" t="s">
        <v>2579</v>
      </c>
      <c r="C1" s="3453"/>
      <c r="D1" s="3453"/>
      <c r="E1" s="3453"/>
      <c r="F1" s="3453"/>
      <c r="G1" s="3452" t="s">
        <v>2580</v>
      </c>
      <c r="H1" s="3452"/>
      <c r="I1" s="3452"/>
      <c r="J1" s="3452"/>
      <c r="K1" s="3452"/>
      <c r="L1" s="3452"/>
      <c r="N1" s="3452" t="s">
        <v>2581</v>
      </c>
      <c r="O1" s="3452"/>
      <c r="P1" s="3452"/>
      <c r="Q1" s="3452"/>
      <c r="R1" s="2656"/>
      <c r="S1" s="3452" t="s">
        <v>2582</v>
      </c>
      <c r="T1" s="3452"/>
      <c r="U1" s="3452"/>
      <c r="V1" s="3452"/>
      <c r="X1" s="3451" t="s">
        <v>2642</v>
      </c>
      <c r="Y1" s="3452"/>
      <c r="Z1" s="3452"/>
      <c r="AA1" s="3452"/>
      <c r="AB1" s="3452"/>
      <c r="AD1" s="3451" t="s">
        <v>2646</v>
      </c>
      <c r="AE1" s="3452"/>
      <c r="AF1" s="3452"/>
      <c r="AG1" s="3452"/>
      <c r="AH1" s="3452"/>
    </row>
    <row r="2" spans="1:34" s="2758" customFormat="1" ht="14.25" thickBot="1">
      <c r="B2" s="2766" t="s">
        <v>2583</v>
      </c>
      <c r="C2" s="2766" t="s">
        <v>2644</v>
      </c>
      <c r="D2" s="2759" t="s">
        <v>1645</v>
      </c>
      <c r="E2" s="2759" t="s">
        <v>1952</v>
      </c>
      <c r="F2" s="2766" t="s">
        <v>2645</v>
      </c>
      <c r="G2" s="2762"/>
      <c r="H2" s="2761"/>
      <c r="I2" s="2766" t="s">
        <v>2958</v>
      </c>
      <c r="J2" s="2759" t="s">
        <v>2960</v>
      </c>
      <c r="K2" s="2759" t="s">
        <v>2961</v>
      </c>
      <c r="L2" s="2766" t="s">
        <v>2962</v>
      </c>
      <c r="N2" s="2766" t="s">
        <v>2583</v>
      </c>
      <c r="O2" s="2759" t="s">
        <v>2959</v>
      </c>
      <c r="P2" s="2759" t="s">
        <v>1952</v>
      </c>
      <c r="Q2" s="2766" t="s">
        <v>2645</v>
      </c>
      <c r="R2" s="2760"/>
      <c r="S2" s="2766" t="s">
        <v>2583</v>
      </c>
      <c r="T2" s="2759" t="s">
        <v>2959</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4" customFormat="1" ht="14.25">
      <c r="A3" s="3146" t="s">
        <v>2971</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51" customFormat="1" ht="14.25">
      <c r="B4" s="2752"/>
      <c r="C4" s="2752"/>
      <c r="D4" s="2753"/>
      <c r="E4" s="2753"/>
      <c r="F4" s="2752"/>
      <c r="G4" s="2757"/>
      <c r="H4" s="2754"/>
      <c r="I4" s="3127"/>
      <c r="J4" s="3127"/>
      <c r="K4" s="3127"/>
      <c r="L4" s="3127"/>
      <c r="N4" s="2757"/>
      <c r="O4" s="2755"/>
      <c r="P4" s="2755"/>
      <c r="Q4" s="2755"/>
      <c r="R4" s="2755"/>
      <c r="S4" s="2757"/>
      <c r="T4" s="2755"/>
      <c r="U4" s="2755"/>
      <c r="V4" s="2755"/>
      <c r="W4" s="3143"/>
      <c r="X4" s="2756"/>
      <c r="Y4" s="2756"/>
      <c r="Z4" s="2756"/>
      <c r="AA4" s="2756"/>
      <c r="AB4" s="2756"/>
      <c r="AD4" s="2676"/>
      <c r="AE4" s="2676"/>
      <c r="AF4" s="2676"/>
      <c r="AG4" s="2676"/>
      <c r="AH4" s="2676"/>
    </row>
    <row r="5" spans="1:34" s="3115" customFormat="1">
      <c r="A5" s="3113" t="s">
        <v>2982</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4">
        <v>3</v>
      </c>
      <c r="I5" s="3128">
        <v>0</v>
      </c>
      <c r="J5" s="3128">
        <v>0</v>
      </c>
      <c r="K5" s="3128">
        <v>0</v>
      </c>
      <c r="L5" s="3128">
        <v>0</v>
      </c>
      <c r="N5" s="2764">
        <f t="shared" ref="N5" si="6">I5/100</f>
        <v>0</v>
      </c>
      <c r="O5" s="2764">
        <f t="shared" ref="O5" si="7">J5/100</f>
        <v>0</v>
      </c>
      <c r="P5" s="2764">
        <f t="shared" ref="P5" si="8">K5/100</f>
        <v>0</v>
      </c>
      <c r="Q5" s="2764">
        <f t="shared" ref="Q5" si="9">L5/100</f>
        <v>0</v>
      </c>
      <c r="R5" s="3116"/>
      <c r="S5" s="3117"/>
      <c r="T5" s="3116"/>
      <c r="U5" s="3116"/>
      <c r="V5" s="3116"/>
      <c r="W5" s="3144" t="s">
        <v>2972</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3" customFormat="1" ht="13.5" thickBot="1">
      <c r="A6" s="2657" t="s">
        <v>2983</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3"/>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2978</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3"/>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2969</v>
      </c>
      <c r="B8" s="3148">
        <v>439</v>
      </c>
      <c r="C8" s="3148">
        <v>327</v>
      </c>
      <c r="D8" s="3148">
        <f t="shared" si="23"/>
        <v>327</v>
      </c>
      <c r="E8" s="3148">
        <v>627</v>
      </c>
      <c r="F8" s="3149">
        <v>283</v>
      </c>
      <c r="G8" s="3131">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2973</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3"/>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2"/>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3"/>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60">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55"/>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55"/>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56"/>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54">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55"/>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55"/>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56"/>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54">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55"/>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55"/>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56"/>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2586</v>
      </c>
      <c r="B24" s="2663">
        <v>299</v>
      </c>
      <c r="C24" s="2663">
        <v>252</v>
      </c>
      <c r="D24" s="2663">
        <f t="shared" si="45"/>
        <v>252</v>
      </c>
      <c r="E24" s="2663">
        <v>409</v>
      </c>
      <c r="F24" s="2664">
        <v>227</v>
      </c>
      <c r="G24" s="3457">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58"/>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458"/>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459"/>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454">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455"/>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455"/>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456"/>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454">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55">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455">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456">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454">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55">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455">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456">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454">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55">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455">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456">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454">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55">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455">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456">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454">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55">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455">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456">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454">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55">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455">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456">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454">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55">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455">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456">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454">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55">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455">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456">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454">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455">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455">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456">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454">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455">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455">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456">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北京捷宸阳光科技发展有限公司：</v>
      </c>
    </row>
    <row r="4" spans="1:4" ht="37.5">
      <c r="A4" s="1793" t="str">
        <f>"受贵公司委托，我公司对"&amp;项目基本情况!K2&amp;项目基本情况!B9&amp;"进行了预评估。"</f>
        <v>受贵公司委托，我公司对北京市通州区马驹桥镇金桥科技产业基地出让国有建设用地使用权市场价格进行了预评估。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2018年7月9日</v>
      </c>
    </row>
    <row r="12" spans="1:4" ht="18.75">
      <c r="A12" s="1799" t="s">
        <v>2028</v>
      </c>
    </row>
    <row r="13" spans="1:4" ht="18.75">
      <c r="A13" s="1793" t="s">
        <v>2943</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根据《国有土地使用证》[]，估价对象（分摊）出让国有建设用地使用权面积为86802.49平方米。根据《建设工程规划许可证》[]、《出让合同》[]，估价对象规划建筑面积为80808平方米。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8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A4" sqref="A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5" t="s">
        <v>952</v>
      </c>
      <c r="E1" s="2389" t="s">
        <v>2377</v>
      </c>
      <c r="F1" s="2390">
        <f ca="1">J53</f>
        <v>0</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445" t="s">
        <v>2466</v>
      </c>
      <c r="C6" s="783">
        <f ca="1">ROUND(F6*F8*F7*(1-F9)/10000,0)</f>
        <v>0</v>
      </c>
      <c r="D6" s="2499" t="s">
        <v>2465</v>
      </c>
      <c r="E6" s="784" t="s">
        <v>1739</v>
      </c>
      <c r="F6" s="785">
        <f ca="1">INDIRECT("'数据-取费表'!u"&amp;$G$1)</f>
        <v>0</v>
      </c>
      <c r="G6" s="1593"/>
      <c r="H6" s="2506" t="s">
        <v>2471</v>
      </c>
      <c r="I6" s="3445" t="s">
        <v>2466</v>
      </c>
      <c r="J6" s="783">
        <f ca="1">ROUND(M6*M8*M7*(1-M9)/10000,0)</f>
        <v>0</v>
      </c>
      <c r="K6" s="341" t="s">
        <v>1738</v>
      </c>
      <c r="L6" s="784" t="s">
        <v>1739</v>
      </c>
      <c r="M6" s="785">
        <f ca="1">INDIRECT("'数据-取费表'!z"&amp;$G$1)</f>
        <v>0</v>
      </c>
    </row>
    <row r="7" spans="1:33" ht="18" customHeight="1">
      <c r="A7" s="2502"/>
      <c r="B7" s="3446"/>
      <c r="C7" s="788"/>
      <c r="D7" s="789"/>
      <c r="E7" s="784" t="s">
        <v>1740</v>
      </c>
      <c r="F7" s="785">
        <f ca="1">IF(INDIRECT("'数据-取费表'!ah"&amp;$G$1)="",INDIRECT("'数据-取费表'!k"&amp;$G$1),INDIRECT("'数据-取费表'!ah"&amp;$G$1))</f>
        <v>0</v>
      </c>
      <c r="G7" s="1593"/>
      <c r="H7" s="2491"/>
      <c r="I7" s="3446"/>
      <c r="J7" s="788"/>
      <c r="K7" s="789"/>
      <c r="L7" s="784" t="s">
        <v>1740</v>
      </c>
      <c r="M7" s="785">
        <f ca="1">F7</f>
        <v>0</v>
      </c>
    </row>
    <row r="8" spans="1:33" ht="18" customHeight="1">
      <c r="A8" s="2495"/>
      <c r="B8" s="3447"/>
      <c r="C8" s="788"/>
      <c r="D8" s="789"/>
      <c r="E8" s="784" t="s">
        <v>1741</v>
      </c>
      <c r="F8" s="785">
        <f ca="1">INDIRECT("'数据-取费表'!ai"&amp;$G$1)</f>
        <v>0</v>
      </c>
      <c r="G8" s="1593"/>
      <c r="H8" s="2491"/>
      <c r="I8" s="3447"/>
      <c r="J8" s="788"/>
      <c r="K8" s="789"/>
      <c r="L8" s="784" t="s">
        <v>1741</v>
      </c>
      <c r="M8" s="785">
        <f ca="1">INDIRECT("'数据-取费表'!ai"&amp;$G$1)</f>
        <v>0</v>
      </c>
    </row>
    <row r="9" spans="1:33" ht="18" customHeight="1">
      <c r="A9" s="786"/>
      <c r="B9" s="3448"/>
      <c r="C9" s="788"/>
      <c r="D9" s="789"/>
      <c r="E9" s="784" t="s">
        <v>1742</v>
      </c>
      <c r="F9" s="794">
        <f ca="1">INDIRECT("'数据-取费表'!w"&amp;$G$1)</f>
        <v>0</v>
      </c>
      <c r="G9" s="1593"/>
      <c r="H9" s="2507"/>
      <c r="I9" s="3447"/>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2976</v>
      </c>
      <c r="E10" s="2500" t="s">
        <v>2467</v>
      </c>
      <c r="F10" s="2623"/>
      <c r="G10" s="1593"/>
      <c r="H10" s="2563" t="s">
        <v>2472</v>
      </c>
      <c r="I10" s="2568" t="s">
        <v>2462</v>
      </c>
      <c r="J10" s="783">
        <f ca="1">ROUND(IF(M10="押一",J6/12*M11,IF(M10="押二",J6/12*2*M11,IF(M10="押三",J6/12*3*M11,J11*M11))),0)</f>
        <v>0</v>
      </c>
      <c r="K10" s="2503" t="s">
        <v>2976</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0</v>
      </c>
      <c r="D13" s="1836" t="s">
        <v>2300</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2828</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0.01</v>
      </c>
      <c r="G20" s="1594"/>
      <c r="H20" s="1652" t="s">
        <v>1881</v>
      </c>
      <c r="I20" s="341" t="s">
        <v>1761</v>
      </c>
      <c r="J20" s="54">
        <f ca="1">ROUND(M20*M21/10000,0)</f>
        <v>0</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0.01</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单利计息。建造成本、管理费用、销售费用产生的利息。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2538</v>
      </c>
      <c r="C23" s="53">
        <f ca="1">ROUND(IF('数据-取费表'!B22&lt;=1,(C19+C20)*F24*F23/2,(C19+C20)*(POWER((1+F24),F23/2)-1)),0)</f>
        <v>0</v>
      </c>
      <c r="D23" s="2573"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2.0000000000000001E-4</v>
      </c>
      <c r="D24" s="2573" t="str">
        <f>IF(F23&lt;=1,"销售费用×利率×(建设周期÷2)","销售费用×((1+利率)^(建设周期÷2)-1)")</f>
        <v>销售费用×利率×(建设周期÷2)</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2824</v>
      </c>
      <c r="J25" s="792">
        <f ca="1">J5-J16</f>
        <v>0</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2829</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2824</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2422</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2966</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#DIV/0!</v>
      </c>
      <c r="D46" s="2087"/>
      <c r="E46" s="2087"/>
      <c r="F46" s="2087"/>
      <c r="I46" s="2380" t="s">
        <v>2346</v>
      </c>
      <c r="J46" s="2381"/>
      <c r="K46" s="2382"/>
      <c r="L46" s="3160" t="e">
        <f ca="1">IF(OR(M47="住宅",D1="土地（套用方法）"),0,IF(L48&gt;J51,L60,J60))</f>
        <v>#DIV/0!</v>
      </c>
      <c r="O46" s="2396" t="s">
        <v>2413</v>
      </c>
      <c r="P46" s="1593"/>
      <c r="Q46" s="1605"/>
      <c r="R46" s="1593"/>
    </row>
    <row r="47" spans="1:18" s="2061" customFormat="1" ht="18" customHeight="1" thickBot="1">
      <c r="A47" s="2374">
        <v>1</v>
      </c>
      <c r="B47" s="2375" t="s">
        <v>635</v>
      </c>
      <c r="C47" s="2576">
        <f ca="1">C48+C52+C54</f>
        <v>0</v>
      </c>
      <c r="D47" s="2087"/>
      <c r="E47" s="2087"/>
      <c r="F47" s="2087"/>
      <c r="I47" s="3150" t="s">
        <v>2347</v>
      </c>
      <c r="J47" s="2383"/>
      <c r="K47" s="3157" t="s">
        <v>2352</v>
      </c>
      <c r="L47" s="3161">
        <f ca="1">INDIRECT("'数据-取费表'!d"&amp;$G$1)</f>
        <v>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6" t="s">
        <v>2348</v>
      </c>
      <c r="J48" s="2384"/>
      <c r="K48" s="3158" t="s">
        <v>2354</v>
      </c>
      <c r="L48" s="1910">
        <f ca="1">INDIRECT("'数据-取费表'!f"&amp;$G$1)</f>
        <v>0</v>
      </c>
      <c r="O48" s="2400" t="s">
        <v>2382</v>
      </c>
      <c r="P48" s="2401" t="s">
        <v>2408</v>
      </c>
      <c r="Q48" s="2402" t="e">
        <f ca="1">C40+J29</f>
        <v>#DIV/0!</v>
      </c>
      <c r="R48" s="2401" t="s">
        <v>2383</v>
      </c>
    </row>
    <row r="49" spans="1:18" s="2061" customFormat="1" ht="18" customHeight="1" thickBot="1">
      <c r="A49" s="786"/>
      <c r="B49" s="787"/>
      <c r="C49" s="788"/>
      <c r="D49" s="789"/>
      <c r="E49" s="784" t="s">
        <v>1740</v>
      </c>
      <c r="F49" s="785">
        <f ca="1">F7</f>
        <v>0</v>
      </c>
      <c r="G49" s="2092"/>
      <c r="H49" s="2095"/>
      <c r="I49" s="3126" t="s">
        <v>2349</v>
      </c>
      <c r="J49" s="2385"/>
      <c r="K49" s="3159" t="s">
        <v>2355</v>
      </c>
      <c r="L49" s="2386"/>
      <c r="O49" s="2400" t="s">
        <v>2384</v>
      </c>
      <c r="P49" s="2401" t="s">
        <v>2409</v>
      </c>
      <c r="Q49" s="2402" t="e">
        <f ca="1">J60</f>
        <v>#DIV/0!</v>
      </c>
      <c r="R49" s="2401" t="s">
        <v>2385</v>
      </c>
    </row>
    <row r="50" spans="1:18" s="2061" customFormat="1" ht="18" customHeight="1" thickBot="1">
      <c r="A50" s="786"/>
      <c r="B50" s="787"/>
      <c r="C50" s="788"/>
      <c r="D50" s="789"/>
      <c r="E50" s="784" t="s">
        <v>1741</v>
      </c>
      <c r="F50" s="785">
        <f ca="1">F8</f>
        <v>0</v>
      </c>
      <c r="G50" s="2097"/>
      <c r="H50" s="2095"/>
      <c r="I50" s="3126" t="s">
        <v>2350</v>
      </c>
      <c r="J50" s="3154">
        <f>SUMPRODUCT((I63:I65=J47)*(J62:L62=J48)*(J63:L65))</f>
        <v>0</v>
      </c>
      <c r="K50" s="3159" t="s">
        <v>2356</v>
      </c>
      <c r="L50" s="2386"/>
      <c r="O50" s="2403" t="s">
        <v>2386</v>
      </c>
      <c r="P50" s="2401" t="s">
        <v>2410</v>
      </c>
      <c r="Q50" s="2402">
        <f ca="1">C29</f>
        <v>0</v>
      </c>
      <c r="R50" s="2401" t="s">
        <v>2383</v>
      </c>
    </row>
    <row r="51" spans="1:18" s="2061" customFormat="1" ht="18" customHeight="1" thickBot="1">
      <c r="A51" s="786"/>
      <c r="B51" s="787"/>
      <c r="C51" s="788"/>
      <c r="D51" s="789"/>
      <c r="E51" s="784" t="s">
        <v>640</v>
      </c>
      <c r="F51" s="2373"/>
      <c r="H51" s="2095"/>
      <c r="I51" s="3151" t="s">
        <v>2351</v>
      </c>
      <c r="J51" s="3155">
        <f>IF(J49="",J50,J49+J50-YEAR('数据-取费表'!B2))</f>
        <v>0</v>
      </c>
      <c r="K51" s="3126" t="s">
        <v>2357</v>
      </c>
      <c r="L51" s="3162">
        <f ca="1">ROUND(-PV(INDIRECT("'数据-取费表'!h"&amp;$G$1),L48,(C39-C13*J36),0),0)</f>
        <v>0</v>
      </c>
      <c r="O51" s="2403" t="s">
        <v>2387</v>
      </c>
      <c r="P51" s="2401" t="s">
        <v>2388</v>
      </c>
      <c r="Q51" s="2404" t="e">
        <f ca="1">J58</f>
        <v>#DIV/0!</v>
      </c>
      <c r="R51" s="2405"/>
    </row>
    <row r="52" spans="1:18" s="2061" customFormat="1" ht="18" customHeight="1" thickBot="1">
      <c r="A52" s="781" t="s">
        <v>2539</v>
      </c>
      <c r="B52" s="2496" t="s">
        <v>2462</v>
      </c>
      <c r="C52" s="799">
        <f ca="1">ROUND(IF(F52="押一",C48/12*F11,IF(F52="押二",C48/12*2*F11,IF(F52="押三",C48/12*3*F11,C53*F11))),0)</f>
        <v>0</v>
      </c>
      <c r="D52" s="2503" t="s">
        <v>2977</v>
      </c>
      <c r="E52" s="2500" t="s">
        <v>2467</v>
      </c>
      <c r="F52" s="2623"/>
      <c r="I52" s="3152" t="s">
        <v>2424</v>
      </c>
      <c r="J52" s="2387"/>
      <c r="K52" s="3152"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3" t="s">
        <v>2981</v>
      </c>
      <c r="J53" s="3156">
        <f ca="1">IF(M47="住宅",IF(D1="——",MAX(J51,L48),MAX(J51,L48-'数据-取费表'!B20)),IF(D1="——",MIN(J51,L48),MIN(J51,L48-'数据-取费表'!B20)))</f>
        <v>0</v>
      </c>
      <c r="K53" s="3461" t="s">
        <v>2968</v>
      </c>
      <c r="L53" s="3462"/>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#DIV/0!</v>
      </c>
      <c r="R54" s="2405" t="s">
        <v>2395</v>
      </c>
    </row>
    <row r="55" spans="1:18" s="2061" customFormat="1" ht="18" customHeight="1" thickTop="1" thickBot="1">
      <c r="A55" s="797">
        <v>2</v>
      </c>
      <c r="B55" s="798" t="s">
        <v>644</v>
      </c>
      <c r="C55" s="799">
        <f ca="1">C13</f>
        <v>0</v>
      </c>
      <c r="D55" s="795"/>
      <c r="E55" s="795"/>
      <c r="F55" s="800"/>
      <c r="I55" s="3165" t="s">
        <v>2358</v>
      </c>
      <c r="J55" s="3101" t="e">
        <f ca="1">ROUND(IF(J47="钢混",J57/J50,1-(1-2%)*(J50-J57)/J50),3)</f>
        <v>#DIV/0!</v>
      </c>
      <c r="K55" s="3166" t="s">
        <v>2359</v>
      </c>
      <c r="L55" s="2388"/>
      <c r="O55" s="2406" t="s">
        <v>2414</v>
      </c>
      <c r="P55" s="1593"/>
      <c r="Q55" s="1605"/>
      <c r="R55" s="1593"/>
    </row>
    <row r="56" spans="1:18" s="2061" customFormat="1" ht="42.75" customHeight="1" thickBot="1">
      <c r="A56" s="1651"/>
      <c r="B56" s="2233" t="s">
        <v>2305</v>
      </c>
      <c r="C56" s="53">
        <f ca="1">C29</f>
        <v>0</v>
      </c>
      <c r="D56" s="2641"/>
      <c r="E56" s="784"/>
      <c r="F56" s="809"/>
      <c r="I56" s="3167" t="s">
        <v>2360</v>
      </c>
      <c r="J56" s="3177"/>
      <c r="K56" s="3126" t="s">
        <v>2365</v>
      </c>
      <c r="L56" s="1910">
        <f ca="1">IF(L48&lt;J51,"——",L48-J51)</f>
        <v>0</v>
      </c>
      <c r="O56" s="2397" t="s">
        <v>2378</v>
      </c>
      <c r="P56" s="2398" t="s">
        <v>2379</v>
      </c>
      <c r="Q56" s="2399" t="s">
        <v>2380</v>
      </c>
      <c r="R56" s="2398" t="s">
        <v>2381</v>
      </c>
    </row>
    <row r="57" spans="1:18" s="2061" customFormat="1" ht="28.5" customHeight="1" thickBot="1">
      <c r="A57" s="797" t="s">
        <v>1749</v>
      </c>
      <c r="B57" s="798" t="s">
        <v>651</v>
      </c>
      <c r="C57" s="799">
        <f ca="1">ROUND(C58+C63+C64+C65,0)</f>
        <v>0</v>
      </c>
      <c r="D57" s="26" t="s">
        <v>1751</v>
      </c>
      <c r="E57" s="2642"/>
      <c r="F57" s="56"/>
      <c r="I57" s="3168" t="s">
        <v>2361</v>
      </c>
      <c r="J57" s="3169">
        <f ca="1">IF(OR(M47="住宅",J51&lt;L48,J56="是"),"——",J51-L48)</f>
        <v>0</v>
      </c>
      <c r="K57" s="3126" t="s">
        <v>2366</v>
      </c>
      <c r="L57" s="1910">
        <f ca="1">IF(L48&lt;J51,"——",IF(L55="比较法",L49,IF(L55="基准地价",L50,L51)))</f>
        <v>0</v>
      </c>
      <c r="O57" s="2400" t="s">
        <v>2382</v>
      </c>
      <c r="P57" s="2401" t="s">
        <v>2412</v>
      </c>
      <c r="Q57" s="2402" t="e">
        <f ca="1">C40+J29</f>
        <v>#DIV/0!</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68" t="s">
        <v>2362</v>
      </c>
      <c r="J58" s="3102" t="e">
        <f ca="1">IF(J55&lt;0.4,0.4,J55)</f>
        <v>#DIV/0!</v>
      </c>
      <c r="K58" s="3126" t="s">
        <v>2367</v>
      </c>
      <c r="L58" s="1910" t="e">
        <f ca="1">ROUND(POWER(1+L52,L47-L48)*(POWER(1+L52,L48)-1)/(POWER(1+L52,L47)-1),4)</f>
        <v>#DIV/0!</v>
      </c>
      <c r="O58" s="2400" t="s">
        <v>2384</v>
      </c>
      <c r="P58" s="2401" t="s">
        <v>2415</v>
      </c>
      <c r="Q58" s="2402" t="e">
        <f ca="1">L60</f>
        <v>#DIV/0!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68" t="s">
        <v>2363</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0" t="s">
        <v>2364</v>
      </c>
      <c r="J60" s="3171" t="e">
        <f ca="1">IF(OR(M47="住宅",J51&lt;L48,J56="是"),"0",ROUND(J59/(1+J52)^J53,0))</f>
        <v>#DIV/0!</v>
      </c>
      <c r="K60" s="3172" t="s">
        <v>2369</v>
      </c>
      <c r="L60" s="3171" t="e">
        <f ca="1">IF(OR(M47="住宅",L48&lt;J51),0,ROUND(L57*(L58/L59-1),0))</f>
        <v>#DIV/0!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3" t="s">
        <v>2370</v>
      </c>
      <c r="J62" s="3174" t="s">
        <v>2371</v>
      </c>
      <c r="K62" s="3174" t="s">
        <v>2372</v>
      </c>
      <c r="L62" s="3174" t="s">
        <v>2353</v>
      </c>
      <c r="M62" s="3175" t="s">
        <v>2944</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0</v>
      </c>
      <c r="D63" s="2641" t="s">
        <v>1804</v>
      </c>
      <c r="E63" s="784" t="s">
        <v>1748</v>
      </c>
      <c r="F63" s="817">
        <f t="shared" ca="1" si="0"/>
        <v>0</v>
      </c>
      <c r="I63" s="3173" t="s">
        <v>2373</v>
      </c>
      <c r="J63" s="3174">
        <v>70</v>
      </c>
      <c r="K63" s="3174">
        <v>50</v>
      </c>
      <c r="L63" s="3174">
        <v>80</v>
      </c>
      <c r="M63" s="3176">
        <v>0.02</v>
      </c>
      <c r="O63" s="2400" t="s">
        <v>2394</v>
      </c>
      <c r="P63" s="2401" t="s">
        <v>2411</v>
      </c>
      <c r="Q63" s="2402" t="e">
        <f ca="1">Q57+Q58</f>
        <v>#DIV/0!</v>
      </c>
      <c r="R63" s="2405" t="s">
        <v>2395</v>
      </c>
    </row>
    <row r="64" spans="1:18" s="2061" customFormat="1" ht="16.5" thickBot="1">
      <c r="A64" s="1650" t="s">
        <v>1891</v>
      </c>
      <c r="B64" s="784" t="s">
        <v>679</v>
      </c>
      <c r="C64" s="53">
        <f ca="1">ROUND(C55*F64,1)</f>
        <v>0</v>
      </c>
      <c r="D64" s="2641" t="s">
        <v>680</v>
      </c>
      <c r="E64" s="784" t="s">
        <v>1748</v>
      </c>
      <c r="F64" s="818">
        <f t="shared" ca="1" si="0"/>
        <v>0</v>
      </c>
      <c r="I64" s="3173" t="s">
        <v>2374</v>
      </c>
      <c r="J64" s="3174">
        <v>50</v>
      </c>
      <c r="K64" s="3174">
        <v>35</v>
      </c>
      <c r="L64" s="3174">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3" t="s">
        <v>2375</v>
      </c>
      <c r="J65" s="3174">
        <v>40</v>
      </c>
      <c r="K65" s="3174">
        <v>30</v>
      </c>
      <c r="L65" s="3174">
        <v>50</v>
      </c>
      <c r="M65" s="3176">
        <v>0.02</v>
      </c>
      <c r="O65" s="2397" t="s">
        <v>2378</v>
      </c>
      <c r="P65" s="2398" t="s">
        <v>2379</v>
      </c>
      <c r="Q65" s="2399" t="s">
        <v>2380</v>
      </c>
      <c r="R65" s="2398" t="s">
        <v>2381</v>
      </c>
    </row>
    <row r="66" spans="1:18" s="2061" customFormat="1" ht="24.75" thickBot="1">
      <c r="A66" s="797" t="s">
        <v>1777</v>
      </c>
      <c r="B66" s="3013" t="s">
        <v>2824</v>
      </c>
      <c r="C66" s="799">
        <f ca="1">C47-C57</f>
        <v>0</v>
      </c>
      <c r="D66" s="2640" t="s">
        <v>700</v>
      </c>
      <c r="E66" s="2639"/>
      <c r="F66" s="820"/>
      <c r="K66" s="2088"/>
      <c r="O66" s="2400" t="s">
        <v>2382</v>
      </c>
      <c r="P66" s="2401" t="s">
        <v>2412</v>
      </c>
      <c r="Q66" s="2402" t="e">
        <f ca="1">C40+J29</f>
        <v>#DIV/0!</v>
      </c>
      <c r="R66" s="2401" t="s">
        <v>2383</v>
      </c>
    </row>
    <row r="67" spans="1:18" s="2061" customFormat="1" ht="20.25" thickBot="1">
      <c r="A67" s="781" t="s">
        <v>1781</v>
      </c>
      <c r="B67" s="2234" t="s">
        <v>2304</v>
      </c>
      <c r="C67" s="783" t="e">
        <f ca="1">ROUND(C66*(1-((1+F69)/(1+F67))^F68)/(F67-F69),0)</f>
        <v>#DIV/0!</v>
      </c>
      <c r="D67" s="814" t="s">
        <v>704</v>
      </c>
      <c r="E67" s="784" t="s">
        <v>705</v>
      </c>
      <c r="F67" s="794">
        <f ca="1">F40</f>
        <v>0</v>
      </c>
      <c r="K67" s="2088"/>
      <c r="O67" s="2400" t="s">
        <v>2384</v>
      </c>
      <c r="P67" s="2401" t="s">
        <v>2415</v>
      </c>
      <c r="Q67" s="2402" t="e">
        <f ca="1">L60</f>
        <v>#DIV/0!</v>
      </c>
      <c r="R67" s="2405" t="s">
        <v>2417</v>
      </c>
    </row>
    <row r="68" spans="1:18" ht="21.75" thickBot="1">
      <c r="A68" s="786"/>
      <c r="B68" s="787"/>
      <c r="C68" s="788"/>
      <c r="D68" s="821" t="s">
        <v>1809</v>
      </c>
      <c r="E68" s="784" t="s">
        <v>1785</v>
      </c>
      <c r="F68" s="822">
        <f ca="1">F41</f>
        <v>0</v>
      </c>
      <c r="O68" s="2403" t="s">
        <v>2386</v>
      </c>
      <c r="P68" s="2401" t="s">
        <v>2416</v>
      </c>
      <c r="Q68" s="2407">
        <f ca="1">L51</f>
        <v>0</v>
      </c>
      <c r="R68" s="2408" t="s">
        <v>2419</v>
      </c>
    </row>
    <row r="69" spans="1:18" ht="20.25" thickBot="1">
      <c r="A69" s="790"/>
      <c r="B69" s="791"/>
      <c r="C69" s="792"/>
      <c r="D69" s="816"/>
      <c r="E69" s="784" t="s">
        <v>710</v>
      </c>
      <c r="F69" s="2373"/>
      <c r="O69" s="2403" t="s">
        <v>2387</v>
      </c>
      <c r="P69" s="2409" t="s">
        <v>2401</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2402</v>
      </c>
      <c r="P70" s="2409" t="s">
        <v>2403</v>
      </c>
      <c r="Q70" s="2402">
        <f ca="1">C39</f>
        <v>0</v>
      </c>
      <c r="R70" s="2401" t="s">
        <v>2383</v>
      </c>
    </row>
    <row r="71" spans="1:18" ht="15.75" thickBot="1">
      <c r="O71" s="2403" t="s">
        <v>2404</v>
      </c>
      <c r="P71" s="2409" t="s">
        <v>2405</v>
      </c>
      <c r="Q71" s="2402">
        <f ca="1">C13</f>
        <v>0</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#DIV/0!</v>
      </c>
      <c r="R76" s="2405" t="s">
        <v>2395</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4" sqref="A4"/>
    </sheetView>
  </sheetViews>
  <sheetFormatPr defaultRowHeight="13.5"/>
  <cols>
    <col min="1" max="1" width="10.5" customWidth="1"/>
    <col min="2" max="2" width="12.875" customWidth="1"/>
    <col min="3" max="3" width="8.75" customWidth="1"/>
  </cols>
  <sheetData>
    <row r="1" spans="1:9" ht="14.25">
      <c r="A1" s="3479" t="s">
        <v>2474</v>
      </c>
      <c r="B1" s="3480"/>
      <c r="C1" s="3481"/>
      <c r="D1" s="3482">
        <f>SUM(I10,I15,I20,I21,I23)</f>
        <v>0</v>
      </c>
      <c r="E1" s="3482"/>
      <c r="F1" s="3482"/>
      <c r="G1" s="3482"/>
      <c r="H1" s="3482"/>
      <c r="I1" s="3483"/>
    </row>
    <row r="2" spans="1:9">
      <c r="A2" s="3469" t="s">
        <v>2475</v>
      </c>
      <c r="B2" s="3470" t="s">
        <v>2476</v>
      </c>
      <c r="C2" s="3470"/>
      <c r="D2" s="2509" t="s">
        <v>2477</v>
      </c>
      <c r="E2" s="2509" t="s">
        <v>2478</v>
      </c>
      <c r="F2" s="2509" t="s">
        <v>2479</v>
      </c>
      <c r="G2" s="2509" t="s">
        <v>2480</v>
      </c>
      <c r="H2" s="2509" t="s">
        <v>2481</v>
      </c>
      <c r="I2" s="2510" t="s">
        <v>2482</v>
      </c>
    </row>
    <row r="3" spans="1:9">
      <c r="A3" s="3469"/>
      <c r="B3" s="3470" t="s">
        <v>2483</v>
      </c>
      <c r="C3" s="3470"/>
      <c r="D3" s="2511"/>
      <c r="E3" s="2509"/>
      <c r="F3" s="2512"/>
      <c r="G3" s="2512"/>
      <c r="H3" s="2513"/>
      <c r="I3" s="2514">
        <f>ROUND(D3*E3*F3*G3*H3/10000,0)</f>
        <v>0</v>
      </c>
    </row>
    <row r="4" spans="1:9">
      <c r="A4" s="3469"/>
      <c r="B4" s="3470" t="s">
        <v>2484</v>
      </c>
      <c r="C4" s="3470"/>
      <c r="D4" s="2511"/>
      <c r="E4" s="2509"/>
      <c r="F4" s="2512"/>
      <c r="G4" s="2512"/>
      <c r="H4" s="2513"/>
      <c r="I4" s="2514">
        <f t="shared" ref="I4:I9" si="0">ROUND(D4*E4*F4*G4*H4/10000,0)</f>
        <v>0</v>
      </c>
    </row>
    <row r="5" spans="1:9">
      <c r="A5" s="3469"/>
      <c r="B5" s="3470" t="s">
        <v>2485</v>
      </c>
      <c r="C5" s="3470"/>
      <c r="D5" s="2511"/>
      <c r="E5" s="2509"/>
      <c r="F5" s="2512"/>
      <c r="G5" s="2512"/>
      <c r="H5" s="2513"/>
      <c r="I5" s="2514">
        <f t="shared" si="0"/>
        <v>0</v>
      </c>
    </row>
    <row r="6" spans="1:9">
      <c r="A6" s="3469"/>
      <c r="B6" s="3470" t="s">
        <v>2486</v>
      </c>
      <c r="C6" s="3470"/>
      <c r="D6" s="2511"/>
      <c r="E6" s="2509"/>
      <c r="F6" s="2512"/>
      <c r="G6" s="2512"/>
      <c r="H6" s="2513"/>
      <c r="I6" s="2514">
        <f t="shared" si="0"/>
        <v>0</v>
      </c>
    </row>
    <row r="7" spans="1:9">
      <c r="A7" s="3469"/>
      <c r="B7" s="3470" t="s">
        <v>2487</v>
      </c>
      <c r="C7" s="3470"/>
      <c r="D7" s="2511"/>
      <c r="E7" s="2509"/>
      <c r="F7" s="2512"/>
      <c r="G7" s="2512"/>
      <c r="H7" s="2513"/>
      <c r="I7" s="2514">
        <f t="shared" si="0"/>
        <v>0</v>
      </c>
    </row>
    <row r="8" spans="1:9">
      <c r="A8" s="3469"/>
      <c r="B8" s="3470" t="s">
        <v>2488</v>
      </c>
      <c r="C8" s="3470"/>
      <c r="D8" s="2511"/>
      <c r="E8" s="2509"/>
      <c r="F8" s="2512"/>
      <c r="G8" s="2512"/>
      <c r="H8" s="2513"/>
      <c r="I8" s="2514">
        <f t="shared" si="0"/>
        <v>0</v>
      </c>
    </row>
    <row r="9" spans="1:9">
      <c r="A9" s="3469"/>
      <c r="B9" s="3470" t="s">
        <v>2489</v>
      </c>
      <c r="C9" s="3470"/>
      <c r="D9" s="2511"/>
      <c r="E9" s="2509"/>
      <c r="F9" s="2512"/>
      <c r="G9" s="2512"/>
      <c r="H9" s="2513"/>
      <c r="I9" s="2514">
        <f t="shared" si="0"/>
        <v>0</v>
      </c>
    </row>
    <row r="10" spans="1:9">
      <c r="A10" s="3469"/>
      <c r="B10" s="3471" t="s">
        <v>2490</v>
      </c>
      <c r="C10" s="3471"/>
      <c r="D10" s="2515">
        <v>527</v>
      </c>
      <c r="E10" s="2515" t="e">
        <f>ROUND(D1*10000/D10/H9,0)</f>
        <v>#DIV/0!</v>
      </c>
      <c r="F10" s="2516"/>
      <c r="G10" s="2516"/>
      <c r="H10" s="2517"/>
      <c r="I10" s="2518">
        <f>SUM(I3:I9)</f>
        <v>0</v>
      </c>
    </row>
    <row r="11" spans="1:9" ht="14.25">
      <c r="A11" s="3469" t="s">
        <v>2491</v>
      </c>
      <c r="B11" s="3470" t="s">
        <v>2492</v>
      </c>
      <c r="C11" s="3470"/>
      <c r="D11" s="2511" t="s">
        <v>2493</v>
      </c>
      <c r="E11" s="2511" t="s">
        <v>2494</v>
      </c>
      <c r="F11" s="2512" t="s">
        <v>2495</v>
      </c>
      <c r="G11" s="2512" t="s">
        <v>2496</v>
      </c>
      <c r="H11" s="2519" t="s">
        <v>2497</v>
      </c>
      <c r="I11" s="2510" t="s">
        <v>2498</v>
      </c>
    </row>
    <row r="12" spans="1:9">
      <c r="A12" s="3469"/>
      <c r="B12" s="3470" t="s">
        <v>2499</v>
      </c>
      <c r="C12" s="3470"/>
      <c r="D12" s="2511"/>
      <c r="E12" s="2511"/>
      <c r="F12" s="2512"/>
      <c r="G12" s="2513"/>
      <c r="H12" s="2520"/>
      <c r="I12" s="2510">
        <f>ROUND(D12*E12*F12*G12/10000,0)</f>
        <v>0</v>
      </c>
    </row>
    <row r="13" spans="1:9">
      <c r="A13" s="3469"/>
      <c r="B13" s="3470" t="s">
        <v>2500</v>
      </c>
      <c r="C13" s="3470"/>
      <c r="D13" s="2511"/>
      <c r="E13" s="2511"/>
      <c r="F13" s="2512"/>
      <c r="G13" s="2513"/>
      <c r="H13" s="2520"/>
      <c r="I13" s="2510">
        <f>ROUND(D13*E13*F13*G13/10000,0)</f>
        <v>0</v>
      </c>
    </row>
    <row r="14" spans="1:9">
      <c r="A14" s="3469"/>
      <c r="B14" s="3470" t="s">
        <v>2501</v>
      </c>
      <c r="C14" s="3470"/>
      <c r="D14" s="2511"/>
      <c r="E14" s="2511"/>
      <c r="F14" s="2512"/>
      <c r="G14" s="2513"/>
      <c r="H14" s="2520"/>
      <c r="I14" s="2510">
        <f>ROUND(D14*E14*F14*G14/10000,0)</f>
        <v>0</v>
      </c>
    </row>
    <row r="15" spans="1:9">
      <c r="A15" s="3469"/>
      <c r="B15" s="3471" t="s">
        <v>2490</v>
      </c>
      <c r="C15" s="3471"/>
      <c r="D15" s="2515"/>
      <c r="E15" s="2515">
        <f>SUM(E12:E14)</f>
        <v>0</v>
      </c>
      <c r="F15" s="2516"/>
      <c r="G15" s="2513"/>
      <c r="H15" s="2520"/>
      <c r="I15" s="2521">
        <f>SUM(I12:I14)</f>
        <v>0</v>
      </c>
    </row>
    <row r="16" spans="1:9" ht="24">
      <c r="A16" s="3469" t="s">
        <v>2502</v>
      </c>
      <c r="B16" s="3470" t="s">
        <v>2503</v>
      </c>
      <c r="C16" s="3470"/>
      <c r="D16" s="2511" t="s">
        <v>2504</v>
      </c>
      <c r="E16" s="2522" t="s">
        <v>2505</v>
      </c>
      <c r="F16" s="2512" t="s">
        <v>2506</v>
      </c>
      <c r="G16" s="2513" t="s">
        <v>2496</v>
      </c>
      <c r="H16" s="2519" t="s">
        <v>2497</v>
      </c>
      <c r="I16" s="2510" t="s">
        <v>2498</v>
      </c>
    </row>
    <row r="17" spans="1:9" ht="14.25">
      <c r="A17" s="3469"/>
      <c r="B17" s="3470" t="s">
        <v>2507</v>
      </c>
      <c r="C17" s="3470"/>
      <c r="D17" s="2511"/>
      <c r="E17" s="2511"/>
      <c r="F17" s="2512"/>
      <c r="G17" s="2513"/>
      <c r="H17" s="2523"/>
      <c r="I17" s="2524">
        <f>ROUND(D17*E17*F17*G17/10000,0)</f>
        <v>0</v>
      </c>
    </row>
    <row r="18" spans="1:9" ht="14.25">
      <c r="A18" s="3469"/>
      <c r="B18" s="3470" t="s">
        <v>2508</v>
      </c>
      <c r="C18" s="3470"/>
      <c r="D18" s="2511"/>
      <c r="E18" s="2511"/>
      <c r="F18" s="2512"/>
      <c r="G18" s="2513"/>
      <c r="H18" s="2523"/>
      <c r="I18" s="2524">
        <f>ROUND(D18*E18*F18*G18/10000,0)</f>
        <v>0</v>
      </c>
    </row>
    <row r="19" spans="1:9" ht="14.25">
      <c r="A19" s="3469"/>
      <c r="B19" s="3470" t="s">
        <v>2509</v>
      </c>
      <c r="C19" s="3470"/>
      <c r="D19" s="2511"/>
      <c r="E19" s="2511"/>
      <c r="F19" s="2512"/>
      <c r="G19" s="2513"/>
      <c r="H19" s="2523"/>
      <c r="I19" s="2524">
        <f>ROUND(D19*E19*F19*G19/10000,0)</f>
        <v>0</v>
      </c>
    </row>
    <row r="20" spans="1:9">
      <c r="A20" s="3469"/>
      <c r="B20" s="3471" t="s">
        <v>2490</v>
      </c>
      <c r="C20" s="3471"/>
      <c r="D20" s="2515">
        <f>SUM(D17:D19)</f>
        <v>0</v>
      </c>
      <c r="E20" s="2515"/>
      <c r="F20" s="2516"/>
      <c r="G20" s="2513"/>
      <c r="H20" s="2520"/>
      <c r="I20" s="2521">
        <f>SUM(I17:I19)</f>
        <v>0</v>
      </c>
    </row>
    <row r="21" spans="1:9">
      <c r="A21" s="3469" t="s">
        <v>2510</v>
      </c>
      <c r="B21" s="3472"/>
      <c r="C21" s="3472"/>
      <c r="D21" s="3472"/>
      <c r="E21" s="3472"/>
      <c r="F21" s="3472"/>
      <c r="G21" s="3472"/>
      <c r="H21" s="2525">
        <v>0.1</v>
      </c>
      <c r="I21" s="2518">
        <f>ROUND(I10*H21,0)</f>
        <v>0</v>
      </c>
    </row>
    <row r="22" spans="1:9" ht="14.25">
      <c r="A22" s="3473" t="s">
        <v>2511</v>
      </c>
      <c r="B22" s="3474"/>
      <c r="C22" s="3475"/>
      <c r="D22" s="2526" t="s">
        <v>2512</v>
      </c>
      <c r="E22" s="2526" t="s">
        <v>2513</v>
      </c>
      <c r="F22" s="2527" t="s">
        <v>2514</v>
      </c>
      <c r="G22" s="2527" t="s">
        <v>2515</v>
      </c>
      <c r="H22" s="2519" t="s">
        <v>2516</v>
      </c>
      <c r="I22" s="2510" t="s">
        <v>2517</v>
      </c>
    </row>
    <row r="23" spans="1:9" ht="14.25" thickBot="1">
      <c r="A23" s="3476"/>
      <c r="B23" s="3477"/>
      <c r="C23" s="3478"/>
      <c r="D23" s="2528"/>
      <c r="E23" s="2528"/>
      <c r="F23" s="2528"/>
      <c r="G23" s="2529"/>
      <c r="H23" s="2530"/>
      <c r="I23" s="2531">
        <f>ROUND(E23*D23*F23*(1-G23)/10000,0)</f>
        <v>0</v>
      </c>
    </row>
    <row r="26" spans="1:9">
      <c r="A26" s="2532" t="s">
        <v>2518</v>
      </c>
      <c r="B26" s="2532"/>
      <c r="C26" s="2532"/>
      <c r="D26" s="2532"/>
      <c r="E26" s="3466">
        <f>C27-C30-C31-C32</f>
        <v>0</v>
      </c>
      <c r="F26" s="3466"/>
      <c r="G26" s="3466"/>
      <c r="H26" s="3046" t="s">
        <v>2845</v>
      </c>
    </row>
    <row r="27" spans="1:9">
      <c r="A27" s="2533">
        <v>1</v>
      </c>
      <c r="B27" s="2534" t="s">
        <v>2519</v>
      </c>
      <c r="C27" s="2534"/>
      <c r="D27" s="2534"/>
      <c r="E27" s="3467"/>
      <c r="F27" s="3467"/>
      <c r="G27" s="3467"/>
    </row>
    <row r="28" spans="1:9">
      <c r="A28" s="2535" t="s">
        <v>2520</v>
      </c>
      <c r="B28" s="2534" t="s">
        <v>2521</v>
      </c>
      <c r="C28" s="2534"/>
      <c r="D28" s="2534"/>
      <c r="E28" s="3467"/>
      <c r="F28" s="3467"/>
      <c r="G28" s="3467"/>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68"/>
      <c r="F32" s="3468"/>
      <c r="G32" s="3468"/>
    </row>
    <row r="33" spans="1:7" hidden="1">
      <c r="A33" s="3463" t="s">
        <v>2529</v>
      </c>
      <c r="B33" s="3464"/>
      <c r="C33" s="3464"/>
      <c r="D33" s="3465"/>
      <c r="E33" s="3466"/>
      <c r="F33" s="3466"/>
      <c r="G33" s="3466"/>
    </row>
    <row r="34" spans="1:7" hidden="1">
      <c r="A34" s="2537">
        <v>1</v>
      </c>
      <c r="B34" s="2534" t="s">
        <v>2530</v>
      </c>
      <c r="C34" s="2534"/>
      <c r="D34" s="2534"/>
      <c r="E34" s="3467"/>
      <c r="F34" s="3467"/>
      <c r="G34" s="3467"/>
    </row>
    <row r="35" spans="1:7" hidden="1">
      <c r="A35" s="2537">
        <v>2</v>
      </c>
      <c r="B35" s="2534" t="s">
        <v>2531</v>
      </c>
      <c r="C35" s="2534"/>
      <c r="D35" s="2534"/>
      <c r="E35" s="3467"/>
      <c r="F35" s="3467"/>
      <c r="G35" s="3467"/>
    </row>
    <row r="36" spans="1:7" hidden="1">
      <c r="A36" s="2537">
        <v>3</v>
      </c>
      <c r="B36" s="2534" t="s">
        <v>2532</v>
      </c>
      <c r="C36" s="2534"/>
      <c r="D36" s="2534"/>
      <c r="E36" s="3467"/>
      <c r="F36" s="3467"/>
      <c r="G36" s="3467"/>
    </row>
    <row r="37" spans="1:7" hidden="1">
      <c r="A37" s="2537">
        <v>4</v>
      </c>
      <c r="B37" s="2534" t="s">
        <v>2533</v>
      </c>
      <c r="C37" s="2534"/>
      <c r="D37" s="2534"/>
      <c r="E37" s="3467"/>
      <c r="F37" s="3467"/>
      <c r="G37" s="3467"/>
    </row>
    <row r="38" spans="1:7" hidden="1">
      <c r="A38" s="3463" t="s">
        <v>2534</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7" sqref="G3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80808</v>
      </c>
      <c r="E10" s="749">
        <f>'数据-取费表'!B31</f>
        <v>250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1616</v>
      </c>
      <c r="D13" s="758">
        <f>'数据-汇总表'!E6</f>
        <v>80808</v>
      </c>
      <c r="E13" s="757">
        <f>'数据-取费表'!B28</f>
        <v>200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0.749</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A4" sqref="A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90" t="s">
        <v>522</v>
      </c>
      <c r="D4" s="3391"/>
      <c r="E4" s="3414" t="s">
        <v>523</v>
      </c>
      <c r="F4" s="3415"/>
      <c r="G4" s="3390" t="s">
        <v>524</v>
      </c>
      <c r="H4" s="3391"/>
      <c r="I4" s="3390" t="s">
        <v>525</v>
      </c>
      <c r="J4" s="3391"/>
      <c r="K4" s="853" t="s">
        <v>526</v>
      </c>
      <c r="L4" s="2135"/>
      <c r="M4" s="2136"/>
      <c r="N4" s="2136"/>
      <c r="O4" s="2136"/>
      <c r="P4" s="3392" t="s">
        <v>527</v>
      </c>
      <c r="Q4" s="3393"/>
      <c r="R4" s="3378" t="s">
        <v>523</v>
      </c>
      <c r="S4" s="3379"/>
      <c r="T4" s="3378" t="s">
        <v>524</v>
      </c>
      <c r="U4" s="3379"/>
      <c r="V4" s="3398" t="s">
        <v>525</v>
      </c>
      <c r="W4" s="3398"/>
      <c r="X4" s="1568"/>
      <c r="Y4" s="3378" t="s">
        <v>527</v>
      </c>
      <c r="Z4" s="3379"/>
      <c r="AA4" s="3373" t="s">
        <v>523</v>
      </c>
      <c r="AB4" s="3373" t="s">
        <v>524</v>
      </c>
      <c r="AC4" s="3373" t="s">
        <v>525</v>
      </c>
    </row>
    <row r="5" spans="1:29" ht="15">
      <c r="A5" s="515"/>
      <c r="B5" s="516"/>
      <c r="C5" s="3401" t="s">
        <v>2930</v>
      </c>
      <c r="D5" s="3402"/>
      <c r="E5" s="3416" t="s">
        <v>2931</v>
      </c>
      <c r="F5" s="3417"/>
      <c r="G5" s="3401" t="s">
        <v>2932</v>
      </c>
      <c r="H5" s="3402"/>
      <c r="I5" s="3401" t="s">
        <v>2933</v>
      </c>
      <c r="J5" s="3402"/>
      <c r="K5" s="854"/>
      <c r="L5" s="2135"/>
      <c r="M5" s="2136"/>
      <c r="N5" s="2136"/>
      <c r="O5" s="2136"/>
      <c r="P5" s="3394"/>
      <c r="Q5" s="3395"/>
      <c r="R5" s="3380"/>
      <c r="S5" s="3381"/>
      <c r="T5" s="3380"/>
      <c r="U5" s="3381"/>
      <c r="V5" s="3398"/>
      <c r="W5" s="3398"/>
      <c r="X5" s="1568"/>
      <c r="Y5" s="3380"/>
      <c r="Z5" s="3381"/>
      <c r="AA5" s="3374"/>
      <c r="AB5" s="3374"/>
      <c r="AC5" s="3374"/>
    </row>
    <row r="6" spans="1:29" ht="15.75" thickBot="1">
      <c r="A6" s="517"/>
      <c r="B6" s="518"/>
      <c r="C6" s="3399" t="s">
        <v>2934</v>
      </c>
      <c r="D6" s="3400"/>
      <c r="E6" s="3419" t="s">
        <v>2934</v>
      </c>
      <c r="F6" s="3420"/>
      <c r="G6" s="3399" t="s">
        <v>2934</v>
      </c>
      <c r="H6" s="3400"/>
      <c r="I6" s="3399" t="s">
        <v>2934</v>
      </c>
      <c r="J6" s="3400"/>
      <c r="K6" s="854" t="s">
        <v>528</v>
      </c>
      <c r="L6" s="2135"/>
      <c r="M6" s="2136"/>
      <c r="N6" s="2136"/>
      <c r="O6" s="2136"/>
      <c r="P6" s="3396"/>
      <c r="Q6" s="3397"/>
      <c r="R6" s="3380"/>
      <c r="S6" s="3381"/>
      <c r="T6" s="3382"/>
      <c r="U6" s="3383"/>
      <c r="V6" s="3398"/>
      <c r="W6" s="3398"/>
      <c r="X6" s="1568"/>
      <c r="Y6" s="3382"/>
      <c r="Z6" s="3383"/>
      <c r="AA6" s="3375"/>
      <c r="AB6" s="3375"/>
      <c r="AC6" s="3375"/>
    </row>
    <row r="7" spans="1:29" s="1220" customFormat="1" ht="15.75" thickBot="1">
      <c r="A7" s="2914"/>
      <c r="B7" s="2921" t="s">
        <v>529</v>
      </c>
      <c r="C7" s="519">
        <f>'数据-取费表'!B2</f>
        <v>43290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76" t="s">
        <v>530</v>
      </c>
      <c r="Q7" s="3385"/>
      <c r="R7" s="1569" t="s">
        <v>13</v>
      </c>
      <c r="S7" s="1570">
        <f t="shared" ref="S7:S15" si="0">F7</f>
        <v>0</v>
      </c>
      <c r="T7" s="1569" t="s">
        <v>13</v>
      </c>
      <c r="U7" s="1570">
        <f t="shared" ref="U7:U15" si="1">H7</f>
        <v>0</v>
      </c>
      <c r="V7" s="1569" t="s">
        <v>13</v>
      </c>
      <c r="W7" s="1570">
        <f t="shared" ref="W7:W15" si="2">J7</f>
        <v>0</v>
      </c>
      <c r="X7" s="1571"/>
      <c r="Y7" s="3376" t="s">
        <v>530</v>
      </c>
      <c r="Z7" s="3377"/>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76" t="s">
        <v>533</v>
      </c>
      <c r="Q8" s="3377"/>
      <c r="R8" s="1569" t="s">
        <v>13</v>
      </c>
      <c r="S8" s="1570">
        <f t="shared" si="0"/>
        <v>0</v>
      </c>
      <c r="T8" s="1569" t="s">
        <v>13</v>
      </c>
      <c r="U8" s="1570">
        <f t="shared" si="1"/>
        <v>0</v>
      </c>
      <c r="V8" s="1569" t="s">
        <v>13</v>
      </c>
      <c r="W8" s="1570">
        <f t="shared" si="2"/>
        <v>0</v>
      </c>
      <c r="X8" s="1571"/>
      <c r="Y8" s="3376" t="s">
        <v>533</v>
      </c>
      <c r="Z8" s="3377"/>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84"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84"/>
      <c r="Q11" s="1151" t="str">
        <f t="shared" si="6"/>
        <v>容积率</v>
      </c>
      <c r="R11" s="1569" t="s">
        <v>11</v>
      </c>
      <c r="S11" s="1570" t="e">
        <f t="shared" si="0"/>
        <v>#N/A</v>
      </c>
      <c r="T11" s="1569" t="s">
        <v>11</v>
      </c>
      <c r="U11" s="1570" t="e">
        <f t="shared" si="1"/>
        <v>#N/A</v>
      </c>
      <c r="V11" s="1569" t="s">
        <v>11</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4"/>
      <c r="Q12" s="1151">
        <f t="shared" si="6"/>
        <v>111</v>
      </c>
      <c r="R12" s="1569" t="s">
        <v>11</v>
      </c>
      <c r="S12" s="1570">
        <f t="shared" si="0"/>
        <v>100</v>
      </c>
      <c r="T12" s="1569" t="s">
        <v>11</v>
      </c>
      <c r="U12" s="1570">
        <f t="shared" si="1"/>
        <v>100</v>
      </c>
      <c r="V12" s="1569" t="s">
        <v>11</v>
      </c>
      <c r="W12" s="1570">
        <f t="shared" si="2"/>
        <v>100</v>
      </c>
      <c r="X12" s="1571"/>
      <c r="Y12" s="3341"/>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4"/>
      <c r="Q13" s="1151">
        <f t="shared" si="6"/>
        <v>111</v>
      </c>
      <c r="R13" s="1569" t="s">
        <v>11</v>
      </c>
      <c r="S13" s="1570">
        <f t="shared" si="0"/>
        <v>100</v>
      </c>
      <c r="T13" s="1569" t="s">
        <v>11</v>
      </c>
      <c r="U13" s="1570">
        <f t="shared" si="1"/>
        <v>100</v>
      </c>
      <c r="V13" s="1569" t="s">
        <v>11</v>
      </c>
      <c r="W13" s="1570">
        <f t="shared" si="2"/>
        <v>100</v>
      </c>
      <c r="X13" s="1571"/>
      <c r="Y13" s="3341"/>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4"/>
      <c r="Q14" s="1151">
        <f t="shared" si="6"/>
        <v>111</v>
      </c>
      <c r="R14" s="1569" t="s">
        <v>11</v>
      </c>
      <c r="S14" s="1570">
        <f t="shared" si="0"/>
        <v>100</v>
      </c>
      <c r="T14" s="1569" t="s">
        <v>11</v>
      </c>
      <c r="U14" s="1570">
        <f t="shared" si="1"/>
        <v>100</v>
      </c>
      <c r="V14" s="1569" t="s">
        <v>11</v>
      </c>
      <c r="W14" s="1570">
        <f t="shared" si="2"/>
        <v>100</v>
      </c>
      <c r="X14" s="1571"/>
      <c r="Y14" s="3341"/>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6" t="s">
        <v>540</v>
      </c>
      <c r="Q15" s="1573" t="str">
        <f t="shared" si="6"/>
        <v>居住社区成熟度</v>
      </c>
      <c r="R15" s="1574" t="s">
        <v>11</v>
      </c>
      <c r="S15" s="1575">
        <f t="shared" si="0"/>
        <v>100</v>
      </c>
      <c r="T15" s="1574" t="s">
        <v>11</v>
      </c>
      <c r="U15" s="1575">
        <f t="shared" si="1"/>
        <v>100</v>
      </c>
      <c r="V15" s="1574" t="s">
        <v>11</v>
      </c>
      <c r="W15" s="1575">
        <f t="shared" si="2"/>
        <v>100</v>
      </c>
      <c r="X15" s="1568"/>
      <c r="Y15" s="338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7"/>
      <c r="Q16" s="1573"/>
      <c r="R16" s="1574"/>
      <c r="S16" s="1575"/>
      <c r="T16" s="1574"/>
      <c r="U16" s="1575"/>
      <c r="V16" s="1574"/>
      <c r="W16" s="1575"/>
      <c r="X16" s="1568"/>
      <c r="Y16" s="33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7"/>
      <c r="Q17" s="1573" t="str">
        <f>B17</f>
        <v>交通便捷度</v>
      </c>
      <c r="R17" s="1574" t="s">
        <v>11</v>
      </c>
      <c r="S17" s="1575">
        <f>F17</f>
        <v>100</v>
      </c>
      <c r="T17" s="1574" t="s">
        <v>11</v>
      </c>
      <c r="U17" s="1575">
        <f>H17</f>
        <v>100</v>
      </c>
      <c r="V17" s="1574" t="s">
        <v>11</v>
      </c>
      <c r="W17" s="1575">
        <f>J17</f>
        <v>100</v>
      </c>
      <c r="X17" s="1568"/>
      <c r="Y17" s="33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7"/>
      <c r="Q18" s="1573"/>
      <c r="R18" s="1574"/>
      <c r="S18" s="1575"/>
      <c r="T18" s="1574"/>
      <c r="U18" s="1575"/>
      <c r="V18" s="1574"/>
      <c r="W18" s="1575"/>
      <c r="X18" s="1568"/>
      <c r="Y18" s="3387"/>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7"/>
      <c r="Q19" s="1573" t="str">
        <f>B19</f>
        <v>公共配套设施</v>
      </c>
      <c r="R19" s="1574" t="s">
        <v>11</v>
      </c>
      <c r="S19" s="1575">
        <f>F19</f>
        <v>100</v>
      </c>
      <c r="T19" s="1574" t="s">
        <v>11</v>
      </c>
      <c r="U19" s="1575">
        <f>H19</f>
        <v>100</v>
      </c>
      <c r="V19" s="1574" t="s">
        <v>11</v>
      </c>
      <c r="W19" s="1575">
        <f>J19</f>
        <v>100</v>
      </c>
      <c r="X19" s="1568"/>
      <c r="Y19" s="33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7"/>
      <c r="Q20" s="1573"/>
      <c r="R20" s="1574"/>
      <c r="S20" s="1575"/>
      <c r="T20" s="1574"/>
      <c r="U20" s="1575"/>
      <c r="V20" s="1574"/>
      <c r="W20" s="1575"/>
      <c r="X20" s="1568"/>
      <c r="Y20" s="3387"/>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7"/>
      <c r="Q21" s="2581" t="str">
        <f>B21</f>
        <v>基础设施水平</v>
      </c>
      <c r="R21" s="1574" t="s">
        <v>11</v>
      </c>
      <c r="S21" s="1575">
        <f>F21</f>
        <v>100</v>
      </c>
      <c r="T21" s="1574" t="s">
        <v>11</v>
      </c>
      <c r="U21" s="1575">
        <f>H21</f>
        <v>100</v>
      </c>
      <c r="V21" s="1574" t="s">
        <v>11</v>
      </c>
      <c r="W21" s="1575">
        <f>J21</f>
        <v>100</v>
      </c>
      <c r="X21" s="2583"/>
      <c r="Y21" s="3387"/>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87"/>
      <c r="Q22" s="2581"/>
      <c r="R22" s="1574"/>
      <c r="S22" s="1575"/>
      <c r="T22" s="1574"/>
      <c r="U22" s="1575"/>
      <c r="V22" s="1574"/>
      <c r="W22" s="1575"/>
      <c r="X22" s="2583"/>
      <c r="Y22" s="3387"/>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7"/>
      <c r="Q23" s="1573" t="str">
        <f>B23</f>
        <v>自然及人文环境</v>
      </c>
      <c r="R23" s="1574" t="s">
        <v>11</v>
      </c>
      <c r="S23" s="1575">
        <f>F23</f>
        <v>100</v>
      </c>
      <c r="T23" s="1574" t="s">
        <v>11</v>
      </c>
      <c r="U23" s="1575">
        <f>H23</f>
        <v>100</v>
      </c>
      <c r="V23" s="1574" t="s">
        <v>11</v>
      </c>
      <c r="W23" s="1575">
        <f>J23</f>
        <v>100</v>
      </c>
      <c r="X23" s="1568"/>
      <c r="Y23" s="33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7"/>
      <c r="Q24" s="1573"/>
      <c r="R24" s="1574"/>
      <c r="S24" s="1575"/>
      <c r="T24" s="1574"/>
      <c r="U24" s="1575"/>
      <c r="V24" s="1574"/>
      <c r="W24" s="1575"/>
      <c r="X24" s="1568"/>
      <c r="Y24" s="3387"/>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7"/>
      <c r="Q25" s="1573" t="str">
        <f t="shared" ref="Q25:Q46" si="11">B25</f>
        <v>楼层-1</v>
      </c>
      <c r="R25" s="1574" t="s">
        <v>11</v>
      </c>
      <c r="S25" s="1575">
        <f>F25</f>
        <v>100</v>
      </c>
      <c r="T25" s="1574" t="s">
        <v>11</v>
      </c>
      <c r="U25" s="1575">
        <f>H25</f>
        <v>100</v>
      </c>
      <c r="V25" s="1574" t="s">
        <v>11</v>
      </c>
      <c r="W25" s="1575">
        <f>J25</f>
        <v>100</v>
      </c>
      <c r="X25" s="1568"/>
      <c r="Y25" s="338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7"/>
      <c r="Q26" s="1573" t="str">
        <f t="shared" si="11"/>
        <v>朝向</v>
      </c>
      <c r="R26" s="1574" t="s">
        <v>11</v>
      </c>
      <c r="S26" s="1575">
        <f>F26</f>
        <v>100</v>
      </c>
      <c r="T26" s="1574" t="s">
        <v>11</v>
      </c>
      <c r="U26" s="1575">
        <f>H26</f>
        <v>100</v>
      </c>
      <c r="V26" s="1574" t="s">
        <v>11</v>
      </c>
      <c r="W26" s="1575">
        <f>J26</f>
        <v>100</v>
      </c>
      <c r="X26" s="1568"/>
      <c r="Y26" s="338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7"/>
      <c r="Q27" s="1151" t="str">
        <f t="shared" si="11"/>
        <v>道路级别</v>
      </c>
      <c r="R27" s="1569" t="s">
        <v>11</v>
      </c>
      <c r="S27" s="1570">
        <f>F27</f>
        <v>100</v>
      </c>
      <c r="T27" s="1569" t="s">
        <v>11</v>
      </c>
      <c r="U27" s="1570">
        <f>H27</f>
        <v>100</v>
      </c>
      <c r="V27" s="1569" t="s">
        <v>11</v>
      </c>
      <c r="W27" s="1570">
        <f>J27</f>
        <v>100</v>
      </c>
      <c r="X27" s="1571"/>
      <c r="Y27" s="338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7"/>
      <c r="Q29" s="1573">
        <f t="shared" si="11"/>
        <v>111</v>
      </c>
      <c r="R29" s="1574" t="s">
        <v>11</v>
      </c>
      <c r="S29" s="1575">
        <f t="shared" si="12"/>
        <v>100</v>
      </c>
      <c r="T29" s="1574" t="s">
        <v>11</v>
      </c>
      <c r="U29" s="1575">
        <f t="shared" si="13"/>
        <v>100</v>
      </c>
      <c r="V29" s="1574" t="s">
        <v>11</v>
      </c>
      <c r="W29" s="1575">
        <f t="shared" si="14"/>
        <v>100</v>
      </c>
      <c r="X29" s="1568"/>
      <c r="Y29" s="33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7"/>
      <c r="Q30" s="1573">
        <f t="shared" si="11"/>
        <v>111</v>
      </c>
      <c r="R30" s="1574" t="s">
        <v>11</v>
      </c>
      <c r="S30" s="1575">
        <f t="shared" si="12"/>
        <v>100</v>
      </c>
      <c r="T30" s="1574" t="s">
        <v>11</v>
      </c>
      <c r="U30" s="1575">
        <f t="shared" si="13"/>
        <v>100</v>
      </c>
      <c r="V30" s="1574" t="s">
        <v>11</v>
      </c>
      <c r="W30" s="1575">
        <f t="shared" si="14"/>
        <v>100</v>
      </c>
      <c r="X30" s="1568"/>
      <c r="Y30" s="338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7"/>
      <c r="Q31" s="1573">
        <f t="shared" si="11"/>
        <v>111</v>
      </c>
      <c r="R31" s="1574" t="s">
        <v>11</v>
      </c>
      <c r="S31" s="1575">
        <f t="shared" si="12"/>
        <v>100</v>
      </c>
      <c r="T31" s="1574" t="s">
        <v>11</v>
      </c>
      <c r="U31" s="1575">
        <f t="shared" si="13"/>
        <v>100</v>
      </c>
      <c r="V31" s="1574" t="s">
        <v>11</v>
      </c>
      <c r="W31" s="1575">
        <f t="shared" si="14"/>
        <v>100</v>
      </c>
      <c r="X31" s="1568"/>
      <c r="Y31" s="3387"/>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88" t="s">
        <v>550</v>
      </c>
      <c r="Q32" s="1573" t="str">
        <f t="shared" si="11"/>
        <v>建筑类型</v>
      </c>
      <c r="R32" s="1574" t="s">
        <v>11</v>
      </c>
      <c r="S32" s="1575">
        <f t="shared" si="12"/>
        <v>100</v>
      </c>
      <c r="T32" s="1574" t="s">
        <v>11</v>
      </c>
      <c r="U32" s="1575">
        <f t="shared" si="13"/>
        <v>100</v>
      </c>
      <c r="V32" s="1574" t="s">
        <v>11</v>
      </c>
      <c r="W32" s="1575">
        <f t="shared" si="14"/>
        <v>100</v>
      </c>
      <c r="X32" s="1568"/>
      <c r="Y32" s="338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89"/>
      <c r="Q33" s="1606" t="str">
        <f t="shared" si="11"/>
        <v>项目建筑规模</v>
      </c>
      <c r="R33" s="1578" t="s">
        <v>11</v>
      </c>
      <c r="S33" s="1579" t="e">
        <f t="shared" si="12"/>
        <v>#N/A</v>
      </c>
      <c r="T33" s="1578" t="s">
        <v>11</v>
      </c>
      <c r="U33" s="1579" t="e">
        <f t="shared" si="13"/>
        <v>#N/A</v>
      </c>
      <c r="V33" s="1578" t="s">
        <v>11</v>
      </c>
      <c r="W33" s="1579" t="e">
        <f t="shared" si="14"/>
        <v>#N/A</v>
      </c>
      <c r="X33" s="1580"/>
      <c r="Y33" s="338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89"/>
      <c r="Q34" s="1573" t="str">
        <f t="shared" si="11"/>
        <v>建筑结构</v>
      </c>
      <c r="R34" s="1574" t="s">
        <v>11</v>
      </c>
      <c r="S34" s="1575">
        <f t="shared" si="12"/>
        <v>100</v>
      </c>
      <c r="T34" s="1574" t="s">
        <v>11</v>
      </c>
      <c r="U34" s="1575">
        <f t="shared" si="13"/>
        <v>100</v>
      </c>
      <c r="V34" s="1574" t="s">
        <v>11</v>
      </c>
      <c r="W34" s="1575">
        <f t="shared" si="14"/>
        <v>100</v>
      </c>
      <c r="X34" s="1568"/>
      <c r="Y34" s="338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89"/>
      <c r="Q35" s="1573" t="str">
        <f t="shared" si="11"/>
        <v>建筑品质</v>
      </c>
      <c r="R35" s="1574" t="s">
        <v>11</v>
      </c>
      <c r="S35" s="1575">
        <f t="shared" si="12"/>
        <v>100</v>
      </c>
      <c r="T35" s="1574" t="s">
        <v>11</v>
      </c>
      <c r="U35" s="1575">
        <f t="shared" si="13"/>
        <v>100</v>
      </c>
      <c r="V35" s="1574" t="s">
        <v>11</v>
      </c>
      <c r="W35" s="1575">
        <f t="shared" si="14"/>
        <v>100</v>
      </c>
      <c r="X35" s="1568"/>
      <c r="Y35" s="338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89"/>
      <c r="Q36" s="1573" t="str">
        <f t="shared" si="11"/>
        <v>公共部分装修</v>
      </c>
      <c r="R36" s="1574" t="s">
        <v>11</v>
      </c>
      <c r="S36" s="1575">
        <f t="shared" si="12"/>
        <v>100</v>
      </c>
      <c r="T36" s="1574" t="s">
        <v>11</v>
      </c>
      <c r="U36" s="1575">
        <f t="shared" si="13"/>
        <v>100</v>
      </c>
      <c r="V36" s="1574" t="s">
        <v>11</v>
      </c>
      <c r="W36" s="1575">
        <f t="shared" si="14"/>
        <v>100</v>
      </c>
      <c r="X36" s="1568"/>
      <c r="Y36" s="338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89"/>
      <c r="Q37" s="1151" t="str">
        <f t="shared" si="11"/>
        <v>成新度</v>
      </c>
      <c r="R37" s="1569" t="s">
        <v>11</v>
      </c>
      <c r="S37" s="1570" t="e">
        <f t="shared" si="12"/>
        <v>#N/A</v>
      </c>
      <c r="T37" s="1569" t="s">
        <v>11</v>
      </c>
      <c r="U37" s="1570" t="e">
        <f t="shared" si="13"/>
        <v>#N/A</v>
      </c>
      <c r="V37" s="1569" t="s">
        <v>11</v>
      </c>
      <c r="W37" s="1570" t="e">
        <f t="shared" si="14"/>
        <v>#N/A</v>
      </c>
      <c r="X37" s="1571"/>
      <c r="Y37" s="338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89" t="s">
        <v>550</v>
      </c>
      <c r="Q38" s="1573" t="str">
        <f t="shared" si="11"/>
        <v>物业管理</v>
      </c>
      <c r="R38" s="1574" t="s">
        <v>11</v>
      </c>
      <c r="S38" s="1575">
        <f t="shared" si="12"/>
        <v>100</v>
      </c>
      <c r="T38" s="1574" t="s">
        <v>11</v>
      </c>
      <c r="U38" s="1575">
        <f t="shared" si="13"/>
        <v>100</v>
      </c>
      <c r="V38" s="1574" t="s">
        <v>11</v>
      </c>
      <c r="W38" s="1575">
        <f t="shared" si="14"/>
        <v>100</v>
      </c>
      <c r="X38" s="1568"/>
      <c r="Y38" s="3389"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89"/>
      <c r="Q39" s="1573" t="str">
        <f t="shared" si="11"/>
        <v>市政基础设施</v>
      </c>
      <c r="R39" s="1574" t="s">
        <v>11</v>
      </c>
      <c r="S39" s="1575">
        <f t="shared" si="12"/>
        <v>100</v>
      </c>
      <c r="T39" s="1574" t="s">
        <v>11</v>
      </c>
      <c r="U39" s="1575">
        <f t="shared" si="13"/>
        <v>100</v>
      </c>
      <c r="V39" s="1574" t="s">
        <v>11</v>
      </c>
      <c r="W39" s="1575">
        <f t="shared" si="14"/>
        <v>100</v>
      </c>
      <c r="X39" s="1568"/>
      <c r="Y39" s="338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89"/>
      <c r="Q40" s="1573" t="str">
        <f t="shared" si="11"/>
        <v>房型</v>
      </c>
      <c r="R40" s="1574" t="s">
        <v>11</v>
      </c>
      <c r="S40" s="1575">
        <f t="shared" si="12"/>
        <v>100</v>
      </c>
      <c r="T40" s="1574" t="s">
        <v>11</v>
      </c>
      <c r="U40" s="1575">
        <f t="shared" si="13"/>
        <v>100</v>
      </c>
      <c r="V40" s="1574" t="s">
        <v>11</v>
      </c>
      <c r="W40" s="1575">
        <f t="shared" si="14"/>
        <v>100</v>
      </c>
      <c r="X40" s="1568"/>
      <c r="Y40" s="338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9"/>
      <c r="Q41" s="1606" t="str">
        <f t="shared" si="11"/>
        <v>单套/主力户型建筑面积</v>
      </c>
      <c r="R41" s="1578" t="s">
        <v>11</v>
      </c>
      <c r="S41" s="1579">
        <f t="shared" si="12"/>
        <v>100</v>
      </c>
      <c r="T41" s="1578" t="s">
        <v>11</v>
      </c>
      <c r="U41" s="1579">
        <f t="shared" si="13"/>
        <v>100</v>
      </c>
      <c r="V41" s="1578" t="s">
        <v>11</v>
      </c>
      <c r="W41" s="1579">
        <f t="shared" si="14"/>
        <v>100</v>
      </c>
      <c r="X41" s="1580"/>
      <c r="Y41" s="338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89"/>
      <c r="Q42" s="1573" t="str">
        <f t="shared" si="11"/>
        <v>内部装修</v>
      </c>
      <c r="R42" s="1574" t="s">
        <v>11</v>
      </c>
      <c r="S42" s="1575">
        <f t="shared" si="12"/>
        <v>100</v>
      </c>
      <c r="T42" s="1574" t="s">
        <v>11</v>
      </c>
      <c r="U42" s="1575">
        <f t="shared" si="13"/>
        <v>100</v>
      </c>
      <c r="V42" s="1574" t="s">
        <v>11</v>
      </c>
      <c r="W42" s="1575">
        <f t="shared" si="14"/>
        <v>100</v>
      </c>
      <c r="X42" s="1568"/>
      <c r="Y42" s="338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89"/>
      <c r="Q43" s="1573" t="str">
        <f t="shared" si="11"/>
        <v>内部装修维护情况</v>
      </c>
      <c r="R43" s="1574" t="s">
        <v>11</v>
      </c>
      <c r="S43" s="1575">
        <f t="shared" si="12"/>
        <v>100</v>
      </c>
      <c r="T43" s="1574" t="s">
        <v>11</v>
      </c>
      <c r="U43" s="1575">
        <f t="shared" si="13"/>
        <v>100</v>
      </c>
      <c r="V43" s="1574" t="s">
        <v>11</v>
      </c>
      <c r="W43" s="1575">
        <f t="shared" si="14"/>
        <v>100</v>
      </c>
      <c r="X43" s="1568"/>
      <c r="Y43" s="33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9"/>
      <c r="Q44" s="1151">
        <f t="shared" si="11"/>
        <v>111</v>
      </c>
      <c r="R44" s="1569" t="s">
        <v>11</v>
      </c>
      <c r="S44" s="1570">
        <f t="shared" si="12"/>
        <v>100</v>
      </c>
      <c r="T44" s="1569" t="s">
        <v>11</v>
      </c>
      <c r="U44" s="1570">
        <f t="shared" si="13"/>
        <v>100</v>
      </c>
      <c r="V44" s="1569" t="s">
        <v>11</v>
      </c>
      <c r="W44" s="1570">
        <f t="shared" si="14"/>
        <v>100</v>
      </c>
      <c r="X44" s="1571"/>
      <c r="Y44" s="33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9"/>
      <c r="Q45" s="1573">
        <f t="shared" si="11"/>
        <v>111</v>
      </c>
      <c r="R45" s="1574" t="s">
        <v>11</v>
      </c>
      <c r="S45" s="1575">
        <f t="shared" si="12"/>
        <v>100</v>
      </c>
      <c r="T45" s="1574" t="s">
        <v>11</v>
      </c>
      <c r="U45" s="1575">
        <f t="shared" si="13"/>
        <v>100</v>
      </c>
      <c r="V45" s="1574" t="s">
        <v>11</v>
      </c>
      <c r="W45" s="1575">
        <f t="shared" si="14"/>
        <v>100</v>
      </c>
      <c r="X45" s="1568"/>
      <c r="Y45" s="338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6"/>
      <c r="Q46" s="1573">
        <f t="shared" si="11"/>
        <v>111</v>
      </c>
      <c r="R46" s="1574" t="s">
        <v>10</v>
      </c>
      <c r="S46" s="1575">
        <f t="shared" si="12"/>
        <v>100</v>
      </c>
      <c r="T46" s="1574" t="s">
        <v>10</v>
      </c>
      <c r="U46" s="1575">
        <f t="shared" si="13"/>
        <v>100</v>
      </c>
      <c r="V46" s="1574" t="s">
        <v>10</v>
      </c>
      <c r="W46" s="1575">
        <f t="shared" si="14"/>
        <v>100</v>
      </c>
      <c r="X46" s="1568"/>
      <c r="Y46" s="3486"/>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384" t="str">
        <f>A47</f>
        <v>成交单价（元/平方米）</v>
      </c>
      <c r="Q47" s="3384"/>
      <c r="R47" s="3485">
        <f>E47</f>
        <v>0</v>
      </c>
      <c r="S47" s="3485"/>
      <c r="T47" s="3485">
        <f>G47</f>
        <v>0</v>
      </c>
      <c r="U47" s="3485"/>
      <c r="V47" s="3485">
        <f>I47</f>
        <v>0</v>
      </c>
      <c r="W47" s="3485"/>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09"/>
      <c r="L49" s="2146"/>
      <c r="M49" s="2147"/>
      <c r="N49" s="2147"/>
      <c r="O49" s="2147"/>
      <c r="P49" s="3405" t="str">
        <f>A49</f>
        <v>估价对象XX用房的比较价格（楼面单价，元/平方米）</v>
      </c>
      <c r="Q49" s="3406"/>
      <c r="R49" s="3484" t="e">
        <f>IF(F1="售价",ROUND(AVERAGE(R48:V48),0),ROUND(AVERAGE(R48:V48),1))</f>
        <v>#DIV/0!</v>
      </c>
      <c r="S49" s="3484"/>
      <c r="T49" s="3484"/>
      <c r="U49" s="3484"/>
      <c r="V49" s="3484"/>
      <c r="W49" s="348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90" t="s">
        <v>522</v>
      </c>
      <c r="D4" s="3391"/>
      <c r="E4" s="3414" t="s">
        <v>523</v>
      </c>
      <c r="F4" s="3415"/>
      <c r="G4" s="3390" t="s">
        <v>524</v>
      </c>
      <c r="H4" s="3391"/>
      <c r="I4" s="3390" t="s">
        <v>525</v>
      </c>
      <c r="J4" s="3391"/>
      <c r="K4" s="514" t="s">
        <v>526</v>
      </c>
      <c r="L4" s="2135"/>
      <c r="M4" s="2136"/>
      <c r="N4" s="2136"/>
      <c r="O4" s="2136"/>
      <c r="P4" s="3392" t="s">
        <v>527</v>
      </c>
      <c r="Q4" s="3393"/>
      <c r="R4" s="3378" t="s">
        <v>523</v>
      </c>
      <c r="S4" s="3379"/>
      <c r="T4" s="3378" t="s">
        <v>524</v>
      </c>
      <c r="U4" s="3379"/>
      <c r="V4" s="3398" t="s">
        <v>525</v>
      </c>
      <c r="W4" s="3398"/>
      <c r="X4" s="1568"/>
      <c r="Y4" s="3378" t="s">
        <v>527</v>
      </c>
      <c r="Z4" s="3379"/>
      <c r="AA4" s="3373" t="s">
        <v>523</v>
      </c>
      <c r="AB4" s="3398" t="s">
        <v>524</v>
      </c>
      <c r="AC4" s="3373" t="s">
        <v>525</v>
      </c>
    </row>
    <row r="5" spans="1:29" ht="15">
      <c r="A5" s="515"/>
      <c r="B5" s="516"/>
      <c r="C5" s="3401" t="s">
        <v>2930</v>
      </c>
      <c r="D5" s="3402"/>
      <c r="E5" s="3416" t="s">
        <v>2931</v>
      </c>
      <c r="F5" s="3417"/>
      <c r="G5" s="3401" t="s">
        <v>2932</v>
      </c>
      <c r="H5" s="3402"/>
      <c r="I5" s="3401" t="s">
        <v>2933</v>
      </c>
      <c r="J5" s="3402"/>
      <c r="K5" s="514"/>
      <c r="L5" s="2135"/>
      <c r="M5" s="2136"/>
      <c r="N5" s="2136"/>
      <c r="O5" s="2136"/>
      <c r="P5" s="3394"/>
      <c r="Q5" s="3395"/>
      <c r="R5" s="3380"/>
      <c r="S5" s="3381"/>
      <c r="T5" s="3380"/>
      <c r="U5" s="3381"/>
      <c r="V5" s="3398"/>
      <c r="W5" s="3398"/>
      <c r="X5" s="1568"/>
      <c r="Y5" s="3380"/>
      <c r="Z5" s="3381"/>
      <c r="AA5" s="3374"/>
      <c r="AB5" s="3398"/>
      <c r="AC5" s="3374"/>
    </row>
    <row r="6" spans="1:29" ht="15.75" thickBot="1">
      <c r="A6" s="517"/>
      <c r="B6" s="518"/>
      <c r="C6" s="3399" t="s">
        <v>2934</v>
      </c>
      <c r="D6" s="3400"/>
      <c r="E6" s="3419" t="s">
        <v>2934</v>
      </c>
      <c r="F6" s="3420"/>
      <c r="G6" s="3399" t="s">
        <v>2934</v>
      </c>
      <c r="H6" s="3400"/>
      <c r="I6" s="3399" t="s">
        <v>2934</v>
      </c>
      <c r="J6" s="3400"/>
      <c r="K6" s="514" t="s">
        <v>528</v>
      </c>
      <c r="L6" s="2135"/>
      <c r="M6" s="2136"/>
      <c r="N6" s="2136"/>
      <c r="O6" s="2136"/>
      <c r="P6" s="3396"/>
      <c r="Q6" s="3397"/>
      <c r="R6" s="3380"/>
      <c r="S6" s="3381"/>
      <c r="T6" s="3382"/>
      <c r="U6" s="3383"/>
      <c r="V6" s="3398"/>
      <c r="W6" s="3398"/>
      <c r="X6" s="1568"/>
      <c r="Y6" s="3382"/>
      <c r="Z6" s="3383"/>
      <c r="AA6" s="3375"/>
      <c r="AB6" s="3398"/>
      <c r="AC6" s="3375"/>
    </row>
    <row r="7" spans="1:29" s="1220" customFormat="1" ht="15.75" thickBot="1">
      <c r="A7" s="2914"/>
      <c r="B7" s="2921" t="s">
        <v>529</v>
      </c>
      <c r="C7" s="519">
        <f>'数据-取费表'!B2</f>
        <v>43290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76" t="s">
        <v>530</v>
      </c>
      <c r="Q7" s="3385"/>
      <c r="R7" s="1569" t="s">
        <v>8</v>
      </c>
      <c r="S7" s="1570">
        <f t="shared" ref="S7:S15" si="0">F7</f>
        <v>0</v>
      </c>
      <c r="T7" s="1569" t="s">
        <v>8</v>
      </c>
      <c r="U7" s="1570">
        <f t="shared" ref="U7:U15" si="1">H7</f>
        <v>0</v>
      </c>
      <c r="V7" s="1569" t="s">
        <v>8</v>
      </c>
      <c r="W7" s="1570">
        <f t="shared" ref="W7:W15" si="2">J7</f>
        <v>0</v>
      </c>
      <c r="X7" s="1571"/>
      <c r="Y7" s="3376" t="s">
        <v>530</v>
      </c>
      <c r="Z7" s="3377"/>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76" t="s">
        <v>533</v>
      </c>
      <c r="Q8" s="3377"/>
      <c r="R8" s="1569" t="s">
        <v>8</v>
      </c>
      <c r="S8" s="1570">
        <f t="shared" si="0"/>
        <v>0</v>
      </c>
      <c r="T8" s="1569" t="s">
        <v>8</v>
      </c>
      <c r="U8" s="1570">
        <f t="shared" si="1"/>
        <v>0</v>
      </c>
      <c r="V8" s="1569" t="s">
        <v>8</v>
      </c>
      <c r="W8" s="1570">
        <f t="shared" si="2"/>
        <v>0</v>
      </c>
      <c r="X8" s="1571"/>
      <c r="Y8" s="3376" t="s">
        <v>533</v>
      </c>
      <c r="Z8" s="3377"/>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4"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4"/>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4"/>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6" t="s">
        <v>540</v>
      </c>
      <c r="Q15" s="1573" t="str">
        <f t="shared" si="6"/>
        <v>商业繁华度</v>
      </c>
      <c r="R15" s="1574" t="s">
        <v>8</v>
      </c>
      <c r="S15" s="1575">
        <f t="shared" si="0"/>
        <v>100</v>
      </c>
      <c r="T15" s="1574" t="s">
        <v>8</v>
      </c>
      <c r="U15" s="1575">
        <f t="shared" si="1"/>
        <v>100</v>
      </c>
      <c r="V15" s="1574" t="s">
        <v>8</v>
      </c>
      <c r="W15" s="1575">
        <f t="shared" si="2"/>
        <v>100</v>
      </c>
      <c r="X15" s="1568"/>
      <c r="Y15" s="338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7"/>
      <c r="Q16" s="1573"/>
      <c r="R16" s="1574"/>
      <c r="S16" s="1575"/>
      <c r="T16" s="1574"/>
      <c r="U16" s="1575"/>
      <c r="V16" s="1574"/>
      <c r="W16" s="1575"/>
      <c r="X16" s="1568"/>
      <c r="Y16" s="33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7"/>
      <c r="Q18" s="1573"/>
      <c r="R18" s="1574"/>
      <c r="S18" s="1575"/>
      <c r="T18" s="1574"/>
      <c r="U18" s="1575"/>
      <c r="V18" s="1574"/>
      <c r="W18" s="1575"/>
      <c r="X18" s="1568"/>
      <c r="Y18" s="3387"/>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7"/>
      <c r="Q20" s="1573"/>
      <c r="R20" s="1574"/>
      <c r="S20" s="1575"/>
      <c r="T20" s="1574"/>
      <c r="U20" s="1575"/>
      <c r="V20" s="1574"/>
      <c r="W20" s="1575"/>
      <c r="X20" s="1568"/>
      <c r="Y20" s="3387"/>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7"/>
      <c r="Q21" s="2581" t="str">
        <f>B21</f>
        <v>基础设施水平</v>
      </c>
      <c r="R21" s="1574" t="s">
        <v>8</v>
      </c>
      <c r="S21" s="1575">
        <f>F21</f>
        <v>100</v>
      </c>
      <c r="T21" s="1574" t="s">
        <v>8</v>
      </c>
      <c r="U21" s="1575">
        <f>H21</f>
        <v>100</v>
      </c>
      <c r="V21" s="1574" t="s">
        <v>8</v>
      </c>
      <c r="W21" s="1575">
        <f>J21</f>
        <v>100</v>
      </c>
      <c r="X21" s="2583"/>
      <c r="Y21" s="3387"/>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87"/>
      <c r="Q22" s="2581"/>
      <c r="R22" s="1574"/>
      <c r="S22" s="1575"/>
      <c r="T22" s="1574"/>
      <c r="U22" s="1575"/>
      <c r="V22" s="1574"/>
      <c r="W22" s="1575"/>
      <c r="X22" s="2583"/>
      <c r="Y22" s="3387"/>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7"/>
      <c r="Q23" s="1573" t="str">
        <f>B23</f>
        <v>自然及人文环境</v>
      </c>
      <c r="R23" s="1574" t="s">
        <v>8</v>
      </c>
      <c r="S23" s="1575">
        <f>F23</f>
        <v>100</v>
      </c>
      <c r="T23" s="1574" t="s">
        <v>8</v>
      </c>
      <c r="U23" s="1575">
        <f>H23</f>
        <v>100</v>
      </c>
      <c r="V23" s="1574" t="s">
        <v>8</v>
      </c>
      <c r="W23" s="1575">
        <f>J23</f>
        <v>100</v>
      </c>
      <c r="X23" s="1568"/>
      <c r="Y23" s="33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7"/>
      <c r="Q24" s="1573"/>
      <c r="R24" s="1574"/>
      <c r="S24" s="1575"/>
      <c r="T24" s="1574"/>
      <c r="U24" s="1575"/>
      <c r="V24" s="1574"/>
      <c r="W24" s="1575"/>
      <c r="X24" s="1568"/>
      <c r="Y24" s="338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7"/>
      <c r="Q25" s="1573" t="str">
        <f t="shared" ref="Q25:Q46" si="11">B25</f>
        <v>临街状况</v>
      </c>
      <c r="R25" s="1574" t="s">
        <v>8</v>
      </c>
      <c r="S25" s="1575">
        <f>F25</f>
        <v>100</v>
      </c>
      <c r="T25" s="1574" t="s">
        <v>8</v>
      </c>
      <c r="U25" s="1575">
        <f>H25</f>
        <v>100</v>
      </c>
      <c r="V25" s="1574" t="s">
        <v>8</v>
      </c>
      <c r="W25" s="1575">
        <f>J25</f>
        <v>100</v>
      </c>
      <c r="X25" s="1568"/>
      <c r="Y25" s="338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7"/>
      <c r="Q26" s="1573" t="str">
        <f t="shared" si="11"/>
        <v>平面位置/可视性</v>
      </c>
      <c r="R26" s="1574" t="s">
        <v>8</v>
      </c>
      <c r="S26" s="1575">
        <f>F26</f>
        <v>100</v>
      </c>
      <c r="T26" s="1574" t="s">
        <v>8</v>
      </c>
      <c r="U26" s="1575">
        <f>H26</f>
        <v>100</v>
      </c>
      <c r="V26" s="1574" t="s">
        <v>8</v>
      </c>
      <c r="W26" s="1575">
        <f>J26</f>
        <v>100</v>
      </c>
      <c r="X26" s="1568"/>
      <c r="Y26" s="338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7"/>
      <c r="Q27" s="1151" t="str">
        <f t="shared" si="11"/>
        <v>人流量</v>
      </c>
      <c r="R27" s="1569" t="s">
        <v>8</v>
      </c>
      <c r="S27" s="1570">
        <f>F27</f>
        <v>100</v>
      </c>
      <c r="T27" s="1569" t="s">
        <v>8</v>
      </c>
      <c r="U27" s="1570">
        <f>H27</f>
        <v>100</v>
      </c>
      <c r="V27" s="1569" t="s">
        <v>8</v>
      </c>
      <c r="W27" s="1570">
        <f>J27</f>
        <v>100</v>
      </c>
      <c r="X27" s="1571"/>
      <c r="Y27" s="338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7"/>
      <c r="Q29" s="1573">
        <f t="shared" si="11"/>
        <v>111</v>
      </c>
      <c r="R29" s="1574" t="s">
        <v>8</v>
      </c>
      <c r="S29" s="1575">
        <f t="shared" si="12"/>
        <v>100</v>
      </c>
      <c r="T29" s="1574" t="s">
        <v>8</v>
      </c>
      <c r="U29" s="1575">
        <f t="shared" si="13"/>
        <v>100</v>
      </c>
      <c r="V29" s="1574" t="s">
        <v>8</v>
      </c>
      <c r="W29" s="1575">
        <f t="shared" si="14"/>
        <v>100</v>
      </c>
      <c r="X29" s="1568"/>
      <c r="Y29" s="33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7"/>
      <c r="Q30" s="1573">
        <f t="shared" si="11"/>
        <v>111</v>
      </c>
      <c r="R30" s="1574" t="s">
        <v>8</v>
      </c>
      <c r="S30" s="1575">
        <f t="shared" si="12"/>
        <v>100</v>
      </c>
      <c r="T30" s="1574" t="s">
        <v>8</v>
      </c>
      <c r="U30" s="1575">
        <f t="shared" si="13"/>
        <v>100</v>
      </c>
      <c r="V30" s="1574" t="s">
        <v>8</v>
      </c>
      <c r="W30" s="1575">
        <f t="shared" si="14"/>
        <v>100</v>
      </c>
      <c r="X30" s="1568"/>
      <c r="Y30" s="338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7"/>
      <c r="Q31" s="1573">
        <f t="shared" si="11"/>
        <v>111</v>
      </c>
      <c r="R31" s="1574" t="s">
        <v>8</v>
      </c>
      <c r="S31" s="1575">
        <f t="shared" si="12"/>
        <v>100</v>
      </c>
      <c r="T31" s="1574" t="s">
        <v>8</v>
      </c>
      <c r="U31" s="1575">
        <f t="shared" si="13"/>
        <v>100</v>
      </c>
      <c r="V31" s="1574" t="s">
        <v>8</v>
      </c>
      <c r="W31" s="1575">
        <f t="shared" si="14"/>
        <v>100</v>
      </c>
      <c r="X31" s="1568"/>
      <c r="Y31" s="3387"/>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8" t="s">
        <v>550</v>
      </c>
      <c r="Q32" s="1573" t="str">
        <f t="shared" si="11"/>
        <v>商业类型</v>
      </c>
      <c r="R32" s="1574" t="s">
        <v>8</v>
      </c>
      <c r="S32" s="1575">
        <f t="shared" si="12"/>
        <v>100</v>
      </c>
      <c r="T32" s="1574" t="s">
        <v>8</v>
      </c>
      <c r="U32" s="1575">
        <f t="shared" si="13"/>
        <v>100</v>
      </c>
      <c r="V32" s="1574" t="s">
        <v>8</v>
      </c>
      <c r="W32" s="1575">
        <f t="shared" si="14"/>
        <v>100</v>
      </c>
      <c r="X32" s="1568"/>
      <c r="Y32" s="338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9"/>
      <c r="Q33" s="1606" t="str">
        <f t="shared" si="11"/>
        <v>项目建筑规模</v>
      </c>
      <c r="R33" s="1578" t="s">
        <v>8</v>
      </c>
      <c r="S33" s="1579" t="e">
        <f t="shared" si="12"/>
        <v>#N/A</v>
      </c>
      <c r="T33" s="1578" t="s">
        <v>8</v>
      </c>
      <c r="U33" s="1579" t="e">
        <f t="shared" si="13"/>
        <v>#N/A</v>
      </c>
      <c r="V33" s="1578" t="s">
        <v>8</v>
      </c>
      <c r="W33" s="1579" t="e">
        <f t="shared" si="14"/>
        <v>#N/A</v>
      </c>
      <c r="X33" s="1580"/>
      <c r="Y33" s="338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9"/>
      <c r="Q34" s="1573" t="str">
        <f t="shared" si="11"/>
        <v>建筑结构</v>
      </c>
      <c r="R34" s="1574" t="s">
        <v>8</v>
      </c>
      <c r="S34" s="1575">
        <f t="shared" si="12"/>
        <v>100</v>
      </c>
      <c r="T34" s="1574" t="s">
        <v>8</v>
      </c>
      <c r="U34" s="1575">
        <f t="shared" si="13"/>
        <v>100</v>
      </c>
      <c r="V34" s="1574" t="s">
        <v>8</v>
      </c>
      <c r="W34" s="1575">
        <f t="shared" si="14"/>
        <v>100</v>
      </c>
      <c r="X34" s="1568"/>
      <c r="Y34" s="338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9"/>
      <c r="Q35" s="1573" t="str">
        <f t="shared" si="11"/>
        <v>公共部分装修</v>
      </c>
      <c r="R35" s="1574" t="s">
        <v>8</v>
      </c>
      <c r="S35" s="1575">
        <f t="shared" si="12"/>
        <v>100</v>
      </c>
      <c r="T35" s="1574" t="s">
        <v>8</v>
      </c>
      <c r="U35" s="1575">
        <f t="shared" si="13"/>
        <v>100</v>
      </c>
      <c r="V35" s="1574" t="s">
        <v>8</v>
      </c>
      <c r="W35" s="1575">
        <f t="shared" si="14"/>
        <v>100</v>
      </c>
      <c r="X35" s="1568"/>
      <c r="Y35" s="338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9"/>
      <c r="Q36" s="1573" t="str">
        <f t="shared" si="11"/>
        <v>成新度</v>
      </c>
      <c r="R36" s="1574" t="s">
        <v>8</v>
      </c>
      <c r="S36" s="1575" t="e">
        <f t="shared" si="12"/>
        <v>#N/A</v>
      </c>
      <c r="T36" s="1574" t="s">
        <v>8</v>
      </c>
      <c r="U36" s="1575" t="e">
        <f t="shared" si="13"/>
        <v>#N/A</v>
      </c>
      <c r="V36" s="1574" t="s">
        <v>8</v>
      </c>
      <c r="W36" s="1575" t="e">
        <f t="shared" si="14"/>
        <v>#N/A</v>
      </c>
      <c r="X36" s="1568"/>
      <c r="Y36" s="3389"/>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9"/>
      <c r="Q37" s="1151" t="str">
        <f t="shared" si="11"/>
        <v>市政基础设施</v>
      </c>
      <c r="R37" s="1569" t="s">
        <v>8</v>
      </c>
      <c r="S37" s="1570">
        <f t="shared" si="12"/>
        <v>100</v>
      </c>
      <c r="T37" s="1569" t="s">
        <v>8</v>
      </c>
      <c r="U37" s="1570">
        <f t="shared" si="13"/>
        <v>100</v>
      </c>
      <c r="V37" s="1569" t="s">
        <v>8</v>
      </c>
      <c r="W37" s="1570">
        <f t="shared" si="14"/>
        <v>100</v>
      </c>
      <c r="X37" s="1571"/>
      <c r="Y37" s="338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9" t="s">
        <v>766</v>
      </c>
      <c r="Q38" s="1573" t="str">
        <f t="shared" si="11"/>
        <v>业态</v>
      </c>
      <c r="R38" s="1574" t="s">
        <v>8</v>
      </c>
      <c r="S38" s="1575">
        <f t="shared" si="12"/>
        <v>100</v>
      </c>
      <c r="T38" s="1574" t="s">
        <v>8</v>
      </c>
      <c r="U38" s="1575">
        <f t="shared" si="13"/>
        <v>100</v>
      </c>
      <c r="V38" s="1574" t="s">
        <v>8</v>
      </c>
      <c r="W38" s="1575">
        <f t="shared" si="14"/>
        <v>100</v>
      </c>
      <c r="X38" s="1568"/>
      <c r="Y38" s="338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9"/>
      <c r="Q39" s="1573" t="str">
        <f t="shared" si="11"/>
        <v>层高</v>
      </c>
      <c r="R39" s="1574" t="s">
        <v>8</v>
      </c>
      <c r="S39" s="1575">
        <f t="shared" si="12"/>
        <v>100</v>
      </c>
      <c r="T39" s="1574" t="s">
        <v>8</v>
      </c>
      <c r="U39" s="1575">
        <f t="shared" si="13"/>
        <v>100</v>
      </c>
      <c r="V39" s="1574" t="s">
        <v>8</v>
      </c>
      <c r="W39" s="1575">
        <f t="shared" si="14"/>
        <v>100</v>
      </c>
      <c r="X39" s="1568"/>
      <c r="Y39" s="338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9"/>
      <c r="Q40" s="1573" t="str">
        <f t="shared" si="11"/>
        <v>单套建筑面积</v>
      </c>
      <c r="R40" s="1574" t="s">
        <v>8</v>
      </c>
      <c r="S40" s="1575">
        <f t="shared" si="12"/>
        <v>100</v>
      </c>
      <c r="T40" s="1574" t="s">
        <v>8</v>
      </c>
      <c r="U40" s="1575">
        <f t="shared" si="13"/>
        <v>100</v>
      </c>
      <c r="V40" s="1574" t="s">
        <v>8</v>
      </c>
      <c r="W40" s="1575">
        <f t="shared" si="14"/>
        <v>100</v>
      </c>
      <c r="X40" s="1568"/>
      <c r="Y40" s="338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9"/>
      <c r="Q41" s="1606" t="str">
        <f t="shared" si="11"/>
        <v>进深比</v>
      </c>
      <c r="R41" s="1578" t="s">
        <v>8</v>
      </c>
      <c r="S41" s="1579">
        <f t="shared" si="12"/>
        <v>100</v>
      </c>
      <c r="T41" s="1578" t="s">
        <v>8</v>
      </c>
      <c r="U41" s="1579">
        <f t="shared" si="13"/>
        <v>100</v>
      </c>
      <c r="V41" s="1578" t="s">
        <v>8</v>
      </c>
      <c r="W41" s="1579">
        <f t="shared" si="14"/>
        <v>100</v>
      </c>
      <c r="X41" s="1580"/>
      <c r="Y41" s="338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9"/>
      <c r="Q42" s="1573" t="str">
        <f t="shared" si="11"/>
        <v>内部装修</v>
      </c>
      <c r="R42" s="1574" t="s">
        <v>8</v>
      </c>
      <c r="S42" s="1575">
        <f t="shared" si="12"/>
        <v>100</v>
      </c>
      <c r="T42" s="1574" t="s">
        <v>8</v>
      </c>
      <c r="U42" s="1575">
        <f t="shared" si="13"/>
        <v>100</v>
      </c>
      <c r="V42" s="1574" t="s">
        <v>8</v>
      </c>
      <c r="W42" s="1575">
        <f t="shared" si="14"/>
        <v>100</v>
      </c>
      <c r="X42" s="1568"/>
      <c r="Y42" s="338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9"/>
      <c r="Q43" s="1573" t="str">
        <f t="shared" si="11"/>
        <v>内部装修维护情况</v>
      </c>
      <c r="R43" s="1574" t="s">
        <v>8</v>
      </c>
      <c r="S43" s="1575">
        <f t="shared" si="12"/>
        <v>100</v>
      </c>
      <c r="T43" s="1574" t="s">
        <v>8</v>
      </c>
      <c r="U43" s="1575">
        <f t="shared" si="13"/>
        <v>100</v>
      </c>
      <c r="V43" s="1574" t="s">
        <v>8</v>
      </c>
      <c r="W43" s="1575">
        <f t="shared" si="14"/>
        <v>100</v>
      </c>
      <c r="X43" s="1568"/>
      <c r="Y43" s="33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9"/>
      <c r="Q44" s="1151">
        <f t="shared" si="11"/>
        <v>111</v>
      </c>
      <c r="R44" s="1569" t="s">
        <v>8</v>
      </c>
      <c r="S44" s="1570">
        <f t="shared" si="12"/>
        <v>100</v>
      </c>
      <c r="T44" s="1569" t="s">
        <v>8</v>
      </c>
      <c r="U44" s="1570">
        <f t="shared" si="13"/>
        <v>100</v>
      </c>
      <c r="V44" s="1569" t="s">
        <v>8</v>
      </c>
      <c r="W44" s="1570">
        <f t="shared" si="14"/>
        <v>100</v>
      </c>
      <c r="X44" s="1571"/>
      <c r="Y44" s="33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9"/>
      <c r="Q45" s="1573">
        <f t="shared" si="11"/>
        <v>111</v>
      </c>
      <c r="R45" s="1574" t="s">
        <v>8</v>
      </c>
      <c r="S45" s="1575">
        <f t="shared" si="12"/>
        <v>100</v>
      </c>
      <c r="T45" s="1574" t="s">
        <v>8</v>
      </c>
      <c r="U45" s="1575">
        <f t="shared" si="13"/>
        <v>100</v>
      </c>
      <c r="V45" s="1574" t="s">
        <v>8</v>
      </c>
      <c r="W45" s="1575">
        <f t="shared" si="14"/>
        <v>100</v>
      </c>
      <c r="X45" s="1568"/>
      <c r="Y45" s="338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86"/>
      <c r="Q46" s="1573">
        <f t="shared" si="11"/>
        <v>111</v>
      </c>
      <c r="R46" s="1574" t="s">
        <v>8</v>
      </c>
      <c r="S46" s="1575">
        <f t="shared" si="12"/>
        <v>100</v>
      </c>
      <c r="T46" s="1574" t="s">
        <v>8</v>
      </c>
      <c r="U46" s="1575">
        <f t="shared" si="13"/>
        <v>100</v>
      </c>
      <c r="V46" s="1574" t="s">
        <v>8</v>
      </c>
      <c r="W46" s="1575">
        <f t="shared" si="14"/>
        <v>100</v>
      </c>
      <c r="X46" s="1568"/>
      <c r="Y46" s="3486"/>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84" t="str">
        <f>A47</f>
        <v>成交单价（元/平方米）</v>
      </c>
      <c r="Q47" s="3384"/>
      <c r="R47" s="3485">
        <f>E47</f>
        <v>0</v>
      </c>
      <c r="S47" s="3485"/>
      <c r="T47" s="3485">
        <f>G47</f>
        <v>0</v>
      </c>
      <c r="U47" s="3485"/>
      <c r="V47" s="3485">
        <f>I47</f>
        <v>0</v>
      </c>
      <c r="W47" s="3485"/>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405" t="str">
        <f>A49</f>
        <v>估价对象XX用房的比较价格（楼面单价，元/平方米）</v>
      </c>
      <c r="Q49" s="3406"/>
      <c r="R49" s="3484" t="e">
        <f>IF(F1="售价",ROUND(AVERAGE(R48:V48),0),ROUND(AVERAGE(R48:V48),1))</f>
        <v>#DIV/0!</v>
      </c>
      <c r="S49" s="3484"/>
      <c r="T49" s="3484"/>
      <c r="U49" s="3484"/>
      <c r="V49" s="3484"/>
      <c r="W49" s="348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90" t="s">
        <v>522</v>
      </c>
      <c r="D4" s="3391"/>
      <c r="E4" s="3414" t="s">
        <v>523</v>
      </c>
      <c r="F4" s="3415"/>
      <c r="G4" s="3390" t="s">
        <v>524</v>
      </c>
      <c r="H4" s="3391"/>
      <c r="I4" s="3390" t="s">
        <v>525</v>
      </c>
      <c r="J4" s="3391"/>
      <c r="K4" s="514" t="s">
        <v>526</v>
      </c>
      <c r="L4" s="2135"/>
      <c r="M4" s="2136"/>
      <c r="N4" s="2136"/>
      <c r="O4" s="2136"/>
      <c r="P4" s="3487" t="s">
        <v>527</v>
      </c>
      <c r="Q4" s="3393"/>
      <c r="R4" s="3378" t="s">
        <v>523</v>
      </c>
      <c r="S4" s="3379"/>
      <c r="T4" s="3378" t="s">
        <v>524</v>
      </c>
      <c r="U4" s="3379"/>
      <c r="V4" s="3398" t="s">
        <v>525</v>
      </c>
      <c r="W4" s="3398"/>
      <c r="X4" s="1568"/>
      <c r="Y4" s="3378" t="s">
        <v>527</v>
      </c>
      <c r="Z4" s="3379"/>
      <c r="AA4" s="3373" t="s">
        <v>523</v>
      </c>
      <c r="AB4" s="3373" t="s">
        <v>524</v>
      </c>
      <c r="AC4" s="3373" t="s">
        <v>525</v>
      </c>
    </row>
    <row r="5" spans="1:29" ht="15">
      <c r="A5" s="515"/>
      <c r="B5" s="516"/>
      <c r="C5" s="3401" t="s">
        <v>2930</v>
      </c>
      <c r="D5" s="3402"/>
      <c r="E5" s="3416" t="s">
        <v>2931</v>
      </c>
      <c r="F5" s="3417"/>
      <c r="G5" s="3401" t="s">
        <v>2932</v>
      </c>
      <c r="H5" s="3402"/>
      <c r="I5" s="3401" t="s">
        <v>2933</v>
      </c>
      <c r="J5" s="3402"/>
      <c r="K5" s="514"/>
      <c r="L5" s="2135"/>
      <c r="M5" s="2136"/>
      <c r="N5" s="2136"/>
      <c r="O5" s="2136"/>
      <c r="P5" s="3488"/>
      <c r="Q5" s="3395"/>
      <c r="R5" s="3380"/>
      <c r="S5" s="3381"/>
      <c r="T5" s="3380"/>
      <c r="U5" s="3381"/>
      <c r="V5" s="3398"/>
      <c r="W5" s="3398"/>
      <c r="X5" s="1568"/>
      <c r="Y5" s="3380"/>
      <c r="Z5" s="3381"/>
      <c r="AA5" s="3374"/>
      <c r="AB5" s="3374"/>
      <c r="AC5" s="3374"/>
    </row>
    <row r="6" spans="1:29" ht="15.75" thickBot="1">
      <c r="A6" s="517"/>
      <c r="B6" s="518"/>
      <c r="C6" s="3399" t="s">
        <v>2934</v>
      </c>
      <c r="D6" s="3400"/>
      <c r="E6" s="3419" t="s">
        <v>2934</v>
      </c>
      <c r="F6" s="3420"/>
      <c r="G6" s="3399" t="s">
        <v>2934</v>
      </c>
      <c r="H6" s="3400"/>
      <c r="I6" s="3399" t="s">
        <v>2934</v>
      </c>
      <c r="J6" s="3400"/>
      <c r="K6" s="514" t="s">
        <v>528</v>
      </c>
      <c r="L6" s="2135"/>
      <c r="M6" s="2136"/>
      <c r="N6" s="2136"/>
      <c r="O6" s="2136"/>
      <c r="P6" s="3489"/>
      <c r="Q6" s="3397"/>
      <c r="R6" s="3380"/>
      <c r="S6" s="3381"/>
      <c r="T6" s="3382"/>
      <c r="U6" s="3383"/>
      <c r="V6" s="3398"/>
      <c r="W6" s="3398"/>
      <c r="X6" s="1568"/>
      <c r="Y6" s="3382"/>
      <c r="Z6" s="3383"/>
      <c r="AA6" s="3375"/>
      <c r="AB6" s="3375"/>
      <c r="AC6" s="3375"/>
    </row>
    <row r="7" spans="1:29" s="1220" customFormat="1" ht="15.75" thickBot="1">
      <c r="A7" s="2914"/>
      <c r="B7" s="2921" t="s">
        <v>529</v>
      </c>
      <c r="C7" s="519">
        <f>'数据-取费表'!B2</f>
        <v>43290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5" t="s">
        <v>530</v>
      </c>
      <c r="Q7" s="3385"/>
      <c r="R7" s="1569" t="s">
        <v>8</v>
      </c>
      <c r="S7" s="1570">
        <f t="shared" ref="S7:S15" si="0">F7</f>
        <v>0</v>
      </c>
      <c r="T7" s="1569" t="s">
        <v>8</v>
      </c>
      <c r="U7" s="1570">
        <f t="shared" ref="U7:U15" si="1">H7</f>
        <v>0</v>
      </c>
      <c r="V7" s="1569" t="s">
        <v>8</v>
      </c>
      <c r="W7" s="1570">
        <f t="shared" ref="W7:W15" si="2">J7</f>
        <v>0</v>
      </c>
      <c r="X7" s="1571"/>
      <c r="Y7" s="3376" t="s">
        <v>530</v>
      </c>
      <c r="Z7" s="3377"/>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5" t="s">
        <v>533</v>
      </c>
      <c r="Q8" s="3377"/>
      <c r="R8" s="1569" t="s">
        <v>8</v>
      </c>
      <c r="S8" s="1570">
        <f t="shared" si="0"/>
        <v>0</v>
      </c>
      <c r="T8" s="1569" t="s">
        <v>8</v>
      </c>
      <c r="U8" s="1570">
        <f t="shared" si="1"/>
        <v>0</v>
      </c>
      <c r="V8" s="1569" t="s">
        <v>8</v>
      </c>
      <c r="W8" s="1570">
        <f t="shared" si="2"/>
        <v>0</v>
      </c>
      <c r="X8" s="1571"/>
      <c r="Y8" s="3376" t="s">
        <v>533</v>
      </c>
      <c r="Z8" s="3377"/>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4"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4"/>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4"/>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6" t="s">
        <v>540</v>
      </c>
      <c r="Q15" s="1573" t="str">
        <f t="shared" si="6"/>
        <v>办公集聚程度</v>
      </c>
      <c r="R15" s="1574" t="s">
        <v>8</v>
      </c>
      <c r="S15" s="1575">
        <f t="shared" si="0"/>
        <v>100</v>
      </c>
      <c r="T15" s="1574" t="s">
        <v>8</v>
      </c>
      <c r="U15" s="1575">
        <f t="shared" si="1"/>
        <v>100</v>
      </c>
      <c r="V15" s="1574" t="s">
        <v>8</v>
      </c>
      <c r="W15" s="1575">
        <f t="shared" si="2"/>
        <v>100</v>
      </c>
      <c r="X15" s="1568"/>
      <c r="Y15" s="338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7"/>
      <c r="Q16" s="1573"/>
      <c r="R16" s="1574"/>
      <c r="S16" s="1575"/>
      <c r="T16" s="1574"/>
      <c r="U16" s="1575"/>
      <c r="V16" s="1574"/>
      <c r="W16" s="1575"/>
      <c r="X16" s="1568"/>
      <c r="Y16" s="338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7"/>
      <c r="Q18" s="1573"/>
      <c r="R18" s="1574"/>
      <c r="S18" s="1575"/>
      <c r="T18" s="1574"/>
      <c r="U18" s="1575"/>
      <c r="V18" s="1574"/>
      <c r="W18" s="1575"/>
      <c r="X18" s="1568"/>
      <c r="Y18" s="3387"/>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7"/>
      <c r="Q20" s="1573"/>
      <c r="R20" s="1574"/>
      <c r="S20" s="1575"/>
      <c r="T20" s="1574"/>
      <c r="U20" s="1575"/>
      <c r="V20" s="1574"/>
      <c r="W20" s="1575"/>
      <c r="X20" s="1568"/>
      <c r="Y20" s="3387"/>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7"/>
      <c r="Q21" s="2581" t="str">
        <f>B21</f>
        <v>基础设施水平</v>
      </c>
      <c r="R21" s="1574" t="s">
        <v>8</v>
      </c>
      <c r="S21" s="1575">
        <f>F21</f>
        <v>100</v>
      </c>
      <c r="T21" s="1574" t="s">
        <v>8</v>
      </c>
      <c r="U21" s="1575">
        <f>H21</f>
        <v>100</v>
      </c>
      <c r="V21" s="1574" t="s">
        <v>8</v>
      </c>
      <c r="W21" s="1575">
        <f>J21</f>
        <v>100</v>
      </c>
      <c r="X21" s="2583"/>
      <c r="Y21" s="3387"/>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87"/>
      <c r="Q22" s="2581"/>
      <c r="R22" s="1574"/>
      <c r="S22" s="1575"/>
      <c r="T22" s="1574"/>
      <c r="U22" s="1575"/>
      <c r="V22" s="1574"/>
      <c r="W22" s="1575"/>
      <c r="X22" s="2583"/>
      <c r="Y22" s="3387"/>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7"/>
      <c r="Q23" s="1573" t="str">
        <f>B23</f>
        <v>环境质量</v>
      </c>
      <c r="R23" s="1574" t="s">
        <v>8</v>
      </c>
      <c r="S23" s="1575">
        <f>F23</f>
        <v>100</v>
      </c>
      <c r="T23" s="1574" t="s">
        <v>8</v>
      </c>
      <c r="U23" s="1575">
        <f>H23</f>
        <v>100</v>
      </c>
      <c r="V23" s="1574" t="s">
        <v>8</v>
      </c>
      <c r="W23" s="1575">
        <f>J23</f>
        <v>100</v>
      </c>
      <c r="X23" s="1568"/>
      <c r="Y23" s="338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7"/>
      <c r="Q24" s="1573"/>
      <c r="R24" s="1574"/>
      <c r="S24" s="1575"/>
      <c r="T24" s="1574"/>
      <c r="U24" s="1575"/>
      <c r="V24" s="1574"/>
      <c r="W24" s="1575"/>
      <c r="X24" s="1568"/>
      <c r="Y24" s="338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7"/>
      <c r="Q25" s="1573" t="str">
        <f>B25</f>
        <v>毗邻道路的类型与等级</v>
      </c>
      <c r="R25" s="1574" t="s">
        <v>8</v>
      </c>
      <c r="S25" s="1575">
        <f>F25</f>
        <v>100</v>
      </c>
      <c r="T25" s="1574" t="s">
        <v>8</v>
      </c>
      <c r="U25" s="1575">
        <f>H25</f>
        <v>100</v>
      </c>
      <c r="V25" s="1574" t="s">
        <v>8</v>
      </c>
      <c r="W25" s="1575">
        <f>J25</f>
        <v>100</v>
      </c>
      <c r="X25" s="1568"/>
      <c r="Y25" s="338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7"/>
      <c r="Q26" s="1573"/>
      <c r="R26" s="1574"/>
      <c r="S26" s="1575"/>
      <c r="T26" s="1574"/>
      <c r="U26" s="1575"/>
      <c r="V26" s="1574"/>
      <c r="W26" s="1575"/>
      <c r="X26" s="1568"/>
      <c r="Y26" s="338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7"/>
      <c r="Q27" s="1573" t="str">
        <f t="shared" ref="Q27:Q47" si="11">B27</f>
        <v>楼层</v>
      </c>
      <c r="R27" s="1574" t="s">
        <v>8</v>
      </c>
      <c r="S27" s="1575">
        <f>F27</f>
        <v>100</v>
      </c>
      <c r="T27" s="1574" t="s">
        <v>8</v>
      </c>
      <c r="U27" s="1575">
        <f>H27</f>
        <v>100</v>
      </c>
      <c r="V27" s="1574" t="s">
        <v>8</v>
      </c>
      <c r="W27" s="1575">
        <f>J27</f>
        <v>100</v>
      </c>
      <c r="X27" s="1568"/>
      <c r="Y27" s="338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7"/>
      <c r="Q28" s="1151" t="str">
        <f t="shared" si="11"/>
        <v>朝向</v>
      </c>
      <c r="R28" s="1569" t="s">
        <v>8</v>
      </c>
      <c r="S28" s="1570">
        <f>F28</f>
        <v>100</v>
      </c>
      <c r="T28" s="1569" t="s">
        <v>8</v>
      </c>
      <c r="U28" s="1570">
        <f>H28</f>
        <v>100</v>
      </c>
      <c r="V28" s="1569" t="s">
        <v>8</v>
      </c>
      <c r="W28" s="1570">
        <f>J28</f>
        <v>100</v>
      </c>
      <c r="X28" s="1571"/>
      <c r="Y28" s="338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7"/>
      <c r="Q29" s="1573">
        <f t="shared" si="11"/>
        <v>111</v>
      </c>
      <c r="R29" s="1574" t="s">
        <v>8</v>
      </c>
      <c r="S29" s="1575">
        <f t="shared" ref="S29:S47" si="12">F29</f>
        <v>100</v>
      </c>
      <c r="T29" s="1574" t="s">
        <v>8</v>
      </c>
      <c r="U29" s="1575">
        <f t="shared" ref="U29:U47" si="13">H29</f>
        <v>100</v>
      </c>
      <c r="V29" s="1574" t="s">
        <v>8</v>
      </c>
      <c r="W29" s="1575">
        <f t="shared" ref="W29:W47" si="14">J29</f>
        <v>100</v>
      </c>
      <c r="X29" s="1568"/>
      <c r="Y29" s="338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7"/>
      <c r="Q30" s="1573">
        <f t="shared" si="11"/>
        <v>111</v>
      </c>
      <c r="R30" s="1574" t="s">
        <v>8</v>
      </c>
      <c r="S30" s="1575">
        <f t="shared" si="12"/>
        <v>100</v>
      </c>
      <c r="T30" s="1574" t="s">
        <v>8</v>
      </c>
      <c r="U30" s="1575">
        <f t="shared" si="13"/>
        <v>100</v>
      </c>
      <c r="V30" s="1574" t="s">
        <v>8</v>
      </c>
      <c r="W30" s="1575">
        <f t="shared" si="14"/>
        <v>100</v>
      </c>
      <c r="X30" s="1568"/>
      <c r="Y30" s="338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7"/>
      <c r="Q31" s="1573">
        <f t="shared" si="11"/>
        <v>111</v>
      </c>
      <c r="R31" s="1574" t="s">
        <v>8</v>
      </c>
      <c r="S31" s="1575">
        <f t="shared" si="12"/>
        <v>100</v>
      </c>
      <c r="T31" s="1574" t="s">
        <v>8</v>
      </c>
      <c r="U31" s="1575">
        <f t="shared" si="13"/>
        <v>100</v>
      </c>
      <c r="V31" s="1574" t="s">
        <v>8</v>
      </c>
      <c r="W31" s="1575">
        <f t="shared" si="14"/>
        <v>100</v>
      </c>
      <c r="X31" s="1568"/>
      <c r="Y31" s="338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7"/>
      <c r="Q32" s="1573">
        <f t="shared" si="11"/>
        <v>111</v>
      </c>
      <c r="R32" s="1574" t="s">
        <v>8</v>
      </c>
      <c r="S32" s="1575">
        <f t="shared" si="12"/>
        <v>100</v>
      </c>
      <c r="T32" s="1574" t="s">
        <v>8</v>
      </c>
      <c r="U32" s="1575">
        <f t="shared" si="13"/>
        <v>100</v>
      </c>
      <c r="V32" s="1574" t="s">
        <v>8</v>
      </c>
      <c r="W32" s="1575">
        <f t="shared" si="14"/>
        <v>100</v>
      </c>
      <c r="X32" s="1568"/>
      <c r="Y32" s="3387"/>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8" t="s">
        <v>550</v>
      </c>
      <c r="Q33" s="1573" t="str">
        <f t="shared" si="11"/>
        <v>建筑类型</v>
      </c>
      <c r="R33" s="1574" t="s">
        <v>8</v>
      </c>
      <c r="S33" s="1575">
        <f t="shared" si="12"/>
        <v>100</v>
      </c>
      <c r="T33" s="1574" t="s">
        <v>8</v>
      </c>
      <c r="U33" s="1575">
        <f t="shared" si="13"/>
        <v>100</v>
      </c>
      <c r="V33" s="1574" t="s">
        <v>8</v>
      </c>
      <c r="W33" s="1575">
        <f t="shared" si="14"/>
        <v>100</v>
      </c>
      <c r="X33" s="1568"/>
      <c r="Y33" s="338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9"/>
      <c r="Q34" s="1606" t="str">
        <f t="shared" si="11"/>
        <v>项目建筑规模</v>
      </c>
      <c r="R34" s="1578" t="s">
        <v>8</v>
      </c>
      <c r="S34" s="1579" t="e">
        <f t="shared" si="12"/>
        <v>#N/A</v>
      </c>
      <c r="T34" s="1578" t="s">
        <v>8</v>
      </c>
      <c r="U34" s="1579" t="e">
        <f t="shared" si="13"/>
        <v>#N/A</v>
      </c>
      <c r="V34" s="1578" t="s">
        <v>8</v>
      </c>
      <c r="W34" s="1579" t="e">
        <f t="shared" si="14"/>
        <v>#N/A</v>
      </c>
      <c r="X34" s="1580"/>
      <c r="Y34" s="338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9"/>
      <c r="Q35" s="1573" t="str">
        <f t="shared" si="11"/>
        <v>建筑结构</v>
      </c>
      <c r="R35" s="1574" t="s">
        <v>8</v>
      </c>
      <c r="S35" s="1575">
        <f t="shared" si="12"/>
        <v>100</v>
      </c>
      <c r="T35" s="1574" t="s">
        <v>8</v>
      </c>
      <c r="U35" s="1575">
        <f t="shared" si="13"/>
        <v>100</v>
      </c>
      <c r="V35" s="1574" t="s">
        <v>8</v>
      </c>
      <c r="W35" s="1575">
        <f t="shared" si="14"/>
        <v>100</v>
      </c>
      <c r="X35" s="1568"/>
      <c r="Y35" s="338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9"/>
      <c r="Q36" s="1573" t="str">
        <f t="shared" si="11"/>
        <v>公共部分装修</v>
      </c>
      <c r="R36" s="1574" t="s">
        <v>8</v>
      </c>
      <c r="S36" s="1575">
        <f t="shared" si="12"/>
        <v>100</v>
      </c>
      <c r="T36" s="1574" t="s">
        <v>8</v>
      </c>
      <c r="U36" s="1575">
        <f t="shared" si="13"/>
        <v>100</v>
      </c>
      <c r="V36" s="1574" t="s">
        <v>8</v>
      </c>
      <c r="W36" s="1575">
        <f t="shared" si="14"/>
        <v>100</v>
      </c>
      <c r="X36" s="1568"/>
      <c r="Y36" s="338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9"/>
      <c r="Q37" s="1573" t="str">
        <f t="shared" si="11"/>
        <v>成新度</v>
      </c>
      <c r="R37" s="1574" t="s">
        <v>8</v>
      </c>
      <c r="S37" s="1575" t="e">
        <f t="shared" si="12"/>
        <v>#N/A</v>
      </c>
      <c r="T37" s="1574" t="s">
        <v>8</v>
      </c>
      <c r="U37" s="1575" t="e">
        <f t="shared" si="13"/>
        <v>#N/A</v>
      </c>
      <c r="V37" s="1574" t="s">
        <v>8</v>
      </c>
      <c r="W37" s="1575" t="e">
        <f t="shared" si="14"/>
        <v>#N/A</v>
      </c>
      <c r="X37" s="1568"/>
      <c r="Y37" s="338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9"/>
      <c r="Q38" s="1151" t="str">
        <f t="shared" si="11"/>
        <v>写字楼等级</v>
      </c>
      <c r="R38" s="1569" t="s">
        <v>8</v>
      </c>
      <c r="S38" s="1570">
        <f t="shared" si="12"/>
        <v>100</v>
      </c>
      <c r="T38" s="1569" t="s">
        <v>8</v>
      </c>
      <c r="U38" s="1570">
        <f t="shared" si="13"/>
        <v>100</v>
      </c>
      <c r="V38" s="1569" t="s">
        <v>8</v>
      </c>
      <c r="W38" s="1570">
        <f t="shared" si="14"/>
        <v>100</v>
      </c>
      <c r="X38" s="1571"/>
      <c r="Y38" s="338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9" t="s">
        <v>550</v>
      </c>
      <c r="Q39" s="1573" t="str">
        <f t="shared" si="11"/>
        <v>物业管理</v>
      </c>
      <c r="R39" s="1574" t="s">
        <v>8</v>
      </c>
      <c r="S39" s="1575">
        <f t="shared" si="12"/>
        <v>100</v>
      </c>
      <c r="T39" s="1574" t="s">
        <v>8</v>
      </c>
      <c r="U39" s="1575">
        <f t="shared" si="13"/>
        <v>100</v>
      </c>
      <c r="V39" s="1574" t="s">
        <v>8</v>
      </c>
      <c r="W39" s="1575">
        <f t="shared" si="14"/>
        <v>100</v>
      </c>
      <c r="X39" s="1568"/>
      <c r="Y39" s="3389"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9"/>
      <c r="Q40" s="1573" t="str">
        <f t="shared" si="11"/>
        <v>市政基础设施</v>
      </c>
      <c r="R40" s="1574" t="s">
        <v>8</v>
      </c>
      <c r="S40" s="1575">
        <f t="shared" si="12"/>
        <v>100</v>
      </c>
      <c r="T40" s="1574" t="s">
        <v>8</v>
      </c>
      <c r="U40" s="1575">
        <f t="shared" si="13"/>
        <v>100</v>
      </c>
      <c r="V40" s="1574" t="s">
        <v>8</v>
      </c>
      <c r="W40" s="1575">
        <f t="shared" si="14"/>
        <v>100</v>
      </c>
      <c r="X40" s="1568"/>
      <c r="Y40" s="338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9"/>
      <c r="Q41" s="1573" t="str">
        <f t="shared" si="11"/>
        <v>层高</v>
      </c>
      <c r="R41" s="1574" t="s">
        <v>8</v>
      </c>
      <c r="S41" s="1575">
        <f t="shared" si="12"/>
        <v>100</v>
      </c>
      <c r="T41" s="1574" t="s">
        <v>8</v>
      </c>
      <c r="U41" s="1575">
        <f t="shared" si="13"/>
        <v>100</v>
      </c>
      <c r="V41" s="1574" t="s">
        <v>8</v>
      </c>
      <c r="W41" s="1575">
        <f t="shared" si="14"/>
        <v>100</v>
      </c>
      <c r="X41" s="1568"/>
      <c r="Y41" s="338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9"/>
      <c r="Q42" s="1606" t="str">
        <f t="shared" si="11"/>
        <v>单套建筑面积</v>
      </c>
      <c r="R42" s="1578" t="s">
        <v>8</v>
      </c>
      <c r="S42" s="1579">
        <f t="shared" si="12"/>
        <v>100</v>
      </c>
      <c r="T42" s="1578" t="s">
        <v>8</v>
      </c>
      <c r="U42" s="1579">
        <f t="shared" si="13"/>
        <v>100</v>
      </c>
      <c r="V42" s="1578" t="s">
        <v>8</v>
      </c>
      <c r="W42" s="1579">
        <f t="shared" si="14"/>
        <v>100</v>
      </c>
      <c r="X42" s="1580"/>
      <c r="Y42" s="338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9"/>
      <c r="Q43" s="1573" t="str">
        <f t="shared" si="11"/>
        <v>内部装修</v>
      </c>
      <c r="R43" s="1574" t="s">
        <v>8</v>
      </c>
      <c r="S43" s="1575">
        <f t="shared" si="12"/>
        <v>100</v>
      </c>
      <c r="T43" s="1574" t="s">
        <v>8</v>
      </c>
      <c r="U43" s="1575">
        <f t="shared" si="13"/>
        <v>100</v>
      </c>
      <c r="V43" s="1574" t="s">
        <v>8</v>
      </c>
      <c r="W43" s="1575">
        <f t="shared" si="14"/>
        <v>100</v>
      </c>
      <c r="X43" s="1568"/>
      <c r="Y43" s="338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9"/>
      <c r="Q44" s="1573" t="str">
        <f t="shared" si="11"/>
        <v>内部装修维护情况</v>
      </c>
      <c r="R44" s="1574" t="s">
        <v>8</v>
      </c>
      <c r="S44" s="1575">
        <f t="shared" si="12"/>
        <v>100</v>
      </c>
      <c r="T44" s="1574" t="s">
        <v>8</v>
      </c>
      <c r="U44" s="1575">
        <f t="shared" si="13"/>
        <v>100</v>
      </c>
      <c r="V44" s="1574" t="s">
        <v>8</v>
      </c>
      <c r="W44" s="1575">
        <f t="shared" si="14"/>
        <v>100</v>
      </c>
      <c r="X44" s="1568"/>
      <c r="Y44" s="338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9"/>
      <c r="Q45" s="1151">
        <f t="shared" si="11"/>
        <v>111</v>
      </c>
      <c r="R45" s="1569" t="s">
        <v>8</v>
      </c>
      <c r="S45" s="1570">
        <f t="shared" si="12"/>
        <v>100</v>
      </c>
      <c r="T45" s="1569" t="s">
        <v>8</v>
      </c>
      <c r="U45" s="1570">
        <f t="shared" si="13"/>
        <v>100</v>
      </c>
      <c r="V45" s="1569" t="s">
        <v>8</v>
      </c>
      <c r="W45" s="1570">
        <f t="shared" si="14"/>
        <v>100</v>
      </c>
      <c r="X45" s="1571"/>
      <c r="Y45" s="338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9"/>
      <c r="Q46" s="1573">
        <f t="shared" si="11"/>
        <v>111</v>
      </c>
      <c r="R46" s="1574" t="s">
        <v>8</v>
      </c>
      <c r="S46" s="1575">
        <f t="shared" si="12"/>
        <v>100</v>
      </c>
      <c r="T46" s="1574" t="s">
        <v>8</v>
      </c>
      <c r="U46" s="1575">
        <f t="shared" si="13"/>
        <v>100</v>
      </c>
      <c r="V46" s="1574" t="s">
        <v>8</v>
      </c>
      <c r="W46" s="1575">
        <f t="shared" si="14"/>
        <v>100</v>
      </c>
      <c r="X46" s="1568"/>
      <c r="Y46" s="338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86"/>
      <c r="Q47" s="1573">
        <f t="shared" si="11"/>
        <v>111</v>
      </c>
      <c r="R47" s="1574" t="s">
        <v>8</v>
      </c>
      <c r="S47" s="1575">
        <f t="shared" si="12"/>
        <v>100</v>
      </c>
      <c r="T47" s="1574" t="s">
        <v>8</v>
      </c>
      <c r="U47" s="1575">
        <f t="shared" si="13"/>
        <v>100</v>
      </c>
      <c r="V47" s="1574" t="s">
        <v>8</v>
      </c>
      <c r="W47" s="1575">
        <f t="shared" si="14"/>
        <v>100</v>
      </c>
      <c r="X47" s="1568"/>
      <c r="Y47" s="3486"/>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06" t="str">
        <f>A48</f>
        <v>成交单价（元/平方米）</v>
      </c>
      <c r="Q48" s="3384"/>
      <c r="R48" s="3485">
        <f>E48</f>
        <v>0</v>
      </c>
      <c r="S48" s="3485"/>
      <c r="T48" s="3485">
        <f>G48</f>
        <v>0</v>
      </c>
      <c r="U48" s="3485"/>
      <c r="V48" s="3485">
        <f>I48</f>
        <v>0</v>
      </c>
      <c r="W48" s="3485"/>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406" t="str">
        <f>A49</f>
        <v>比较价格（元/平方米）</v>
      </c>
      <c r="Q49" s="33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490" t="str">
        <f>A50</f>
        <v>估价对象XX用房的比较价格（楼面单价，元/平方米）</v>
      </c>
      <c r="Q50" s="3406"/>
      <c r="R50" s="3484" t="e">
        <f>IF(F1="售价",ROUND(AVERAGE(R49:V49),0),ROUND(AVERAGE(R49:V49),1))</f>
        <v>#DIV/0!</v>
      </c>
      <c r="S50" s="3484"/>
      <c r="T50" s="3484"/>
      <c r="U50" s="3484"/>
      <c r="V50" s="3484"/>
      <c r="W50" s="348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2018-7</v>
      </c>
      <c r="D59" s="2806">
        <f>EDATE(C59,-1)</f>
        <v>43252</v>
      </c>
      <c r="E59" s="2806">
        <f t="shared" ref="E59:O59" si="16">EDATE(D59,-1)</f>
        <v>43221</v>
      </c>
      <c r="F59" s="2806">
        <f t="shared" si="16"/>
        <v>43191</v>
      </c>
      <c r="G59" s="2806">
        <f t="shared" si="16"/>
        <v>43160</v>
      </c>
      <c r="H59" s="2806">
        <f t="shared" si="16"/>
        <v>43132</v>
      </c>
      <c r="I59" s="2806">
        <f t="shared" si="16"/>
        <v>43101</v>
      </c>
      <c r="J59" s="2806">
        <f t="shared" si="16"/>
        <v>43070</v>
      </c>
      <c r="K59" s="2806">
        <f t="shared" si="16"/>
        <v>43040</v>
      </c>
      <c r="L59" s="2806">
        <f t="shared" si="16"/>
        <v>43009</v>
      </c>
      <c r="M59" s="2806">
        <f t="shared" si="16"/>
        <v>42979</v>
      </c>
      <c r="N59" s="2806">
        <f t="shared" si="16"/>
        <v>42948</v>
      </c>
      <c r="O59" s="2806">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90" t="s">
        <v>522</v>
      </c>
      <c r="D4" s="3391"/>
      <c r="E4" s="3414" t="s">
        <v>523</v>
      </c>
      <c r="F4" s="3415"/>
      <c r="G4" s="3390" t="s">
        <v>524</v>
      </c>
      <c r="H4" s="3391"/>
      <c r="I4" s="3390" t="s">
        <v>525</v>
      </c>
      <c r="J4" s="3391"/>
      <c r="K4" s="514" t="s">
        <v>526</v>
      </c>
      <c r="L4" s="2135"/>
      <c r="M4" s="2136"/>
      <c r="N4" s="2136"/>
      <c r="O4" s="2136"/>
      <c r="P4" s="3392" t="s">
        <v>527</v>
      </c>
      <c r="Q4" s="3393"/>
      <c r="R4" s="3378" t="s">
        <v>523</v>
      </c>
      <c r="S4" s="3379"/>
      <c r="T4" s="3378" t="s">
        <v>524</v>
      </c>
      <c r="U4" s="3379"/>
      <c r="V4" s="3398" t="s">
        <v>525</v>
      </c>
      <c r="W4" s="3398"/>
      <c r="X4" s="1568"/>
      <c r="Y4" s="3378" t="s">
        <v>527</v>
      </c>
      <c r="Z4" s="3379"/>
      <c r="AA4" s="3373" t="s">
        <v>523</v>
      </c>
      <c r="AB4" s="3374" t="s">
        <v>524</v>
      </c>
      <c r="AC4" s="3373" t="s">
        <v>525</v>
      </c>
    </row>
    <row r="5" spans="1:29" ht="15">
      <c r="A5" s="515"/>
      <c r="B5" s="516"/>
      <c r="C5" s="3401" t="s">
        <v>2930</v>
      </c>
      <c r="D5" s="3402"/>
      <c r="E5" s="3416" t="s">
        <v>2931</v>
      </c>
      <c r="F5" s="3417"/>
      <c r="G5" s="3401" t="s">
        <v>2932</v>
      </c>
      <c r="H5" s="3402"/>
      <c r="I5" s="3401" t="s">
        <v>2933</v>
      </c>
      <c r="J5" s="3402"/>
      <c r="K5" s="514"/>
      <c r="L5" s="2135"/>
      <c r="M5" s="2136"/>
      <c r="N5" s="2136"/>
      <c r="O5" s="2136"/>
      <c r="P5" s="3394"/>
      <c r="Q5" s="3395"/>
      <c r="R5" s="3380"/>
      <c r="S5" s="3381"/>
      <c r="T5" s="3380"/>
      <c r="U5" s="3381"/>
      <c r="V5" s="3398"/>
      <c r="W5" s="3398"/>
      <c r="X5" s="1568"/>
      <c r="Y5" s="3380"/>
      <c r="Z5" s="3381"/>
      <c r="AA5" s="3374"/>
      <c r="AB5" s="3374"/>
      <c r="AC5" s="3374"/>
    </row>
    <row r="6" spans="1:29" ht="15.75" thickBot="1">
      <c r="A6" s="517"/>
      <c r="B6" s="518"/>
      <c r="C6" s="3399" t="s">
        <v>2934</v>
      </c>
      <c r="D6" s="3400"/>
      <c r="E6" s="3419" t="s">
        <v>2934</v>
      </c>
      <c r="F6" s="3420"/>
      <c r="G6" s="3399" t="s">
        <v>2934</v>
      </c>
      <c r="H6" s="3400"/>
      <c r="I6" s="3399" t="s">
        <v>2934</v>
      </c>
      <c r="J6" s="3400"/>
      <c r="K6" s="514" t="s">
        <v>528</v>
      </c>
      <c r="L6" s="2135"/>
      <c r="M6" s="2136"/>
      <c r="N6" s="2136"/>
      <c r="O6" s="2136"/>
      <c r="P6" s="3396"/>
      <c r="Q6" s="3397"/>
      <c r="R6" s="3380"/>
      <c r="S6" s="3381"/>
      <c r="T6" s="3382"/>
      <c r="U6" s="3383"/>
      <c r="V6" s="3398"/>
      <c r="W6" s="3398"/>
      <c r="X6" s="1568"/>
      <c r="Y6" s="3382"/>
      <c r="Z6" s="3383"/>
      <c r="AA6" s="3375"/>
      <c r="AB6" s="3375"/>
      <c r="AC6" s="3375"/>
    </row>
    <row r="7" spans="1:29" s="1220" customFormat="1" ht="15.75" thickBot="1">
      <c r="A7" s="2914"/>
      <c r="B7" s="2921" t="s">
        <v>529</v>
      </c>
      <c r="C7" s="519">
        <f>'数据-取费表'!B2</f>
        <v>43290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76" t="s">
        <v>530</v>
      </c>
      <c r="Q7" s="3385"/>
      <c r="R7" s="1569" t="s">
        <v>8</v>
      </c>
      <c r="S7" s="1570">
        <f t="shared" ref="S7:S15" si="0">F7</f>
        <v>0</v>
      </c>
      <c r="T7" s="1569" t="s">
        <v>8</v>
      </c>
      <c r="U7" s="1570">
        <f t="shared" ref="U7:U15" si="1">H7</f>
        <v>0</v>
      </c>
      <c r="V7" s="1569" t="s">
        <v>8</v>
      </c>
      <c r="W7" s="1570">
        <f t="shared" ref="W7:W15" si="2">J7</f>
        <v>0</v>
      </c>
      <c r="X7" s="1571"/>
      <c r="Y7" s="3376" t="s">
        <v>530</v>
      </c>
      <c r="Z7" s="3377"/>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76" t="s">
        <v>533</v>
      </c>
      <c r="Q8" s="3377"/>
      <c r="R8" s="1569" t="s">
        <v>8</v>
      </c>
      <c r="S8" s="1570">
        <f t="shared" si="0"/>
        <v>0</v>
      </c>
      <c r="T8" s="1569" t="s">
        <v>8</v>
      </c>
      <c r="U8" s="1570">
        <f t="shared" si="1"/>
        <v>0</v>
      </c>
      <c r="V8" s="1569" t="s">
        <v>8</v>
      </c>
      <c r="W8" s="1570">
        <f t="shared" si="2"/>
        <v>0</v>
      </c>
      <c r="X8" s="1571"/>
      <c r="Y8" s="3376" t="s">
        <v>533</v>
      </c>
      <c r="Z8" s="3377"/>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4"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4"/>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4"/>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85.5">
      <c r="A15" s="2912" t="s">
        <v>2757</v>
      </c>
      <c r="B15" s="166" t="s">
        <v>789</v>
      </c>
      <c r="C15" s="921" t="str">
        <f>估价对象房地状况!G3</f>
        <v>估价对象位于北京市通州区马驹桥镇金桥产业基地，园区建设成熟，产业集聚程度较好</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6" t="s">
        <v>540</v>
      </c>
      <c r="Q15" s="1573" t="str">
        <f t="shared" si="6"/>
        <v>产业集聚程度</v>
      </c>
      <c r="R15" s="1574" t="s">
        <v>8</v>
      </c>
      <c r="S15" s="1575">
        <f t="shared" si="0"/>
        <v>100</v>
      </c>
      <c r="T15" s="1574" t="s">
        <v>8</v>
      </c>
      <c r="U15" s="1575">
        <f t="shared" si="1"/>
        <v>100</v>
      </c>
      <c r="V15" s="1574" t="s">
        <v>8</v>
      </c>
      <c r="W15" s="1575">
        <f t="shared" si="2"/>
        <v>100</v>
      </c>
      <c r="X15" s="1568"/>
      <c r="Y15" s="338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7"/>
      <c r="Q16" s="1573"/>
      <c r="R16" s="1574"/>
      <c r="S16" s="1575"/>
      <c r="T16" s="1574"/>
      <c r="U16" s="1575"/>
      <c r="V16" s="1574"/>
      <c r="W16" s="1575"/>
      <c r="X16" s="1568"/>
      <c r="Y16" s="3387"/>
      <c r="Z16" s="1576"/>
      <c r="AA16" s="1577">
        <v>1</v>
      </c>
      <c r="AB16" s="1577">
        <v>1</v>
      </c>
      <c r="AC16" s="1577">
        <v>1</v>
      </c>
    </row>
    <row r="17" spans="1:29" ht="71.25">
      <c r="A17" s="532"/>
      <c r="B17" s="871" t="s">
        <v>296</v>
      </c>
      <c r="C17" s="872" t="str">
        <f>估价对象房地状况!G4</f>
        <v>估价对象紧邻六环高速路、公共交通通达情况较好、综合评价交通便捷度较好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7"/>
      <c r="Q18" s="1573"/>
      <c r="R18" s="1574"/>
      <c r="S18" s="1575"/>
      <c r="T18" s="1574"/>
      <c r="U18" s="1575"/>
      <c r="V18" s="1574"/>
      <c r="W18" s="1575"/>
      <c r="X18" s="1568"/>
      <c r="Y18" s="3387"/>
      <c r="Z18" s="1576"/>
      <c r="AA18" s="1577">
        <v>1</v>
      </c>
      <c r="AB18" s="1577">
        <v>1</v>
      </c>
      <c r="AC18" s="1577">
        <v>1</v>
      </c>
    </row>
    <row r="19" spans="1:29" ht="99.75">
      <c r="A19" s="532"/>
      <c r="B19" s="2605" t="s">
        <v>2549</v>
      </c>
      <c r="C19" s="872" t="str">
        <f>估价对象房地状况!G5</f>
        <v>估价对象所在区域公共配套设施齐备情况一般；基础设施水平一般；综合评价公用设施及基础设施水平一般</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7"/>
      <c r="Q20" s="1573"/>
      <c r="R20" s="1574"/>
      <c r="S20" s="1575"/>
      <c r="T20" s="1574"/>
      <c r="U20" s="1575"/>
      <c r="V20" s="1574"/>
      <c r="W20" s="1575"/>
      <c r="X20" s="1568"/>
      <c r="Y20" s="3387"/>
      <c r="Z20" s="1576"/>
      <c r="AA20" s="1577">
        <v>1</v>
      </c>
      <c r="AB20" s="1577">
        <v>1</v>
      </c>
      <c r="AC20" s="1577">
        <v>1</v>
      </c>
    </row>
    <row r="21" spans="1:29" ht="15">
      <c r="A21" s="532"/>
      <c r="B21" s="2593" t="s">
        <v>2561</v>
      </c>
      <c r="C21" s="872" t="str">
        <f>估价对象房地状况!G6</f>
        <v>五通</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7"/>
      <c r="Q21" s="2581" t="str">
        <f>B21</f>
        <v>基础设施水平</v>
      </c>
      <c r="R21" s="1574" t="s">
        <v>8</v>
      </c>
      <c r="S21" s="1575">
        <f>F21</f>
        <v>100</v>
      </c>
      <c r="T21" s="1574" t="s">
        <v>8</v>
      </c>
      <c r="U21" s="1575">
        <f>H21</f>
        <v>100</v>
      </c>
      <c r="V21" s="1574" t="s">
        <v>8</v>
      </c>
      <c r="W21" s="1575">
        <f>J21</f>
        <v>100</v>
      </c>
      <c r="X21" s="2583"/>
      <c r="Y21" s="3387"/>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87"/>
      <c r="Q22" s="2581"/>
      <c r="R22" s="1574"/>
      <c r="S22" s="1575"/>
      <c r="T22" s="1574"/>
      <c r="U22" s="1575"/>
      <c r="V22" s="1574"/>
      <c r="W22" s="1575"/>
      <c r="X22" s="2583"/>
      <c r="Y22" s="3387"/>
      <c r="Z22" s="2582"/>
      <c r="AA22" s="1577">
        <v>1</v>
      </c>
      <c r="AB22" s="1577">
        <v>1</v>
      </c>
      <c r="AC22" s="1577">
        <v>1</v>
      </c>
    </row>
    <row r="23" spans="1:29" ht="71.25">
      <c r="A23" s="532"/>
      <c r="B23" s="871" t="s">
        <v>778</v>
      </c>
      <c r="C23" s="872" t="str">
        <f>估价对象房地状况!G7</f>
        <v>该园区内无污染型企业，绿化条件一般，卫生条件一般，整体环境状况一般</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7"/>
      <c r="Q23" s="1573" t="str">
        <f>B23</f>
        <v>环境质量</v>
      </c>
      <c r="R23" s="1574" t="s">
        <v>8</v>
      </c>
      <c r="S23" s="1575">
        <f>F23</f>
        <v>100</v>
      </c>
      <c r="T23" s="1574" t="s">
        <v>8</v>
      </c>
      <c r="U23" s="1575">
        <f>H23</f>
        <v>100</v>
      </c>
      <c r="V23" s="1574" t="s">
        <v>8</v>
      </c>
      <c r="W23" s="1575">
        <f>J23</f>
        <v>100</v>
      </c>
      <c r="X23" s="1568"/>
      <c r="Y23" s="338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7"/>
      <c r="Q24" s="1573"/>
      <c r="R24" s="1574"/>
      <c r="S24" s="1575"/>
      <c r="T24" s="1574"/>
      <c r="U24" s="1575"/>
      <c r="V24" s="1574"/>
      <c r="W24" s="1575"/>
      <c r="X24" s="1568"/>
      <c r="Y24" s="338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7"/>
      <c r="Q25" s="1573">
        <f>B25</f>
        <v>111</v>
      </c>
      <c r="R25" s="1574" t="s">
        <v>8</v>
      </c>
      <c r="S25" s="1575">
        <f>F25</f>
        <v>100</v>
      </c>
      <c r="T25" s="1574" t="s">
        <v>8</v>
      </c>
      <c r="U25" s="1575">
        <f>H25</f>
        <v>100</v>
      </c>
      <c r="V25" s="1574" t="s">
        <v>8</v>
      </c>
      <c r="W25" s="1575">
        <f>J25</f>
        <v>100</v>
      </c>
      <c r="X25" s="1568"/>
      <c r="Y25" s="338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7"/>
      <c r="Q26" s="1573">
        <f t="shared" ref="Q26:Q40" si="11">B26</f>
        <v>111</v>
      </c>
      <c r="R26" s="1574" t="s">
        <v>8</v>
      </c>
      <c r="S26" s="1575">
        <f>F26</f>
        <v>100</v>
      </c>
      <c r="T26" s="1574" t="s">
        <v>8</v>
      </c>
      <c r="U26" s="1575">
        <f>H26</f>
        <v>100</v>
      </c>
      <c r="V26" s="1574" t="s">
        <v>8</v>
      </c>
      <c r="W26" s="1575">
        <f>J26</f>
        <v>100</v>
      </c>
      <c r="X26" s="1568"/>
      <c r="Y26" s="338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7"/>
      <c r="Q27" s="1151">
        <f t="shared" si="11"/>
        <v>111</v>
      </c>
      <c r="R27" s="1569" t="s">
        <v>8</v>
      </c>
      <c r="S27" s="1570">
        <f>F27</f>
        <v>100</v>
      </c>
      <c r="T27" s="1569" t="s">
        <v>8</v>
      </c>
      <c r="U27" s="1570">
        <f>H27</f>
        <v>100</v>
      </c>
      <c r="V27" s="1569" t="s">
        <v>8</v>
      </c>
      <c r="W27" s="1570">
        <f>J27</f>
        <v>100</v>
      </c>
      <c r="X27" s="1571"/>
      <c r="Y27" s="338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7"/>
      <c r="Q28" s="1573">
        <f t="shared" si="11"/>
        <v>111</v>
      </c>
      <c r="R28" s="1574" t="s">
        <v>8</v>
      </c>
      <c r="S28" s="1575">
        <f t="shared" ref="S28:S40" si="12">F28</f>
        <v>100</v>
      </c>
      <c r="T28" s="1574" t="s">
        <v>8</v>
      </c>
      <c r="U28" s="1575">
        <f t="shared" ref="U28:U40" si="13">H28</f>
        <v>100</v>
      </c>
      <c r="V28" s="1574" t="s">
        <v>8</v>
      </c>
      <c r="W28" s="1575">
        <f t="shared" ref="W28:W40" si="14">J28</f>
        <v>100</v>
      </c>
      <c r="X28" s="1568"/>
      <c r="Y28" s="3387"/>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8" t="s">
        <v>550</v>
      </c>
      <c r="Q29" s="1573" t="str">
        <f t="shared" si="11"/>
        <v>建筑类型</v>
      </c>
      <c r="R29" s="1574" t="s">
        <v>8</v>
      </c>
      <c r="S29" s="1575">
        <f t="shared" si="12"/>
        <v>100</v>
      </c>
      <c r="T29" s="1574" t="s">
        <v>8</v>
      </c>
      <c r="U29" s="1575">
        <f t="shared" si="13"/>
        <v>100</v>
      </c>
      <c r="V29" s="1574" t="s">
        <v>8</v>
      </c>
      <c r="W29" s="1575">
        <f t="shared" si="14"/>
        <v>100</v>
      </c>
      <c r="X29" s="1568"/>
      <c r="Y29" s="338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9"/>
      <c r="Q30" s="1606" t="str">
        <f t="shared" si="11"/>
        <v>项目建筑规模</v>
      </c>
      <c r="R30" s="1578" t="s">
        <v>8</v>
      </c>
      <c r="S30" s="1579" t="e">
        <f t="shared" si="12"/>
        <v>#N/A</v>
      </c>
      <c r="T30" s="1578" t="s">
        <v>8</v>
      </c>
      <c r="U30" s="1579" t="e">
        <f t="shared" si="13"/>
        <v>#N/A</v>
      </c>
      <c r="V30" s="1578" t="s">
        <v>8</v>
      </c>
      <c r="W30" s="1579" t="e">
        <f t="shared" si="14"/>
        <v>#N/A</v>
      </c>
      <c r="X30" s="1580"/>
      <c r="Y30" s="338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9"/>
      <c r="Q31" s="1573" t="str">
        <f t="shared" si="11"/>
        <v>建筑结构</v>
      </c>
      <c r="R31" s="1574" t="s">
        <v>8</v>
      </c>
      <c r="S31" s="1575">
        <f t="shared" si="12"/>
        <v>100</v>
      </c>
      <c r="T31" s="1574" t="s">
        <v>8</v>
      </c>
      <c r="U31" s="1575">
        <f t="shared" si="13"/>
        <v>100</v>
      </c>
      <c r="V31" s="1574" t="s">
        <v>8</v>
      </c>
      <c r="W31" s="1575">
        <f t="shared" si="14"/>
        <v>100</v>
      </c>
      <c r="X31" s="1568"/>
      <c r="Y31" s="338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9"/>
      <c r="Q32" s="1573" t="str">
        <f t="shared" si="11"/>
        <v>公共部分装修</v>
      </c>
      <c r="R32" s="1574" t="s">
        <v>8</v>
      </c>
      <c r="S32" s="1575">
        <f t="shared" si="12"/>
        <v>100</v>
      </c>
      <c r="T32" s="1574" t="s">
        <v>8</v>
      </c>
      <c r="U32" s="1575">
        <f t="shared" si="13"/>
        <v>100</v>
      </c>
      <c r="V32" s="1574" t="s">
        <v>8</v>
      </c>
      <c r="W32" s="1575">
        <f t="shared" si="14"/>
        <v>100</v>
      </c>
      <c r="X32" s="1568"/>
      <c r="Y32" s="338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9"/>
      <c r="Q33" s="1573" t="str">
        <f t="shared" si="11"/>
        <v>成新度</v>
      </c>
      <c r="R33" s="1574" t="s">
        <v>8</v>
      </c>
      <c r="S33" s="1575" t="e">
        <f t="shared" si="12"/>
        <v>#N/A</v>
      </c>
      <c r="T33" s="1574" t="s">
        <v>8</v>
      </c>
      <c r="U33" s="1575" t="e">
        <f t="shared" si="13"/>
        <v>#N/A</v>
      </c>
      <c r="V33" s="1574" t="s">
        <v>8</v>
      </c>
      <c r="W33" s="1575" t="e">
        <f t="shared" si="14"/>
        <v>#N/A</v>
      </c>
      <c r="X33" s="1568"/>
      <c r="Y33" s="338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9"/>
      <c r="Q34" s="1151" t="str">
        <f t="shared" si="11"/>
        <v>物业管理</v>
      </c>
      <c r="R34" s="1569" t="s">
        <v>8</v>
      </c>
      <c r="S34" s="1570">
        <f t="shared" si="12"/>
        <v>100</v>
      </c>
      <c r="T34" s="1569" t="s">
        <v>8</v>
      </c>
      <c r="U34" s="1570">
        <f t="shared" si="13"/>
        <v>100</v>
      </c>
      <c r="V34" s="1569" t="s">
        <v>8</v>
      </c>
      <c r="W34" s="1570">
        <f t="shared" si="14"/>
        <v>100</v>
      </c>
      <c r="X34" s="1571"/>
      <c r="Y34" s="3389"/>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9" t="s">
        <v>550</v>
      </c>
      <c r="Q35" s="1573" t="str">
        <f t="shared" si="11"/>
        <v>市政基础设施</v>
      </c>
      <c r="R35" s="1574" t="s">
        <v>8</v>
      </c>
      <c r="S35" s="1575">
        <f t="shared" si="12"/>
        <v>100</v>
      </c>
      <c r="T35" s="1574" t="s">
        <v>8</v>
      </c>
      <c r="U35" s="1575">
        <f t="shared" si="13"/>
        <v>100</v>
      </c>
      <c r="V35" s="1574" t="s">
        <v>8</v>
      </c>
      <c r="W35" s="1575">
        <f t="shared" si="14"/>
        <v>100</v>
      </c>
      <c r="X35" s="1568"/>
      <c r="Y35" s="338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9"/>
      <c r="Q36" s="1573" t="str">
        <f t="shared" si="11"/>
        <v>内部装修</v>
      </c>
      <c r="R36" s="1574" t="s">
        <v>8</v>
      </c>
      <c r="S36" s="1575">
        <f t="shared" si="12"/>
        <v>100</v>
      </c>
      <c r="T36" s="1574" t="s">
        <v>8</v>
      </c>
      <c r="U36" s="1575">
        <f t="shared" si="13"/>
        <v>100</v>
      </c>
      <c r="V36" s="1574" t="s">
        <v>8</v>
      </c>
      <c r="W36" s="1575">
        <f t="shared" si="14"/>
        <v>100</v>
      </c>
      <c r="X36" s="1568"/>
      <c r="Y36" s="338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9"/>
      <c r="Q37" s="1573" t="str">
        <f t="shared" si="11"/>
        <v>内部装修状况</v>
      </c>
      <c r="R37" s="1574" t="s">
        <v>8</v>
      </c>
      <c r="S37" s="1575">
        <f t="shared" si="12"/>
        <v>100</v>
      </c>
      <c r="T37" s="1574" t="s">
        <v>8</v>
      </c>
      <c r="U37" s="1575">
        <f t="shared" si="13"/>
        <v>100</v>
      </c>
      <c r="V37" s="1574" t="s">
        <v>8</v>
      </c>
      <c r="W37" s="1575">
        <f t="shared" si="14"/>
        <v>100</v>
      </c>
      <c r="X37" s="1568"/>
      <c r="Y37" s="338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9"/>
      <c r="Q38" s="1606">
        <f t="shared" si="11"/>
        <v>111</v>
      </c>
      <c r="R38" s="1578" t="s">
        <v>8</v>
      </c>
      <c r="S38" s="1579">
        <f t="shared" si="12"/>
        <v>100</v>
      </c>
      <c r="T38" s="1578" t="s">
        <v>8</v>
      </c>
      <c r="U38" s="1579">
        <f t="shared" si="13"/>
        <v>100</v>
      </c>
      <c r="V38" s="1578" t="s">
        <v>8</v>
      </c>
      <c r="W38" s="1579">
        <f t="shared" si="14"/>
        <v>100</v>
      </c>
      <c r="X38" s="1580"/>
      <c r="Y38" s="338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9"/>
      <c r="Q39" s="1573">
        <f t="shared" si="11"/>
        <v>111</v>
      </c>
      <c r="R39" s="1574" t="s">
        <v>8</v>
      </c>
      <c r="S39" s="1575">
        <f t="shared" si="12"/>
        <v>100</v>
      </c>
      <c r="T39" s="1574" t="s">
        <v>8</v>
      </c>
      <c r="U39" s="1575">
        <f t="shared" si="13"/>
        <v>100</v>
      </c>
      <c r="V39" s="1574" t="s">
        <v>8</v>
      </c>
      <c r="W39" s="1575">
        <f t="shared" si="14"/>
        <v>100</v>
      </c>
      <c r="X39" s="1568"/>
      <c r="Y39" s="338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86"/>
      <c r="Q40" s="1573">
        <f t="shared" si="11"/>
        <v>111</v>
      </c>
      <c r="R40" s="1574" t="s">
        <v>8</v>
      </c>
      <c r="S40" s="1575">
        <f t="shared" si="12"/>
        <v>100</v>
      </c>
      <c r="T40" s="1574" t="s">
        <v>8</v>
      </c>
      <c r="U40" s="1575">
        <f t="shared" si="13"/>
        <v>100</v>
      </c>
      <c r="V40" s="1574" t="s">
        <v>8</v>
      </c>
      <c r="W40" s="1575">
        <f t="shared" si="14"/>
        <v>100</v>
      </c>
      <c r="X40" s="1568"/>
      <c r="Y40" s="3486"/>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4" t="str">
        <f>A41</f>
        <v>成交单价（元/平方米）</v>
      </c>
      <c r="Q41" s="3384"/>
      <c r="R41" s="3485">
        <f>E41</f>
        <v>0</v>
      </c>
      <c r="S41" s="3485"/>
      <c r="T41" s="3485">
        <f>G41</f>
        <v>0</v>
      </c>
      <c r="U41" s="3485"/>
      <c r="V41" s="3485">
        <f>I41</f>
        <v>0</v>
      </c>
      <c r="W41" s="3485"/>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84" t="str">
        <f>A42</f>
        <v>比较价格（元/平方米）</v>
      </c>
      <c r="Q42" s="33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405" t="str">
        <f>A43</f>
        <v>估价对象XX用房的比较价格（楼面单价，元/平方米）</v>
      </c>
      <c r="Q43" s="3406"/>
      <c r="R43" s="3484" t="e">
        <f>IF(F1="售价",ROUND(AVERAGE(R42:V42),0),ROUND(AVERAGE(R42:V42),1))</f>
        <v>#DIV/0!</v>
      </c>
      <c r="S43" s="3484"/>
      <c r="T43" s="3484"/>
      <c r="U43" s="3484"/>
      <c r="V43" s="3484"/>
      <c r="W43" s="348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2018-7</v>
      </c>
      <c r="D52" s="2806">
        <f>EDATE(C52,-1)</f>
        <v>43252</v>
      </c>
      <c r="E52" s="2806">
        <f t="shared" ref="E52:O52" si="16">EDATE(D52,-1)</f>
        <v>43221</v>
      </c>
      <c r="F52" s="2806">
        <f t="shared" si="16"/>
        <v>43191</v>
      </c>
      <c r="G52" s="2806">
        <f t="shared" si="16"/>
        <v>43160</v>
      </c>
      <c r="H52" s="2806">
        <f t="shared" si="16"/>
        <v>43132</v>
      </c>
      <c r="I52" s="2806">
        <f t="shared" si="16"/>
        <v>43101</v>
      </c>
      <c r="J52" s="2806">
        <f t="shared" si="16"/>
        <v>43070</v>
      </c>
      <c r="K52" s="2806">
        <f t="shared" si="16"/>
        <v>43040</v>
      </c>
      <c r="L52" s="2806">
        <f t="shared" si="16"/>
        <v>43009</v>
      </c>
      <c r="M52" s="2806">
        <f t="shared" si="16"/>
        <v>42979</v>
      </c>
      <c r="N52" s="2806">
        <f t="shared" si="16"/>
        <v>42948</v>
      </c>
      <c r="O52" s="2806">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0" t="s">
        <v>798</v>
      </c>
      <c r="D4" s="3391"/>
      <c r="E4" s="3390" t="s">
        <v>799</v>
      </c>
      <c r="F4" s="3391"/>
      <c r="G4" s="3390" t="s">
        <v>800</v>
      </c>
      <c r="H4" s="3391"/>
      <c r="I4" s="3390" t="s">
        <v>801</v>
      </c>
      <c r="J4" s="3391"/>
      <c r="K4" s="514" t="s">
        <v>802</v>
      </c>
      <c r="L4" s="2135"/>
      <c r="M4" s="2136"/>
      <c r="N4" s="2136"/>
      <c r="O4" s="2136"/>
      <c r="P4" s="3392" t="s">
        <v>803</v>
      </c>
      <c r="Q4" s="3393"/>
      <c r="R4" s="3378" t="s">
        <v>799</v>
      </c>
      <c r="S4" s="3379"/>
      <c r="T4" s="3378" t="s">
        <v>800</v>
      </c>
      <c r="U4" s="3379"/>
      <c r="V4" s="3398" t="s">
        <v>801</v>
      </c>
      <c r="W4" s="3398"/>
      <c r="X4" s="1568"/>
      <c r="Y4" s="3378" t="s">
        <v>803</v>
      </c>
      <c r="Z4" s="3379"/>
      <c r="AA4" s="3373" t="s">
        <v>799</v>
      </c>
      <c r="AB4" s="3374" t="s">
        <v>800</v>
      </c>
      <c r="AC4" s="3373" t="s">
        <v>801</v>
      </c>
    </row>
    <row r="5" spans="1:29" ht="15">
      <c r="A5" s="515"/>
      <c r="B5" s="516"/>
      <c r="C5" s="3401" t="s">
        <v>2930</v>
      </c>
      <c r="D5" s="3402"/>
      <c r="E5" s="3401" t="s">
        <v>2931</v>
      </c>
      <c r="F5" s="3402"/>
      <c r="G5" s="3401" t="s">
        <v>2932</v>
      </c>
      <c r="H5" s="3402"/>
      <c r="I5" s="3401" t="s">
        <v>2933</v>
      </c>
      <c r="J5" s="3402"/>
      <c r="K5" s="514"/>
      <c r="L5" s="2135"/>
      <c r="M5" s="2136"/>
      <c r="N5" s="2136"/>
      <c r="O5" s="2136"/>
      <c r="P5" s="3394"/>
      <c r="Q5" s="3395"/>
      <c r="R5" s="3380"/>
      <c r="S5" s="3381"/>
      <c r="T5" s="3380"/>
      <c r="U5" s="3381"/>
      <c r="V5" s="3398"/>
      <c r="W5" s="3398"/>
      <c r="X5" s="1568"/>
      <c r="Y5" s="3380"/>
      <c r="Z5" s="3381"/>
      <c r="AA5" s="3374"/>
      <c r="AB5" s="3374"/>
      <c r="AC5" s="3374"/>
    </row>
    <row r="6" spans="1:29" ht="15.75" thickBot="1">
      <c r="A6" s="517"/>
      <c r="B6" s="518"/>
      <c r="C6" s="3399" t="s">
        <v>2934</v>
      </c>
      <c r="D6" s="3400"/>
      <c r="E6" s="3403" t="s">
        <v>2934</v>
      </c>
      <c r="F6" s="3404"/>
      <c r="G6" s="3399" t="s">
        <v>2934</v>
      </c>
      <c r="H6" s="3400"/>
      <c r="I6" s="3399" t="s">
        <v>2934</v>
      </c>
      <c r="J6" s="3400"/>
      <c r="K6" s="514" t="s">
        <v>528</v>
      </c>
      <c r="L6" s="2135"/>
      <c r="M6" s="2136"/>
      <c r="N6" s="2136"/>
      <c r="O6" s="2136"/>
      <c r="P6" s="3396"/>
      <c r="Q6" s="3397"/>
      <c r="R6" s="3380"/>
      <c r="S6" s="3381"/>
      <c r="T6" s="3382"/>
      <c r="U6" s="3383"/>
      <c r="V6" s="3398"/>
      <c r="W6" s="3398"/>
      <c r="X6" s="1568"/>
      <c r="Y6" s="3382"/>
      <c r="Z6" s="3383"/>
      <c r="AA6" s="3375"/>
      <c r="AB6" s="3375"/>
      <c r="AC6" s="3375"/>
    </row>
    <row r="7" spans="1:29" s="1220" customFormat="1" ht="15.75" thickBot="1">
      <c r="A7" s="2914"/>
      <c r="B7" s="2921" t="s">
        <v>529</v>
      </c>
      <c r="C7" s="519">
        <f>'数据-取费表'!B2</f>
        <v>43290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76" t="s">
        <v>530</v>
      </c>
      <c r="Q7" s="3385"/>
      <c r="R7" s="1569" t="s">
        <v>8</v>
      </c>
      <c r="S7" s="1570">
        <f t="shared" ref="S7:S14" si="0">F7</f>
        <v>0</v>
      </c>
      <c r="T7" s="1569" t="s">
        <v>8</v>
      </c>
      <c r="U7" s="1570">
        <f t="shared" ref="U7:U14" si="1">H7</f>
        <v>0</v>
      </c>
      <c r="V7" s="1569" t="s">
        <v>8</v>
      </c>
      <c r="W7" s="1570">
        <f t="shared" ref="W7:W14" si="2">J7</f>
        <v>0</v>
      </c>
      <c r="X7" s="1571"/>
      <c r="Y7" s="3376" t="s">
        <v>530</v>
      </c>
      <c r="Z7" s="3377"/>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76" t="s">
        <v>533</v>
      </c>
      <c r="Q8" s="3377"/>
      <c r="R8" s="1569" t="s">
        <v>8</v>
      </c>
      <c r="S8" s="1570">
        <f t="shared" si="0"/>
        <v>0</v>
      </c>
      <c r="T8" s="1569" t="s">
        <v>8</v>
      </c>
      <c r="U8" s="1570">
        <f t="shared" si="1"/>
        <v>0</v>
      </c>
      <c r="V8" s="1569" t="s">
        <v>8</v>
      </c>
      <c r="W8" s="1570">
        <f t="shared" si="2"/>
        <v>0</v>
      </c>
      <c r="X8" s="1571"/>
      <c r="Y8" s="3376" t="s">
        <v>533</v>
      </c>
      <c r="Z8" s="3377"/>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4" t="s">
        <v>535</v>
      </c>
      <c r="Q9" s="1151" t="str">
        <f t="shared" ref="Q9:Q14" si="6">B9</f>
        <v>用途</v>
      </c>
      <c r="R9" s="1569" t="s">
        <v>8</v>
      </c>
      <c r="S9" s="1570">
        <f t="shared" si="0"/>
        <v>100</v>
      </c>
      <c r="T9" s="1569" t="s">
        <v>8</v>
      </c>
      <c r="U9" s="1570">
        <f t="shared" si="1"/>
        <v>100</v>
      </c>
      <c r="V9" s="1569" t="s">
        <v>8</v>
      </c>
      <c r="W9" s="1570">
        <f t="shared" si="2"/>
        <v>100</v>
      </c>
      <c r="X9" s="1571"/>
      <c r="Y9" s="3341"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4"/>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6" t="s">
        <v>540</v>
      </c>
      <c r="Q14" s="1573" t="str">
        <f t="shared" si="6"/>
        <v>交通便捷度</v>
      </c>
      <c r="R14" s="1574" t="s">
        <v>8</v>
      </c>
      <c r="S14" s="1575">
        <f t="shared" si="0"/>
        <v>100</v>
      </c>
      <c r="T14" s="1574" t="s">
        <v>8</v>
      </c>
      <c r="U14" s="1575">
        <f t="shared" si="1"/>
        <v>100</v>
      </c>
      <c r="V14" s="1574" t="s">
        <v>8</v>
      </c>
      <c r="W14" s="1575">
        <f t="shared" si="2"/>
        <v>100</v>
      </c>
      <c r="X14" s="1568"/>
      <c r="Y14" s="338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7"/>
      <c r="Q15" s="1573"/>
      <c r="R15" s="1574"/>
      <c r="S15" s="1575"/>
      <c r="T15" s="1574"/>
      <c r="U15" s="1575"/>
      <c r="V15" s="1574"/>
      <c r="W15" s="1575"/>
      <c r="X15" s="1568"/>
      <c r="Y15" s="3387"/>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7"/>
      <c r="Q16" s="1573" t="str">
        <f>B16</f>
        <v>公共配套设施</v>
      </c>
      <c r="R16" s="1574" t="s">
        <v>8</v>
      </c>
      <c r="S16" s="1575">
        <f>F16</f>
        <v>100</v>
      </c>
      <c r="T16" s="1574" t="s">
        <v>8</v>
      </c>
      <c r="U16" s="1575">
        <f>H16</f>
        <v>100</v>
      </c>
      <c r="V16" s="1574" t="s">
        <v>8</v>
      </c>
      <c r="W16" s="1575">
        <f>J16</f>
        <v>100</v>
      </c>
      <c r="X16" s="1568"/>
      <c r="Y16" s="338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7"/>
      <c r="Q17" s="1573"/>
      <c r="R17" s="1574"/>
      <c r="S17" s="1575"/>
      <c r="T17" s="1574"/>
      <c r="U17" s="1575"/>
      <c r="V17" s="1574"/>
      <c r="W17" s="1575"/>
      <c r="X17" s="1568"/>
      <c r="Y17" s="3387"/>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7"/>
      <c r="Q18" s="2581" t="str">
        <f>B18</f>
        <v>基础设施水平</v>
      </c>
      <c r="R18" s="1574" t="s">
        <v>8</v>
      </c>
      <c r="S18" s="1575">
        <f>F18</f>
        <v>100</v>
      </c>
      <c r="T18" s="1574" t="s">
        <v>8</v>
      </c>
      <c r="U18" s="1575">
        <f>H18</f>
        <v>100</v>
      </c>
      <c r="V18" s="1574" t="s">
        <v>8</v>
      </c>
      <c r="W18" s="1575">
        <f>J18</f>
        <v>100</v>
      </c>
      <c r="X18" s="2583"/>
      <c r="Y18" s="3387"/>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87"/>
      <c r="Q19" s="2581"/>
      <c r="R19" s="1574"/>
      <c r="S19" s="1575"/>
      <c r="T19" s="1574"/>
      <c r="U19" s="1575"/>
      <c r="V19" s="1574"/>
      <c r="W19" s="1575"/>
      <c r="X19" s="2583"/>
      <c r="Y19" s="3387"/>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7"/>
      <c r="Q20" s="1573" t="str">
        <f>B20</f>
        <v>自然及人文环境</v>
      </c>
      <c r="R20" s="1574" t="s">
        <v>8</v>
      </c>
      <c r="S20" s="1575">
        <f>F20</f>
        <v>100</v>
      </c>
      <c r="T20" s="1574" t="s">
        <v>8</v>
      </c>
      <c r="U20" s="1575">
        <f>H20</f>
        <v>100</v>
      </c>
      <c r="V20" s="1574" t="s">
        <v>8</v>
      </c>
      <c r="W20" s="1575">
        <f>J20</f>
        <v>100</v>
      </c>
      <c r="X20" s="1568"/>
      <c r="Y20" s="338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7"/>
      <c r="Q21" s="1573"/>
      <c r="R21" s="1574"/>
      <c r="S21" s="1575"/>
      <c r="T21" s="1574"/>
      <c r="U21" s="1575"/>
      <c r="V21" s="1574"/>
      <c r="W21" s="1575"/>
      <c r="X21" s="1568"/>
      <c r="Y21" s="338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7"/>
      <c r="Q22" s="1573" t="str">
        <f>B22</f>
        <v>楼层</v>
      </c>
      <c r="R22" s="1574" t="s">
        <v>8</v>
      </c>
      <c r="S22" s="1575">
        <f>F22</f>
        <v>100</v>
      </c>
      <c r="T22" s="1574" t="s">
        <v>8</v>
      </c>
      <c r="U22" s="1575">
        <f>H22</f>
        <v>100</v>
      </c>
      <c r="V22" s="1574" t="s">
        <v>8</v>
      </c>
      <c r="W22" s="1575">
        <f>J22</f>
        <v>100</v>
      </c>
      <c r="X22" s="1568"/>
      <c r="Y22" s="338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7"/>
      <c r="Q23" s="1573">
        <f>B23</f>
        <v>111</v>
      </c>
      <c r="R23" s="1574" t="s">
        <v>8</v>
      </c>
      <c r="S23" s="1575">
        <f>F23</f>
        <v>100</v>
      </c>
      <c r="T23" s="1574" t="s">
        <v>8</v>
      </c>
      <c r="U23" s="1575">
        <f>H23</f>
        <v>100</v>
      </c>
      <c r="V23" s="1574" t="s">
        <v>8</v>
      </c>
      <c r="W23" s="1575">
        <f>J23</f>
        <v>100</v>
      </c>
      <c r="X23" s="1568"/>
      <c r="Y23" s="338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7"/>
      <c r="Q24" s="1573">
        <f t="shared" ref="Q24:Q36" si="11">B24</f>
        <v>111</v>
      </c>
      <c r="R24" s="1574" t="s">
        <v>8</v>
      </c>
      <c r="S24" s="1575">
        <f>F24</f>
        <v>100</v>
      </c>
      <c r="T24" s="1574" t="s">
        <v>8</v>
      </c>
      <c r="U24" s="1575">
        <f>H24</f>
        <v>100</v>
      </c>
      <c r="V24" s="1574" t="s">
        <v>8</v>
      </c>
      <c r="W24" s="1575">
        <f>J24</f>
        <v>100</v>
      </c>
      <c r="X24" s="1568"/>
      <c r="Y24" s="338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7"/>
      <c r="Q25" s="1151">
        <f t="shared" si="11"/>
        <v>111</v>
      </c>
      <c r="R25" s="1569" t="s">
        <v>8</v>
      </c>
      <c r="S25" s="1570">
        <f>F25</f>
        <v>100</v>
      </c>
      <c r="T25" s="1569" t="s">
        <v>8</v>
      </c>
      <c r="U25" s="1570">
        <f>H25</f>
        <v>100</v>
      </c>
      <c r="V25" s="1569" t="s">
        <v>8</v>
      </c>
      <c r="W25" s="1570">
        <f>J25</f>
        <v>100</v>
      </c>
      <c r="X25" s="1571"/>
      <c r="Y25" s="3387"/>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9"/>
      <c r="Q27" s="1606" t="str">
        <f t="shared" si="11"/>
        <v>项目停车位配比</v>
      </c>
      <c r="R27" s="1578" t="s">
        <v>8</v>
      </c>
      <c r="S27" s="1579">
        <f t="shared" si="12"/>
        <v>100</v>
      </c>
      <c r="T27" s="1578" t="s">
        <v>8</v>
      </c>
      <c r="U27" s="1579">
        <f t="shared" si="13"/>
        <v>100</v>
      </c>
      <c r="V27" s="1578" t="s">
        <v>8</v>
      </c>
      <c r="W27" s="1579">
        <f t="shared" si="14"/>
        <v>100</v>
      </c>
      <c r="X27" s="1580"/>
      <c r="Y27" s="338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9"/>
      <c r="Q28" s="1573" t="str">
        <f t="shared" si="11"/>
        <v>公共部分装修</v>
      </c>
      <c r="R28" s="1574" t="s">
        <v>8</v>
      </c>
      <c r="S28" s="1575">
        <f t="shared" si="12"/>
        <v>100</v>
      </c>
      <c r="T28" s="1574" t="s">
        <v>8</v>
      </c>
      <c r="U28" s="1575">
        <f t="shared" si="13"/>
        <v>100</v>
      </c>
      <c r="V28" s="1574" t="s">
        <v>8</v>
      </c>
      <c r="W28" s="1575">
        <f t="shared" si="14"/>
        <v>100</v>
      </c>
      <c r="X28" s="1568"/>
      <c r="Y28" s="338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9"/>
      <c r="Q29" s="1573" t="str">
        <f t="shared" si="11"/>
        <v>成新率</v>
      </c>
      <c r="R29" s="1574" t="s">
        <v>8</v>
      </c>
      <c r="S29" s="1575" t="e">
        <f t="shared" si="12"/>
        <v>#N/A</v>
      </c>
      <c r="T29" s="1574" t="s">
        <v>8</v>
      </c>
      <c r="U29" s="1575" t="e">
        <f t="shared" si="13"/>
        <v>#N/A</v>
      </c>
      <c r="V29" s="1574" t="s">
        <v>8</v>
      </c>
      <c r="W29" s="1575" t="e">
        <f t="shared" si="14"/>
        <v>#N/A</v>
      </c>
      <c r="X29" s="1568"/>
      <c r="Y29" s="338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9"/>
      <c r="Q30" s="1573" t="str">
        <f t="shared" si="11"/>
        <v>物业等级</v>
      </c>
      <c r="R30" s="1574" t="s">
        <v>8</v>
      </c>
      <c r="S30" s="1575">
        <f t="shared" si="12"/>
        <v>100</v>
      </c>
      <c r="T30" s="1574" t="s">
        <v>8</v>
      </c>
      <c r="U30" s="1575">
        <f t="shared" si="13"/>
        <v>100</v>
      </c>
      <c r="V30" s="1574" t="s">
        <v>8</v>
      </c>
      <c r="W30" s="1575">
        <f t="shared" si="14"/>
        <v>100</v>
      </c>
      <c r="X30" s="1568"/>
      <c r="Y30" s="338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9"/>
      <c r="Q31" s="1151" t="str">
        <f t="shared" si="11"/>
        <v>停车位面积</v>
      </c>
      <c r="R31" s="1569" t="s">
        <v>8</v>
      </c>
      <c r="S31" s="1570" t="e">
        <f t="shared" si="12"/>
        <v>#N/A</v>
      </c>
      <c r="T31" s="1569" t="s">
        <v>8</v>
      </c>
      <c r="U31" s="1570" t="e">
        <f t="shared" si="13"/>
        <v>#N/A</v>
      </c>
      <c r="V31" s="1569" t="s">
        <v>8</v>
      </c>
      <c r="W31" s="1570" t="e">
        <f t="shared" si="14"/>
        <v>#N/A</v>
      </c>
      <c r="X31" s="1571"/>
      <c r="Y31" s="338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9" t="s">
        <v>550</v>
      </c>
      <c r="Q32" s="1573" t="str">
        <f t="shared" si="11"/>
        <v>车位类型</v>
      </c>
      <c r="R32" s="1574" t="s">
        <v>8</v>
      </c>
      <c r="S32" s="1575">
        <f t="shared" si="12"/>
        <v>100</v>
      </c>
      <c r="T32" s="1574" t="s">
        <v>8</v>
      </c>
      <c r="U32" s="1575">
        <f t="shared" si="13"/>
        <v>100</v>
      </c>
      <c r="V32" s="1574" t="s">
        <v>8</v>
      </c>
      <c r="W32" s="1575">
        <f t="shared" si="14"/>
        <v>100</v>
      </c>
      <c r="X32" s="1568"/>
      <c r="Y32" s="338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9"/>
      <c r="Q33" s="1573" t="str">
        <f t="shared" si="11"/>
        <v>是否直接入户</v>
      </c>
      <c r="R33" s="1574" t="s">
        <v>8</v>
      </c>
      <c r="S33" s="1575">
        <f t="shared" si="12"/>
        <v>100</v>
      </c>
      <c r="T33" s="1574" t="s">
        <v>8</v>
      </c>
      <c r="U33" s="1575">
        <f t="shared" si="13"/>
        <v>100</v>
      </c>
      <c r="V33" s="1574" t="s">
        <v>8</v>
      </c>
      <c r="W33" s="1575">
        <f t="shared" si="14"/>
        <v>100</v>
      </c>
      <c r="X33" s="1568"/>
      <c r="Y33" s="338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9"/>
      <c r="Q34" s="1573">
        <f t="shared" si="11"/>
        <v>111</v>
      </c>
      <c r="R34" s="1574" t="s">
        <v>8</v>
      </c>
      <c r="S34" s="1575">
        <f t="shared" si="12"/>
        <v>100</v>
      </c>
      <c r="T34" s="1574" t="s">
        <v>8</v>
      </c>
      <c r="U34" s="1575">
        <f t="shared" si="13"/>
        <v>100</v>
      </c>
      <c r="V34" s="1574" t="s">
        <v>8</v>
      </c>
      <c r="W34" s="1575">
        <f t="shared" si="14"/>
        <v>100</v>
      </c>
      <c r="X34" s="1568"/>
      <c r="Y34" s="338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9"/>
      <c r="Q35" s="1606">
        <f t="shared" si="11"/>
        <v>111</v>
      </c>
      <c r="R35" s="1578" t="s">
        <v>8</v>
      </c>
      <c r="S35" s="1579">
        <f t="shared" si="12"/>
        <v>100</v>
      </c>
      <c r="T35" s="1578" t="s">
        <v>8</v>
      </c>
      <c r="U35" s="1579">
        <f t="shared" si="13"/>
        <v>100</v>
      </c>
      <c r="V35" s="1578" t="s">
        <v>8</v>
      </c>
      <c r="W35" s="1579">
        <f t="shared" si="14"/>
        <v>100</v>
      </c>
      <c r="X35" s="1580"/>
      <c r="Y35" s="338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9"/>
      <c r="Q36" s="1573">
        <f t="shared" si="11"/>
        <v>111</v>
      </c>
      <c r="R36" s="1574" t="s">
        <v>8</v>
      </c>
      <c r="S36" s="1575">
        <f t="shared" si="12"/>
        <v>100</v>
      </c>
      <c r="T36" s="1574" t="s">
        <v>8</v>
      </c>
      <c r="U36" s="1575">
        <f t="shared" si="13"/>
        <v>100</v>
      </c>
      <c r="V36" s="1574" t="s">
        <v>8</v>
      </c>
      <c r="W36" s="1575">
        <f t="shared" si="14"/>
        <v>100</v>
      </c>
      <c r="X36" s="1568"/>
      <c r="Y36" s="3389"/>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84" t="str">
        <f>A37</f>
        <v>成交单价</v>
      </c>
      <c r="Q37" s="3384"/>
      <c r="R37" s="3485">
        <f>E37</f>
        <v>0</v>
      </c>
      <c r="S37" s="3485"/>
      <c r="T37" s="3485">
        <f>G37</f>
        <v>0</v>
      </c>
      <c r="U37" s="3485"/>
      <c r="V37" s="3485">
        <f>I37</f>
        <v>0</v>
      </c>
      <c r="W37" s="3485"/>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84" t="str">
        <f>A38</f>
        <v>比较价格（元/平方米）</v>
      </c>
      <c r="Q38" s="338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405" t="str">
        <f>A39</f>
        <v>估价对象XX用房的比较价格（楼面单价，元/平方米）</v>
      </c>
      <c r="Q39" s="3406"/>
      <c r="R39" s="3484" t="e">
        <f>IF(F1="售价",ROUND(AVERAGE(R38:V38),0),ROUND(AVERAGE(R38:V38),1))</f>
        <v>#DIV/0!</v>
      </c>
      <c r="S39" s="3484"/>
      <c r="T39" s="3484"/>
      <c r="U39" s="3484"/>
      <c r="V39" s="3484"/>
      <c r="W39" s="348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2018-7</v>
      </c>
      <c r="D48" s="2806">
        <f>EDATE(C48,-1)</f>
        <v>43252</v>
      </c>
      <c r="E48" s="2806">
        <f t="shared" ref="E48:O48" si="16">EDATE(D48,-1)</f>
        <v>43221</v>
      </c>
      <c r="F48" s="2806">
        <f t="shared" si="16"/>
        <v>43191</v>
      </c>
      <c r="G48" s="2806">
        <f t="shared" si="16"/>
        <v>43160</v>
      </c>
      <c r="H48" s="2806">
        <f t="shared" si="16"/>
        <v>43132</v>
      </c>
      <c r="I48" s="2806">
        <f t="shared" si="16"/>
        <v>43101</v>
      </c>
      <c r="J48" s="2806">
        <f t="shared" si="16"/>
        <v>43070</v>
      </c>
      <c r="K48" s="2806">
        <f t="shared" si="16"/>
        <v>43040</v>
      </c>
      <c r="L48" s="2806">
        <f t="shared" si="16"/>
        <v>43009</v>
      </c>
      <c r="M48" s="2806">
        <f t="shared" si="16"/>
        <v>42979</v>
      </c>
      <c r="N48" s="2806">
        <f t="shared" si="16"/>
        <v>42948</v>
      </c>
      <c r="O48" s="2806">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0" t="s">
        <v>798</v>
      </c>
      <c r="D4" s="3391"/>
      <c r="E4" s="3414" t="s">
        <v>799</v>
      </c>
      <c r="F4" s="3415"/>
      <c r="G4" s="3390" t="s">
        <v>800</v>
      </c>
      <c r="H4" s="3391"/>
      <c r="I4" s="3390" t="s">
        <v>801</v>
      </c>
      <c r="J4" s="3391"/>
      <c r="K4" s="514" t="s">
        <v>802</v>
      </c>
      <c r="L4" s="2135"/>
      <c r="M4" s="2136"/>
      <c r="N4" s="2136"/>
      <c r="O4" s="2136"/>
      <c r="P4" s="3392" t="s">
        <v>803</v>
      </c>
      <c r="Q4" s="3393"/>
      <c r="R4" s="3378" t="s">
        <v>799</v>
      </c>
      <c r="S4" s="3379"/>
      <c r="T4" s="3378" t="s">
        <v>800</v>
      </c>
      <c r="U4" s="3379"/>
      <c r="V4" s="3398" t="s">
        <v>801</v>
      </c>
      <c r="W4" s="3398"/>
      <c r="X4" s="1568"/>
      <c r="Y4" s="3378" t="s">
        <v>803</v>
      </c>
      <c r="Z4" s="3379"/>
      <c r="AA4" s="3373" t="s">
        <v>799</v>
      </c>
      <c r="AB4" s="3374" t="s">
        <v>800</v>
      </c>
      <c r="AC4" s="3373" t="s">
        <v>801</v>
      </c>
    </row>
    <row r="5" spans="1:29" ht="15">
      <c r="A5" s="515"/>
      <c r="B5" s="516"/>
      <c r="C5" s="3401" t="s">
        <v>2930</v>
      </c>
      <c r="D5" s="3402"/>
      <c r="E5" s="3416" t="s">
        <v>2931</v>
      </c>
      <c r="F5" s="3417"/>
      <c r="G5" s="3401" t="s">
        <v>2932</v>
      </c>
      <c r="H5" s="3402"/>
      <c r="I5" s="3401" t="s">
        <v>2933</v>
      </c>
      <c r="J5" s="3402"/>
      <c r="K5" s="514"/>
      <c r="L5" s="2135"/>
      <c r="M5" s="2136"/>
      <c r="N5" s="2136"/>
      <c r="O5" s="2136"/>
      <c r="P5" s="3394"/>
      <c r="Q5" s="3395"/>
      <c r="R5" s="3380"/>
      <c r="S5" s="3381"/>
      <c r="T5" s="3380"/>
      <c r="U5" s="3381"/>
      <c r="V5" s="3398"/>
      <c r="W5" s="3398"/>
      <c r="X5" s="1568"/>
      <c r="Y5" s="3380"/>
      <c r="Z5" s="3381"/>
      <c r="AA5" s="3374"/>
      <c r="AB5" s="3374"/>
      <c r="AC5" s="3374"/>
    </row>
    <row r="6" spans="1:29" ht="15.75" thickBot="1">
      <c r="A6" s="517"/>
      <c r="B6" s="518"/>
      <c r="C6" s="3399" t="s">
        <v>2934</v>
      </c>
      <c r="D6" s="3400"/>
      <c r="E6" s="3419" t="s">
        <v>2934</v>
      </c>
      <c r="F6" s="3420"/>
      <c r="G6" s="3399" t="s">
        <v>2934</v>
      </c>
      <c r="H6" s="3400"/>
      <c r="I6" s="3399" t="s">
        <v>2934</v>
      </c>
      <c r="J6" s="3400"/>
      <c r="K6" s="514" t="s">
        <v>528</v>
      </c>
      <c r="L6" s="2135"/>
      <c r="M6" s="2136"/>
      <c r="N6" s="2136"/>
      <c r="O6" s="2136"/>
      <c r="P6" s="3396"/>
      <c r="Q6" s="3397"/>
      <c r="R6" s="3380"/>
      <c r="S6" s="3381"/>
      <c r="T6" s="3382"/>
      <c r="U6" s="3383"/>
      <c r="V6" s="3398"/>
      <c r="W6" s="3398"/>
      <c r="X6" s="1568"/>
      <c r="Y6" s="3382"/>
      <c r="Z6" s="3383"/>
      <c r="AA6" s="3375"/>
      <c r="AB6" s="3375"/>
      <c r="AC6" s="3375"/>
    </row>
    <row r="7" spans="1:29" s="1220" customFormat="1" ht="15.75" thickBot="1">
      <c r="A7" s="2914"/>
      <c r="B7" s="2921" t="s">
        <v>529</v>
      </c>
      <c r="C7" s="519">
        <f>'数据-取费表'!B2</f>
        <v>43290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76" t="s">
        <v>530</v>
      </c>
      <c r="Q7" s="3385"/>
      <c r="R7" s="1569" t="s">
        <v>8</v>
      </c>
      <c r="S7" s="1570">
        <f t="shared" ref="S7:S14" si="0">F7</f>
        <v>0</v>
      </c>
      <c r="T7" s="1569" t="s">
        <v>8</v>
      </c>
      <c r="U7" s="1570">
        <f t="shared" ref="U7:U14" si="1">H7</f>
        <v>0</v>
      </c>
      <c r="V7" s="1569" t="s">
        <v>8</v>
      </c>
      <c r="W7" s="1570">
        <f t="shared" ref="W7:W14" si="2">J7</f>
        <v>0</v>
      </c>
      <c r="X7" s="1571"/>
      <c r="Y7" s="3376" t="s">
        <v>530</v>
      </c>
      <c r="Z7" s="3377"/>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76" t="s">
        <v>533</v>
      </c>
      <c r="Q8" s="3377"/>
      <c r="R8" s="1569" t="s">
        <v>8</v>
      </c>
      <c r="S8" s="1570">
        <f t="shared" si="0"/>
        <v>0</v>
      </c>
      <c r="T8" s="1569" t="s">
        <v>8</v>
      </c>
      <c r="U8" s="1570">
        <f t="shared" si="1"/>
        <v>0</v>
      </c>
      <c r="V8" s="1569" t="s">
        <v>8</v>
      </c>
      <c r="W8" s="1570">
        <f t="shared" si="2"/>
        <v>0</v>
      </c>
      <c r="X8" s="1571"/>
      <c r="Y8" s="3376" t="s">
        <v>533</v>
      </c>
      <c r="Z8" s="3377"/>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4" t="s">
        <v>535</v>
      </c>
      <c r="Q9" s="1151" t="str">
        <f t="shared" ref="Q9:Q14" si="6">B9</f>
        <v>用途</v>
      </c>
      <c r="R9" s="1569" t="s">
        <v>8</v>
      </c>
      <c r="S9" s="1570">
        <f t="shared" si="0"/>
        <v>100</v>
      </c>
      <c r="T9" s="1569" t="s">
        <v>8</v>
      </c>
      <c r="U9" s="1570">
        <f t="shared" si="1"/>
        <v>100</v>
      </c>
      <c r="V9" s="1569" t="s">
        <v>8</v>
      </c>
      <c r="W9" s="1570">
        <f t="shared" si="2"/>
        <v>100</v>
      </c>
      <c r="X9" s="1571"/>
      <c r="Y9" s="3341"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4"/>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6" t="s">
        <v>540</v>
      </c>
      <c r="Q14" s="1573" t="str">
        <f t="shared" si="6"/>
        <v>交通便捷度</v>
      </c>
      <c r="R14" s="1574" t="s">
        <v>8</v>
      </c>
      <c r="S14" s="1575">
        <f t="shared" si="0"/>
        <v>100</v>
      </c>
      <c r="T14" s="1574" t="s">
        <v>8</v>
      </c>
      <c r="U14" s="1575">
        <f t="shared" si="1"/>
        <v>100</v>
      </c>
      <c r="V14" s="1574" t="s">
        <v>8</v>
      </c>
      <c r="W14" s="1575">
        <f t="shared" si="2"/>
        <v>100</v>
      </c>
      <c r="X14" s="1568"/>
      <c r="Y14" s="338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7"/>
      <c r="Q15" s="1573"/>
      <c r="R15" s="1574"/>
      <c r="S15" s="1575"/>
      <c r="T15" s="1574"/>
      <c r="U15" s="1575"/>
      <c r="V15" s="1574"/>
      <c r="W15" s="1575"/>
      <c r="X15" s="1568"/>
      <c r="Y15" s="3387"/>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7"/>
      <c r="Q16" s="1573" t="str">
        <f>B16</f>
        <v>公共配套设施</v>
      </c>
      <c r="R16" s="1574" t="s">
        <v>8</v>
      </c>
      <c r="S16" s="1575">
        <f>F16</f>
        <v>100</v>
      </c>
      <c r="T16" s="1574" t="s">
        <v>8</v>
      </c>
      <c r="U16" s="1575">
        <f>H16</f>
        <v>100</v>
      </c>
      <c r="V16" s="1574" t="s">
        <v>8</v>
      </c>
      <c r="W16" s="1575">
        <f>J16</f>
        <v>100</v>
      </c>
      <c r="X16" s="1568"/>
      <c r="Y16" s="338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7"/>
      <c r="Q17" s="1573"/>
      <c r="R17" s="1574"/>
      <c r="S17" s="1575"/>
      <c r="T17" s="1574"/>
      <c r="U17" s="1575"/>
      <c r="V17" s="1574"/>
      <c r="W17" s="1575"/>
      <c r="X17" s="1568"/>
      <c r="Y17" s="3387"/>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7"/>
      <c r="Q18" s="2581" t="str">
        <f>B18</f>
        <v>基础设施水平</v>
      </c>
      <c r="R18" s="1574" t="s">
        <v>8</v>
      </c>
      <c r="S18" s="1575">
        <f>F18</f>
        <v>100</v>
      </c>
      <c r="T18" s="1574" t="s">
        <v>8</v>
      </c>
      <c r="U18" s="1575">
        <f>H18</f>
        <v>100</v>
      </c>
      <c r="V18" s="1574" t="s">
        <v>8</v>
      </c>
      <c r="W18" s="1575">
        <f>J18</f>
        <v>100</v>
      </c>
      <c r="X18" s="2583"/>
      <c r="Y18" s="3387"/>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87"/>
      <c r="Q19" s="2581"/>
      <c r="R19" s="1574"/>
      <c r="S19" s="1575"/>
      <c r="T19" s="1574"/>
      <c r="U19" s="1575"/>
      <c r="V19" s="1574"/>
      <c r="W19" s="1575"/>
      <c r="X19" s="2583"/>
      <c r="Y19" s="3387"/>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7"/>
      <c r="Q20" s="1573" t="str">
        <f>B20</f>
        <v>自然及人文环境</v>
      </c>
      <c r="R20" s="1574" t="s">
        <v>8</v>
      </c>
      <c r="S20" s="1575">
        <f>F20</f>
        <v>100</v>
      </c>
      <c r="T20" s="1574" t="s">
        <v>8</v>
      </c>
      <c r="U20" s="1575">
        <f>H20</f>
        <v>100</v>
      </c>
      <c r="V20" s="1574" t="s">
        <v>8</v>
      </c>
      <c r="W20" s="1575">
        <f>J20</f>
        <v>100</v>
      </c>
      <c r="X20" s="1568"/>
      <c r="Y20" s="338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7"/>
      <c r="Q21" s="1573"/>
      <c r="R21" s="1574"/>
      <c r="S21" s="1575"/>
      <c r="T21" s="1574"/>
      <c r="U21" s="1575"/>
      <c r="V21" s="1574"/>
      <c r="W21" s="1575"/>
      <c r="X21" s="1568"/>
      <c r="Y21" s="338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7"/>
      <c r="Q22" s="1573" t="str">
        <f>B22</f>
        <v>楼层</v>
      </c>
      <c r="R22" s="1574" t="s">
        <v>8</v>
      </c>
      <c r="S22" s="1575">
        <f>F22</f>
        <v>100</v>
      </c>
      <c r="T22" s="1574" t="s">
        <v>8</v>
      </c>
      <c r="U22" s="1575">
        <f>H22</f>
        <v>100</v>
      </c>
      <c r="V22" s="1574" t="s">
        <v>8</v>
      </c>
      <c r="W22" s="1575">
        <f>J22</f>
        <v>100</v>
      </c>
      <c r="X22" s="1568"/>
      <c r="Y22" s="338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7"/>
      <c r="Q23" s="1573">
        <f>B23</f>
        <v>111</v>
      </c>
      <c r="R23" s="1574" t="s">
        <v>8</v>
      </c>
      <c r="S23" s="1575">
        <f>F23</f>
        <v>100</v>
      </c>
      <c r="T23" s="1574" t="s">
        <v>8</v>
      </c>
      <c r="U23" s="1575">
        <f>H23</f>
        <v>100</v>
      </c>
      <c r="V23" s="1574" t="s">
        <v>8</v>
      </c>
      <c r="W23" s="1575">
        <f>J23</f>
        <v>100</v>
      </c>
      <c r="X23" s="1568"/>
      <c r="Y23" s="338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7"/>
      <c r="Q24" s="1573">
        <f t="shared" ref="Q24:Q34" si="11">B24</f>
        <v>111</v>
      </c>
      <c r="R24" s="1574" t="s">
        <v>8</v>
      </c>
      <c r="S24" s="1575">
        <f>F24</f>
        <v>100</v>
      </c>
      <c r="T24" s="1574" t="s">
        <v>8</v>
      </c>
      <c r="U24" s="1575">
        <f>H24</f>
        <v>100</v>
      </c>
      <c r="V24" s="1574" t="s">
        <v>8</v>
      </c>
      <c r="W24" s="1575">
        <f>J24</f>
        <v>100</v>
      </c>
      <c r="X24" s="1568"/>
      <c r="Y24" s="338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7"/>
      <c r="Q25" s="1151">
        <f t="shared" si="11"/>
        <v>111</v>
      </c>
      <c r="R25" s="1569" t="s">
        <v>8</v>
      </c>
      <c r="S25" s="1570">
        <f>F25</f>
        <v>100</v>
      </c>
      <c r="T25" s="1569" t="s">
        <v>8</v>
      </c>
      <c r="U25" s="1570">
        <f>H25</f>
        <v>100</v>
      </c>
      <c r="V25" s="1569" t="s">
        <v>8</v>
      </c>
      <c r="W25" s="1570">
        <f>J25</f>
        <v>100</v>
      </c>
      <c r="X25" s="1571"/>
      <c r="Y25" s="3387"/>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9"/>
      <c r="Q27" s="1606" t="str">
        <f t="shared" si="11"/>
        <v>成新率</v>
      </c>
      <c r="R27" s="1578" t="s">
        <v>8</v>
      </c>
      <c r="S27" s="1579" t="e">
        <f t="shared" si="12"/>
        <v>#N/A</v>
      </c>
      <c r="T27" s="1578" t="s">
        <v>8</v>
      </c>
      <c r="U27" s="1579" t="e">
        <f t="shared" si="13"/>
        <v>#N/A</v>
      </c>
      <c r="V27" s="1578" t="s">
        <v>8</v>
      </c>
      <c r="W27" s="1579" t="e">
        <f t="shared" si="14"/>
        <v>#N/A</v>
      </c>
      <c r="X27" s="1580"/>
      <c r="Y27" s="338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9"/>
      <c r="Q28" s="1573" t="str">
        <f t="shared" si="11"/>
        <v>物业等级</v>
      </c>
      <c r="R28" s="1574" t="s">
        <v>8</v>
      </c>
      <c r="S28" s="1575">
        <f t="shared" si="12"/>
        <v>100</v>
      </c>
      <c r="T28" s="1574" t="s">
        <v>8</v>
      </c>
      <c r="U28" s="1575">
        <f t="shared" si="13"/>
        <v>100</v>
      </c>
      <c r="V28" s="1574" t="s">
        <v>8</v>
      </c>
      <c r="W28" s="1575">
        <f t="shared" si="14"/>
        <v>100</v>
      </c>
      <c r="X28" s="1568"/>
      <c r="Y28" s="338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9"/>
      <c r="Q29" s="1573" t="str">
        <f t="shared" si="11"/>
        <v>有无电梯</v>
      </c>
      <c r="R29" s="1574" t="s">
        <v>8</v>
      </c>
      <c r="S29" s="1575">
        <f t="shared" si="12"/>
        <v>100</v>
      </c>
      <c r="T29" s="1574" t="s">
        <v>8</v>
      </c>
      <c r="U29" s="1575">
        <f t="shared" si="13"/>
        <v>100</v>
      </c>
      <c r="V29" s="1574" t="s">
        <v>8</v>
      </c>
      <c r="W29" s="1575">
        <f t="shared" si="14"/>
        <v>100</v>
      </c>
      <c r="X29" s="1568"/>
      <c r="Y29" s="338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9"/>
      <c r="Q30" s="1573" t="str">
        <f t="shared" si="11"/>
        <v>建筑面积</v>
      </c>
      <c r="R30" s="1574" t="s">
        <v>8</v>
      </c>
      <c r="S30" s="1575" t="e">
        <f t="shared" si="12"/>
        <v>#N/A</v>
      </c>
      <c r="T30" s="1574" t="s">
        <v>8</v>
      </c>
      <c r="U30" s="1575" t="e">
        <f t="shared" si="13"/>
        <v>#N/A</v>
      </c>
      <c r="V30" s="1574" t="s">
        <v>8</v>
      </c>
      <c r="W30" s="1575" t="e">
        <f t="shared" si="14"/>
        <v>#N/A</v>
      </c>
      <c r="X30" s="1568"/>
      <c r="Y30" s="338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9"/>
      <c r="Q31" s="1151" t="str">
        <f t="shared" si="11"/>
        <v>是否封闭</v>
      </c>
      <c r="R31" s="1569" t="s">
        <v>8</v>
      </c>
      <c r="S31" s="1570">
        <f t="shared" si="12"/>
        <v>100</v>
      </c>
      <c r="T31" s="1569" t="s">
        <v>8</v>
      </c>
      <c r="U31" s="1570">
        <f t="shared" si="13"/>
        <v>100</v>
      </c>
      <c r="V31" s="1569" t="s">
        <v>8</v>
      </c>
      <c r="W31" s="1570">
        <f t="shared" si="14"/>
        <v>100</v>
      </c>
      <c r="X31" s="1571"/>
      <c r="Y31" s="338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9" t="s">
        <v>550</v>
      </c>
      <c r="Q32" s="1573">
        <f t="shared" si="11"/>
        <v>111</v>
      </c>
      <c r="R32" s="1574" t="s">
        <v>8</v>
      </c>
      <c r="S32" s="1575">
        <f t="shared" si="12"/>
        <v>100</v>
      </c>
      <c r="T32" s="1574" t="s">
        <v>8</v>
      </c>
      <c r="U32" s="1575">
        <f t="shared" si="13"/>
        <v>100</v>
      </c>
      <c r="V32" s="1574" t="s">
        <v>8</v>
      </c>
      <c r="W32" s="1575">
        <f t="shared" si="14"/>
        <v>100</v>
      </c>
      <c r="X32" s="1568"/>
      <c r="Y32" s="338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9"/>
      <c r="Q33" s="1573">
        <f t="shared" si="11"/>
        <v>111</v>
      </c>
      <c r="R33" s="1574" t="s">
        <v>8</v>
      </c>
      <c r="S33" s="1575">
        <f t="shared" si="12"/>
        <v>100</v>
      </c>
      <c r="T33" s="1574" t="s">
        <v>8</v>
      </c>
      <c r="U33" s="1575">
        <f t="shared" si="13"/>
        <v>100</v>
      </c>
      <c r="V33" s="1574" t="s">
        <v>8</v>
      </c>
      <c r="W33" s="1575">
        <f t="shared" si="14"/>
        <v>100</v>
      </c>
      <c r="X33" s="1568"/>
      <c r="Y33" s="338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9"/>
      <c r="Q34" s="1573">
        <f t="shared" si="11"/>
        <v>111</v>
      </c>
      <c r="R34" s="1574" t="s">
        <v>8</v>
      </c>
      <c r="S34" s="1575">
        <f t="shared" si="12"/>
        <v>100</v>
      </c>
      <c r="T34" s="1574" t="s">
        <v>8</v>
      </c>
      <c r="U34" s="1575">
        <f t="shared" si="13"/>
        <v>100</v>
      </c>
      <c r="V34" s="1574" t="s">
        <v>8</v>
      </c>
      <c r="W34" s="1575">
        <f t="shared" si="14"/>
        <v>100</v>
      </c>
      <c r="X34" s="1568"/>
      <c r="Y34" s="3389"/>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4" t="str">
        <f>A35</f>
        <v>成交单价（元/平方米）</v>
      </c>
      <c r="Q35" s="3384"/>
      <c r="R35" s="3485">
        <f>E35</f>
        <v>0</v>
      </c>
      <c r="S35" s="3485"/>
      <c r="T35" s="3485">
        <f>G35</f>
        <v>0</v>
      </c>
      <c r="U35" s="3485"/>
      <c r="V35" s="3485">
        <f>I35</f>
        <v>0</v>
      </c>
      <c r="W35" s="3485"/>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84" t="str">
        <f>A36</f>
        <v>比较价格（元/平方米）</v>
      </c>
      <c r="Q36" s="33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405" t="str">
        <f>A37</f>
        <v>估价对象XX用房的比较价格（楼面单价，元/平方米）</v>
      </c>
      <c r="Q37" s="3406"/>
      <c r="R37" s="3484" t="e">
        <f>IF(F1="售价",ROUND(AVERAGE(R36:V36),0),ROUND(AVERAGE(R36:V36),1))</f>
        <v>#DIV/0!</v>
      </c>
      <c r="S37" s="3484"/>
      <c r="T37" s="3484"/>
      <c r="U37" s="3484"/>
      <c r="V37" s="3484"/>
      <c r="W37" s="348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2018-7</v>
      </c>
      <c r="D46" s="2806">
        <f>EDATE(C46,-1)</f>
        <v>43252</v>
      </c>
      <c r="E46" s="2806">
        <f t="shared" ref="E46:O46" si="16">EDATE(D46,-1)</f>
        <v>43221</v>
      </c>
      <c r="F46" s="2806">
        <f t="shared" si="16"/>
        <v>43191</v>
      </c>
      <c r="G46" s="2806">
        <f t="shared" si="16"/>
        <v>43160</v>
      </c>
      <c r="H46" s="2806">
        <f t="shared" si="16"/>
        <v>43132</v>
      </c>
      <c r="I46" s="2806">
        <f t="shared" si="16"/>
        <v>43101</v>
      </c>
      <c r="J46" s="2806">
        <f t="shared" si="16"/>
        <v>43070</v>
      </c>
      <c r="K46" s="2806">
        <f t="shared" si="16"/>
        <v>43040</v>
      </c>
      <c r="L46" s="2806">
        <f t="shared" si="16"/>
        <v>43009</v>
      </c>
      <c r="M46" s="2806">
        <f t="shared" si="16"/>
        <v>42979</v>
      </c>
      <c r="N46" s="2806">
        <f t="shared" si="16"/>
        <v>42948</v>
      </c>
      <c r="O46" s="2806">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94" t="s">
        <v>2307</v>
      </c>
      <c r="D1" s="3495"/>
      <c r="E1" s="3495"/>
      <c r="F1" s="3495"/>
      <c r="G1" s="3495"/>
      <c r="H1" s="3495"/>
      <c r="I1" s="3495"/>
      <c r="J1" s="3495"/>
      <c r="K1" s="3495"/>
      <c r="L1" s="3495"/>
      <c r="M1" s="3495"/>
      <c r="N1" s="3495"/>
      <c r="O1" s="3495"/>
      <c r="P1" s="3495"/>
      <c r="Q1" s="3495"/>
      <c r="R1" s="3495"/>
      <c r="S1" s="3496"/>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89"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1"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1"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0"/>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89" t="s">
        <v>2941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89"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89"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北京捷宸阳光科技发展有限公司：</v>
      </c>
    </row>
    <row r="4" spans="1:4" ht="37.5">
      <c r="A4" s="1793" t="str">
        <f>"受贵公司委托，我公司对"&amp;项目基本情况!K2&amp;项目基本情况!B9&amp;"进行了预评估。"</f>
        <v>受贵公司委托，我公司对北京市通州区马驹桥镇金桥科技产业基地出让国有建设用地使用权市场价格进行了预评估。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2018年7月9日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根据《国有土地使用证》[]，估价对象（分摊）出让国有建设用地使用权面积为86802.49平方米。根据《建设工程规划许可证》[]、《出让合同》[]，估价对象规划建筑面积为80808平方米。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43290</v>
      </c>
      <c r="H1" s="2940">
        <f>IF(C1&gt;C13,0,MATCH(C1,C$13:C$100,-1))+IF(SUMIF(C13:C100,C1,D13:D100)=0,13,12)</f>
        <v>13</v>
      </c>
      <c r="I1" s="2940">
        <f>MATCH(C2,H3:H7,1)+IF(SUMIF(H3:H7,C2,I3:I7)=0,2,1)</f>
        <v>5</v>
      </c>
      <c r="J1" s="2999">
        <f ca="1">MATCH(C3,H3:H7,1)+IF(SUMIF(H3:H7,C3,J3:J7)=0,2,1)</f>
        <v>4</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2</v>
      </c>
      <c r="D2" s="3002" t="s">
        <v>2791</v>
      </c>
      <c r="E2" s="3005">
        <f ca="1">INDIRECT("I"&amp;$I$1)/100</f>
        <v>4.7500000000000001E-2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1</v>
      </c>
      <c r="D3" s="3002" t="s">
        <v>2791</v>
      </c>
      <c r="E3" s="3005">
        <f ca="1">INDIRECT("J"&amp;$J$1)/100</f>
        <v>4.3499999999999997E-2</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2"/>
  <sheetViews>
    <sheetView workbookViewId="0">
      <selection activeCell="C11" sqref="C11"/>
    </sheetView>
  </sheetViews>
  <sheetFormatPr defaultRowHeight="13.5"/>
  <cols>
    <col min="1" max="1" width="36.25" customWidth="1"/>
    <col min="2" max="2" width="7.25" customWidth="1"/>
    <col min="4" max="4" width="7.125" customWidth="1"/>
    <col min="5" max="5" width="7" customWidth="1"/>
    <col min="9" max="9" width="12.875" customWidth="1"/>
    <col min="31" max="31" width="12.75" customWidth="1"/>
    <col min="32" max="32" width="12.375" customWidth="1"/>
    <col min="33" max="33" width="10.5" customWidth="1"/>
    <col min="35" max="35" width="15.75" customWidth="1"/>
    <col min="36" max="36" width="14.5" customWidth="1"/>
    <col min="37" max="37" width="15" customWidth="1"/>
  </cols>
  <sheetData>
    <row r="1" spans="1:45" s="3184" customFormat="1">
      <c r="A1" s="3183" t="s">
        <v>3038</v>
      </c>
      <c r="B1" s="3183" t="s">
        <v>3039</v>
      </c>
      <c r="C1" s="3183" t="s">
        <v>3040</v>
      </c>
      <c r="D1" s="3183" t="s">
        <v>3041</v>
      </c>
      <c r="E1" s="3183" t="s">
        <v>3042</v>
      </c>
      <c r="F1" s="3183" t="s">
        <v>3043</v>
      </c>
      <c r="G1" s="3183" t="s">
        <v>3044</v>
      </c>
      <c r="H1" s="3183" t="s">
        <v>3045</v>
      </c>
      <c r="I1" s="3183" t="s">
        <v>3046</v>
      </c>
      <c r="J1" s="3183" t="s">
        <v>3047</v>
      </c>
      <c r="K1" s="3183" t="s">
        <v>3048</v>
      </c>
      <c r="L1" s="3183" t="s">
        <v>2035</v>
      </c>
      <c r="M1" s="3183" t="s">
        <v>3049</v>
      </c>
      <c r="N1" s="3183" t="s">
        <v>3050</v>
      </c>
      <c r="O1" s="3183" t="s">
        <v>3051</v>
      </c>
      <c r="P1" s="3183" t="s">
        <v>3052</v>
      </c>
      <c r="Q1" s="3183" t="s">
        <v>3053</v>
      </c>
      <c r="R1" s="3183" t="s">
        <v>3054</v>
      </c>
      <c r="S1" s="3183" t="s">
        <v>3055</v>
      </c>
      <c r="T1" s="3183" t="s">
        <v>3056</v>
      </c>
      <c r="U1" s="3183" t="s">
        <v>3057</v>
      </c>
      <c r="V1" s="3183" t="s">
        <v>3058</v>
      </c>
      <c r="W1" s="3183" t="s">
        <v>3059</v>
      </c>
      <c r="X1" s="3183" t="s">
        <v>3060</v>
      </c>
      <c r="Y1" s="3183" t="s">
        <v>3061</v>
      </c>
      <c r="Z1" s="3183" t="s">
        <v>3062</v>
      </c>
      <c r="AA1" s="3183" t="s">
        <v>3063</v>
      </c>
      <c r="AB1" s="3183" t="s">
        <v>3064</v>
      </c>
      <c r="AC1" s="3183" t="s">
        <v>3065</v>
      </c>
      <c r="AD1" s="3183" t="s">
        <v>3066</v>
      </c>
      <c r="AE1" s="3183" t="s">
        <v>3067</v>
      </c>
      <c r="AF1" s="3183" t="s">
        <v>3068</v>
      </c>
      <c r="AG1" s="3183" t="s">
        <v>3069</v>
      </c>
      <c r="AH1" s="3183" t="s">
        <v>3070</v>
      </c>
      <c r="AI1" s="3183" t="s">
        <v>3071</v>
      </c>
      <c r="AJ1" s="3183" t="s">
        <v>3072</v>
      </c>
      <c r="AK1" s="3183" t="s">
        <v>3073</v>
      </c>
      <c r="AL1" s="3183" t="s">
        <v>3074</v>
      </c>
      <c r="AM1" s="3183" t="s">
        <v>3075</v>
      </c>
      <c r="AN1" s="3183" t="s">
        <v>3076</v>
      </c>
      <c r="AO1" s="3183" t="s">
        <v>3077</v>
      </c>
      <c r="AP1" s="3183" t="s">
        <v>3078</v>
      </c>
      <c r="AQ1" s="3183" t="s">
        <v>3079</v>
      </c>
      <c r="AR1" s="3183" t="s">
        <v>3080</v>
      </c>
      <c r="AS1" s="3183"/>
    </row>
    <row r="2" spans="1:45" s="2941" customFormat="1" ht="14.25">
      <c r="A2" s="3187" t="s">
        <v>3103</v>
      </c>
      <c r="B2" s="3188" t="s">
        <v>1948</v>
      </c>
      <c r="C2" s="3188" t="s">
        <v>3023</v>
      </c>
      <c r="D2" s="3188" t="s">
        <v>3095</v>
      </c>
      <c r="E2" s="3188" t="s">
        <v>2820</v>
      </c>
      <c r="F2" s="3188" t="s">
        <v>3104</v>
      </c>
      <c r="G2" s="3188" t="s">
        <v>3083</v>
      </c>
      <c r="H2" s="3188" t="s">
        <v>3105</v>
      </c>
      <c r="I2" s="3188" t="s">
        <v>982</v>
      </c>
      <c r="J2" s="3188">
        <v>23044.5</v>
      </c>
      <c r="K2" s="3188">
        <v>46089</v>
      </c>
      <c r="L2" s="3188">
        <v>2</v>
      </c>
      <c r="M2" s="3188" t="s">
        <v>2820</v>
      </c>
      <c r="N2" s="3188" t="s">
        <v>2820</v>
      </c>
      <c r="O2" s="3188" t="s">
        <v>2820</v>
      </c>
      <c r="P2" s="3188" t="s">
        <v>2820</v>
      </c>
      <c r="Q2" s="3188" t="s">
        <v>2820</v>
      </c>
      <c r="R2" s="3188" t="s">
        <v>2820</v>
      </c>
      <c r="S2" s="3188" t="s">
        <v>2820</v>
      </c>
      <c r="T2" s="3188" t="s">
        <v>2820</v>
      </c>
      <c r="U2" s="3188" t="s">
        <v>2820</v>
      </c>
      <c r="V2" s="3188" t="s">
        <v>2820</v>
      </c>
      <c r="W2" s="3188" t="s">
        <v>3106</v>
      </c>
      <c r="X2" s="3188" t="s">
        <v>3107</v>
      </c>
      <c r="Y2" s="3188" t="s">
        <v>3108</v>
      </c>
      <c r="Z2" s="3188" t="s">
        <v>3109</v>
      </c>
      <c r="AA2" s="3188" t="s">
        <v>3109</v>
      </c>
      <c r="AB2" s="3188" t="s">
        <v>3105</v>
      </c>
      <c r="AC2" s="3188" t="s">
        <v>3090</v>
      </c>
      <c r="AD2" s="3188" t="s">
        <v>3110</v>
      </c>
      <c r="AE2" s="3188">
        <v>1000</v>
      </c>
      <c r="AF2" s="3188">
        <v>4977.6000000000004</v>
      </c>
      <c r="AG2" s="3188">
        <v>4977.6000000000004</v>
      </c>
      <c r="AH2" s="3188">
        <v>144</v>
      </c>
      <c r="AI2" s="3188">
        <v>144</v>
      </c>
      <c r="AJ2" s="3188">
        <v>1079.99</v>
      </c>
      <c r="AK2" s="3188">
        <v>1080</v>
      </c>
      <c r="AL2" s="3188" t="s">
        <v>2820</v>
      </c>
      <c r="AM2" s="3188" t="s">
        <v>2820</v>
      </c>
      <c r="AN2" s="3188">
        <v>0</v>
      </c>
      <c r="AO2" s="3188" t="s">
        <v>3092</v>
      </c>
      <c r="AP2" s="3188" t="s">
        <v>2820</v>
      </c>
      <c r="AQ2" s="3188" t="s">
        <v>2820</v>
      </c>
      <c r="AR2" s="3188" t="s">
        <v>2820</v>
      </c>
      <c r="AS2" s="3188"/>
    </row>
    <row r="3" spans="1:45" s="2941" customFormat="1">
      <c r="A3" s="3188" t="s">
        <v>3111</v>
      </c>
      <c r="B3" s="3188" t="s">
        <v>1948</v>
      </c>
      <c r="C3" s="3188" t="s">
        <v>3023</v>
      </c>
      <c r="D3" s="3188" t="s">
        <v>3112</v>
      </c>
      <c r="E3" s="3188" t="s">
        <v>2820</v>
      </c>
      <c r="F3" s="3188" t="s">
        <v>3113</v>
      </c>
      <c r="G3" s="3188" t="s">
        <v>3083</v>
      </c>
      <c r="H3" s="3188" t="s">
        <v>3114</v>
      </c>
      <c r="I3" s="3188" t="s">
        <v>3115</v>
      </c>
      <c r="J3" s="3188">
        <v>4280.58</v>
      </c>
      <c r="K3" s="3188">
        <v>3424</v>
      </c>
      <c r="L3" s="3188">
        <v>0.8</v>
      </c>
      <c r="M3" s="3188" t="s">
        <v>2820</v>
      </c>
      <c r="N3" s="3188" t="s">
        <v>2820</v>
      </c>
      <c r="O3" s="3188" t="s">
        <v>2820</v>
      </c>
      <c r="P3" s="3188" t="s">
        <v>2820</v>
      </c>
      <c r="Q3" s="3188" t="s">
        <v>2820</v>
      </c>
      <c r="R3" s="3188" t="s">
        <v>2820</v>
      </c>
      <c r="S3" s="3188" t="s">
        <v>2820</v>
      </c>
      <c r="T3" s="3188" t="s">
        <v>2820</v>
      </c>
      <c r="U3" s="3188" t="s">
        <v>2820</v>
      </c>
      <c r="V3" s="3188" t="s">
        <v>2820</v>
      </c>
      <c r="W3" s="3188" t="s">
        <v>3106</v>
      </c>
      <c r="X3" s="3188" t="s">
        <v>3116</v>
      </c>
      <c r="Y3" s="3188" t="s">
        <v>3117</v>
      </c>
      <c r="Z3" s="3188" t="s">
        <v>3118</v>
      </c>
      <c r="AA3" s="3188" t="s">
        <v>3118</v>
      </c>
      <c r="AB3" s="3188" t="s">
        <v>3114</v>
      </c>
      <c r="AC3" s="3188" t="s">
        <v>3090</v>
      </c>
      <c r="AD3" s="3188" t="s">
        <v>3119</v>
      </c>
      <c r="AE3" s="3188">
        <v>200</v>
      </c>
      <c r="AF3" s="3188">
        <v>642.09</v>
      </c>
      <c r="AG3" s="3188">
        <v>642.09</v>
      </c>
      <c r="AH3" s="3188">
        <v>100</v>
      </c>
      <c r="AI3" s="3188">
        <v>100</v>
      </c>
      <c r="AJ3" s="3188">
        <v>1875.26</v>
      </c>
      <c r="AK3" s="3188">
        <v>1875.25</v>
      </c>
      <c r="AL3" s="3188" t="s">
        <v>2820</v>
      </c>
      <c r="AM3" s="3188" t="s">
        <v>2820</v>
      </c>
      <c r="AN3" s="3188">
        <v>0</v>
      </c>
      <c r="AO3" s="3188" t="s">
        <v>3092</v>
      </c>
      <c r="AP3" s="3188" t="s">
        <v>2820</v>
      </c>
      <c r="AQ3" s="3188" t="s">
        <v>2820</v>
      </c>
      <c r="AR3" s="3188" t="s">
        <v>2820</v>
      </c>
      <c r="AS3" s="3188"/>
    </row>
    <row r="4" spans="1:45" s="2941" customFormat="1">
      <c r="A4" s="3188" t="s">
        <v>3120</v>
      </c>
      <c r="B4" s="3188" t="s">
        <v>1948</v>
      </c>
      <c r="C4" s="3188" t="s">
        <v>3023</v>
      </c>
      <c r="D4" s="3188" t="s">
        <v>3095</v>
      </c>
      <c r="E4" s="3188" t="s">
        <v>2820</v>
      </c>
      <c r="F4" s="3188" t="s">
        <v>3121</v>
      </c>
      <c r="G4" s="3188" t="s">
        <v>3083</v>
      </c>
      <c r="H4" s="3188" t="s">
        <v>3122</v>
      </c>
      <c r="I4" s="3188" t="s">
        <v>982</v>
      </c>
      <c r="J4" s="3188">
        <v>82687.360000000001</v>
      </c>
      <c r="K4" s="3188">
        <v>157106</v>
      </c>
      <c r="L4" s="3188">
        <v>1.9</v>
      </c>
      <c r="M4" s="3188" t="s">
        <v>2820</v>
      </c>
      <c r="N4" s="3188" t="s">
        <v>2820</v>
      </c>
      <c r="O4" s="3188" t="s">
        <v>2820</v>
      </c>
      <c r="P4" s="3188" t="s">
        <v>2820</v>
      </c>
      <c r="Q4" s="3188" t="s">
        <v>2820</v>
      </c>
      <c r="R4" s="3188" t="s">
        <v>2820</v>
      </c>
      <c r="S4" s="3188" t="s">
        <v>2820</v>
      </c>
      <c r="T4" s="3188" t="s">
        <v>2820</v>
      </c>
      <c r="U4" s="3188" t="s">
        <v>2820</v>
      </c>
      <c r="V4" s="3188" t="s">
        <v>2820</v>
      </c>
      <c r="W4" s="3188" t="s">
        <v>3106</v>
      </c>
      <c r="X4" s="3188" t="s">
        <v>3123</v>
      </c>
      <c r="Y4" s="3188" t="s">
        <v>3124</v>
      </c>
      <c r="Z4" s="3188" t="s">
        <v>3125</v>
      </c>
      <c r="AA4" s="3188" t="s">
        <v>3125</v>
      </c>
      <c r="AB4" s="3188" t="s">
        <v>3122</v>
      </c>
      <c r="AC4" s="3188" t="s">
        <v>3090</v>
      </c>
      <c r="AD4" s="3188" t="s">
        <v>3126</v>
      </c>
      <c r="AE4" s="3188">
        <v>3000</v>
      </c>
      <c r="AF4" s="3188">
        <v>14688.07</v>
      </c>
      <c r="AG4" s="3188">
        <v>14688.07</v>
      </c>
      <c r="AH4" s="3188">
        <v>118.42</v>
      </c>
      <c r="AI4" s="3188">
        <v>118.42</v>
      </c>
      <c r="AJ4" s="3188">
        <v>934.91</v>
      </c>
      <c r="AK4" s="3188">
        <v>934.91</v>
      </c>
      <c r="AL4" s="3188" t="s">
        <v>2820</v>
      </c>
      <c r="AM4" s="3188" t="s">
        <v>2820</v>
      </c>
      <c r="AN4" s="3188">
        <v>0</v>
      </c>
      <c r="AO4" s="3188" t="s">
        <v>3092</v>
      </c>
      <c r="AP4" s="3188" t="s">
        <v>2820</v>
      </c>
      <c r="AQ4" s="3188" t="s">
        <v>2820</v>
      </c>
      <c r="AR4" s="3188" t="s">
        <v>2820</v>
      </c>
      <c r="AS4" s="3188"/>
    </row>
    <row r="5" spans="1:45" s="2941" customFormat="1">
      <c r="A5" s="3188" t="s">
        <v>3127</v>
      </c>
      <c r="B5" s="3188" t="s">
        <v>1948</v>
      </c>
      <c r="C5" s="3188" t="s">
        <v>3023</v>
      </c>
      <c r="D5" s="3188" t="s">
        <v>3095</v>
      </c>
      <c r="E5" s="3188" t="s">
        <v>2820</v>
      </c>
      <c r="F5" s="3188" t="s">
        <v>3128</v>
      </c>
      <c r="G5" s="3188" t="s">
        <v>3083</v>
      </c>
      <c r="H5" s="3188" t="s">
        <v>3129</v>
      </c>
      <c r="I5" s="3188" t="s">
        <v>982</v>
      </c>
      <c r="J5" s="3188">
        <v>791422.1</v>
      </c>
      <c r="K5" s="3188">
        <v>1187133</v>
      </c>
      <c r="L5" s="3188">
        <v>1.5</v>
      </c>
      <c r="M5" s="3188" t="s">
        <v>2820</v>
      </c>
      <c r="N5" s="3188" t="s">
        <v>2820</v>
      </c>
      <c r="O5" s="3188" t="s">
        <v>3092</v>
      </c>
      <c r="P5" s="3188" t="s">
        <v>2820</v>
      </c>
      <c r="Q5" s="3188" t="s">
        <v>2820</v>
      </c>
      <c r="R5" s="3188" t="s">
        <v>2820</v>
      </c>
      <c r="S5" s="3188" t="s">
        <v>2820</v>
      </c>
      <c r="T5" s="3188" t="s">
        <v>2820</v>
      </c>
      <c r="U5" s="3188" t="s">
        <v>2820</v>
      </c>
      <c r="V5" s="3188" t="s">
        <v>2820</v>
      </c>
      <c r="W5" s="3188" t="s">
        <v>3106</v>
      </c>
      <c r="X5" s="3188" t="s">
        <v>3123</v>
      </c>
      <c r="Y5" s="3188" t="s">
        <v>3124</v>
      </c>
      <c r="Z5" s="3188" t="s">
        <v>3130</v>
      </c>
      <c r="AA5" s="3188" t="s">
        <v>3130</v>
      </c>
      <c r="AB5" s="3188" t="s">
        <v>3129</v>
      </c>
      <c r="AC5" s="3188" t="s">
        <v>3090</v>
      </c>
      <c r="AD5" s="3188" t="s">
        <v>3131</v>
      </c>
      <c r="AE5" s="3188">
        <v>37600</v>
      </c>
      <c r="AF5" s="3188">
        <v>187820</v>
      </c>
      <c r="AG5" s="3188">
        <v>187820</v>
      </c>
      <c r="AH5" s="3188">
        <v>158.21</v>
      </c>
      <c r="AI5" s="3188">
        <v>158.21</v>
      </c>
      <c r="AJ5" s="3188">
        <v>1582.13</v>
      </c>
      <c r="AK5" s="3188">
        <v>1582.13</v>
      </c>
      <c r="AL5" s="3188" t="s">
        <v>2820</v>
      </c>
      <c r="AM5" s="3188" t="s">
        <v>2820</v>
      </c>
      <c r="AN5" s="3188">
        <v>0</v>
      </c>
      <c r="AO5" s="3188" t="s">
        <v>2820</v>
      </c>
      <c r="AP5" s="3188" t="s">
        <v>2820</v>
      </c>
      <c r="AQ5" s="3188" t="s">
        <v>2820</v>
      </c>
      <c r="AR5" s="3188" t="s">
        <v>2820</v>
      </c>
      <c r="AS5" s="3188"/>
    </row>
    <row r="6" spans="1:45" s="2941" customFormat="1">
      <c r="A6" s="3188" t="s">
        <v>3132</v>
      </c>
      <c r="B6" s="3188" t="s">
        <v>1948</v>
      </c>
      <c r="C6" s="3188" t="s">
        <v>3023</v>
      </c>
      <c r="D6" s="3188" t="s">
        <v>3095</v>
      </c>
      <c r="E6" s="3188" t="s">
        <v>2820</v>
      </c>
      <c r="F6" s="3188" t="s">
        <v>3132</v>
      </c>
      <c r="G6" s="3188" t="s">
        <v>3083</v>
      </c>
      <c r="H6" s="3188" t="s">
        <v>3133</v>
      </c>
      <c r="I6" s="3188" t="s">
        <v>982</v>
      </c>
      <c r="J6" s="3188">
        <v>23308.3</v>
      </c>
      <c r="K6" s="3188">
        <v>34962.449999999997</v>
      </c>
      <c r="L6" s="3188">
        <v>1.5</v>
      </c>
      <c r="M6" s="3188" t="s">
        <v>2820</v>
      </c>
      <c r="N6" s="3188" t="s">
        <v>2820</v>
      </c>
      <c r="O6" s="3188" t="s">
        <v>2820</v>
      </c>
      <c r="P6" s="3188" t="s">
        <v>2820</v>
      </c>
      <c r="Q6" s="3188" t="s">
        <v>2820</v>
      </c>
      <c r="R6" s="3188" t="s">
        <v>2820</v>
      </c>
      <c r="S6" s="3188" t="s">
        <v>2820</v>
      </c>
      <c r="T6" s="3188" t="s">
        <v>2820</v>
      </c>
      <c r="U6" s="3188" t="s">
        <v>2820</v>
      </c>
      <c r="V6" s="3188" t="s">
        <v>2820</v>
      </c>
      <c r="W6" s="3188" t="s">
        <v>3086</v>
      </c>
      <c r="X6" s="3188" t="s">
        <v>3134</v>
      </c>
      <c r="Y6" s="3188" t="s">
        <v>3135</v>
      </c>
      <c r="Z6" s="3188" t="s">
        <v>3136</v>
      </c>
      <c r="AA6" s="3188" t="s">
        <v>3136</v>
      </c>
      <c r="AB6" s="3188" t="s">
        <v>3133</v>
      </c>
      <c r="AC6" s="3188" t="s">
        <v>3090</v>
      </c>
      <c r="AD6" s="3188" t="s">
        <v>3137</v>
      </c>
      <c r="AE6" s="3188">
        <v>1100</v>
      </c>
      <c r="AF6" s="3188">
        <v>5244.36</v>
      </c>
      <c r="AG6" s="3188">
        <v>5244.36</v>
      </c>
      <c r="AH6" s="3188">
        <v>150</v>
      </c>
      <c r="AI6" s="3188">
        <v>150</v>
      </c>
      <c r="AJ6" s="3188">
        <v>1500</v>
      </c>
      <c r="AK6" s="3188">
        <v>1500</v>
      </c>
      <c r="AL6" s="3188" t="s">
        <v>2820</v>
      </c>
      <c r="AM6" s="3188" t="s">
        <v>2820</v>
      </c>
      <c r="AN6" s="3188">
        <v>0</v>
      </c>
      <c r="AO6" s="3188" t="s">
        <v>3092</v>
      </c>
      <c r="AP6" s="3188" t="s">
        <v>2820</v>
      </c>
      <c r="AQ6" s="3188" t="s">
        <v>2820</v>
      </c>
      <c r="AR6" s="3188" t="s">
        <v>2820</v>
      </c>
      <c r="AS6" s="3188"/>
    </row>
    <row r="7" spans="1:45" s="3186" customFormat="1">
      <c r="A7" s="3196" t="s">
        <v>3289</v>
      </c>
      <c r="B7" s="3185" t="s">
        <v>1948</v>
      </c>
      <c r="C7" s="3185" t="s">
        <v>3023</v>
      </c>
      <c r="D7" s="3185" t="s">
        <v>3095</v>
      </c>
      <c r="E7" s="3185" t="s">
        <v>2820</v>
      </c>
      <c r="F7" s="3185" t="s">
        <v>3138</v>
      </c>
      <c r="G7" s="3185" t="s">
        <v>3083</v>
      </c>
      <c r="H7" s="3185" t="s">
        <v>3139</v>
      </c>
      <c r="I7" s="3185" t="s">
        <v>3140</v>
      </c>
      <c r="J7" s="3185">
        <v>19655.95</v>
      </c>
      <c r="K7" s="3185">
        <v>39312</v>
      </c>
      <c r="L7" s="3185">
        <v>8.3000000000000007</v>
      </c>
      <c r="M7" s="3185" t="s">
        <v>2820</v>
      </c>
      <c r="N7" s="3185" t="s">
        <v>2820</v>
      </c>
      <c r="O7" s="3185" t="s">
        <v>2820</v>
      </c>
      <c r="P7" s="3185" t="s">
        <v>2820</v>
      </c>
      <c r="Q7" s="3185" t="s">
        <v>2820</v>
      </c>
      <c r="R7" s="3185" t="s">
        <v>2820</v>
      </c>
      <c r="S7" s="3185" t="s">
        <v>2820</v>
      </c>
      <c r="T7" s="3185" t="s">
        <v>2820</v>
      </c>
      <c r="U7" s="3185" t="s">
        <v>2820</v>
      </c>
      <c r="V7" s="3185" t="s">
        <v>2820</v>
      </c>
      <c r="W7" s="3185" t="s">
        <v>3086</v>
      </c>
      <c r="X7" s="3185" t="s">
        <v>3141</v>
      </c>
      <c r="Y7" s="3185" t="s">
        <v>3142</v>
      </c>
      <c r="Z7" s="3185" t="s">
        <v>3143</v>
      </c>
      <c r="AA7" s="3185" t="s">
        <v>3143</v>
      </c>
      <c r="AB7" s="3185" t="s">
        <v>3139</v>
      </c>
      <c r="AC7" s="3185" t="s">
        <v>3090</v>
      </c>
      <c r="AD7" s="3185" t="s">
        <v>3144</v>
      </c>
      <c r="AE7" s="3185">
        <v>530</v>
      </c>
      <c r="AF7" s="3185">
        <v>2634.78</v>
      </c>
      <c r="AG7" s="3185">
        <v>2634.78</v>
      </c>
      <c r="AH7" s="3185">
        <v>89.36</v>
      </c>
      <c r="AI7" s="3185">
        <v>89.36</v>
      </c>
      <c r="AJ7" s="3185">
        <v>670.22</v>
      </c>
      <c r="AK7" s="3185">
        <v>670.22</v>
      </c>
      <c r="AL7" s="3185" t="s">
        <v>2820</v>
      </c>
      <c r="AM7" s="3185" t="s">
        <v>2820</v>
      </c>
      <c r="AN7" s="3185">
        <v>0</v>
      </c>
      <c r="AO7" s="3185" t="s">
        <v>3092</v>
      </c>
      <c r="AP7" s="3185" t="s">
        <v>2820</v>
      </c>
      <c r="AQ7" s="3185" t="s">
        <v>2820</v>
      </c>
      <c r="AR7" s="3185" t="s">
        <v>2820</v>
      </c>
      <c r="AS7" s="3185"/>
    </row>
    <row r="8" spans="1:45" s="3191" customFormat="1" ht="14.25">
      <c r="A8" s="3189" t="s">
        <v>3145</v>
      </c>
      <c r="B8" s="3190" t="s">
        <v>1948</v>
      </c>
      <c r="C8" s="3190" t="s">
        <v>3023</v>
      </c>
      <c r="D8" s="3190" t="s">
        <v>3112</v>
      </c>
      <c r="E8" s="3190" t="s">
        <v>2820</v>
      </c>
      <c r="F8" s="3190" t="s">
        <v>3146</v>
      </c>
      <c r="G8" s="3190" t="s">
        <v>3083</v>
      </c>
      <c r="H8" s="3190" t="s">
        <v>3147</v>
      </c>
      <c r="I8" s="3190" t="s">
        <v>3148</v>
      </c>
      <c r="J8" s="3190">
        <v>31386.9</v>
      </c>
      <c r="K8" s="3190">
        <v>25110</v>
      </c>
      <c r="L8" s="3190">
        <v>0.8</v>
      </c>
      <c r="M8" s="3190" t="s">
        <v>2820</v>
      </c>
      <c r="N8" s="3190" t="s">
        <v>2820</v>
      </c>
      <c r="O8" s="3190" t="s">
        <v>2820</v>
      </c>
      <c r="P8" s="3190" t="s">
        <v>2820</v>
      </c>
      <c r="Q8" s="3190" t="s">
        <v>2820</v>
      </c>
      <c r="R8" s="3190" t="s">
        <v>2820</v>
      </c>
      <c r="S8" s="3190" t="s">
        <v>2820</v>
      </c>
      <c r="T8" s="3190" t="s">
        <v>2820</v>
      </c>
      <c r="U8" s="3190" t="s">
        <v>2820</v>
      </c>
      <c r="V8" s="3190" t="s">
        <v>2820</v>
      </c>
      <c r="W8" s="3190" t="s">
        <v>3086</v>
      </c>
      <c r="X8" s="3190" t="s">
        <v>3149</v>
      </c>
      <c r="Y8" s="3190" t="s">
        <v>3150</v>
      </c>
      <c r="Z8" s="3190" t="s">
        <v>3151</v>
      </c>
      <c r="AA8" s="3190" t="s">
        <v>3151</v>
      </c>
      <c r="AB8" s="3190" t="s">
        <v>3147</v>
      </c>
      <c r="AC8" s="3190" t="s">
        <v>3090</v>
      </c>
      <c r="AD8" s="3190" t="s">
        <v>3152</v>
      </c>
      <c r="AE8" s="3190">
        <v>3500</v>
      </c>
      <c r="AF8" s="3190">
        <v>11547.52</v>
      </c>
      <c r="AG8" s="3190">
        <v>11547.52</v>
      </c>
      <c r="AH8" s="3190">
        <v>245.27</v>
      </c>
      <c r="AI8" s="3190">
        <v>245.27</v>
      </c>
      <c r="AJ8" s="3190">
        <v>4598.7700000000004</v>
      </c>
      <c r="AK8" s="3190">
        <v>4598.7700000000004</v>
      </c>
      <c r="AL8" s="3190" t="s">
        <v>2820</v>
      </c>
      <c r="AM8" s="3190" t="s">
        <v>2820</v>
      </c>
      <c r="AN8" s="3190">
        <v>0</v>
      </c>
      <c r="AO8" s="3190" t="s">
        <v>3092</v>
      </c>
      <c r="AP8" s="3190" t="s">
        <v>2820</v>
      </c>
      <c r="AQ8" s="3190" t="s">
        <v>2820</v>
      </c>
      <c r="AR8" s="3190" t="s">
        <v>2820</v>
      </c>
      <c r="AS8" s="3190"/>
    </row>
    <row r="9" spans="1:45" s="3191" customFormat="1" ht="14.25">
      <c r="A9" s="3189" t="s">
        <v>3153</v>
      </c>
      <c r="B9" s="3190" t="s">
        <v>1948</v>
      </c>
      <c r="C9" s="3190" t="s">
        <v>3023</v>
      </c>
      <c r="D9" s="3190" t="s">
        <v>3112</v>
      </c>
      <c r="E9" s="3190" t="s">
        <v>2820</v>
      </c>
      <c r="F9" s="3190" t="s">
        <v>3154</v>
      </c>
      <c r="G9" s="3190" t="s">
        <v>3083</v>
      </c>
      <c r="H9" s="3190" t="s">
        <v>3155</v>
      </c>
      <c r="I9" s="3190" t="s">
        <v>3148</v>
      </c>
      <c r="J9" s="3190">
        <v>45231.1</v>
      </c>
      <c r="K9" s="3190">
        <v>36185</v>
      </c>
      <c r="L9" s="3190">
        <v>0.8</v>
      </c>
      <c r="M9" s="3190" t="s">
        <v>2820</v>
      </c>
      <c r="N9" s="3190" t="s">
        <v>2820</v>
      </c>
      <c r="O9" s="3190" t="s">
        <v>2820</v>
      </c>
      <c r="P9" s="3190" t="s">
        <v>2820</v>
      </c>
      <c r="Q9" s="3190" t="s">
        <v>2820</v>
      </c>
      <c r="R9" s="3190" t="s">
        <v>2820</v>
      </c>
      <c r="S9" s="3190" t="s">
        <v>2820</v>
      </c>
      <c r="T9" s="3190" t="s">
        <v>2820</v>
      </c>
      <c r="U9" s="3190" t="s">
        <v>2820</v>
      </c>
      <c r="V9" s="3190" t="s">
        <v>2820</v>
      </c>
      <c r="W9" s="3190" t="s">
        <v>3086</v>
      </c>
      <c r="X9" s="3190" t="s">
        <v>3149</v>
      </c>
      <c r="Y9" s="3190" t="s">
        <v>3150</v>
      </c>
      <c r="Z9" s="3190" t="s">
        <v>3156</v>
      </c>
      <c r="AA9" s="3190" t="s">
        <v>3156</v>
      </c>
      <c r="AB9" s="3190" t="s">
        <v>3155</v>
      </c>
      <c r="AC9" s="3190" t="s">
        <v>3090</v>
      </c>
      <c r="AD9" s="3190" t="s">
        <v>3157</v>
      </c>
      <c r="AE9" s="3190">
        <v>4200</v>
      </c>
      <c r="AF9" s="3190">
        <v>13943.25</v>
      </c>
      <c r="AG9" s="3190">
        <v>13943.25</v>
      </c>
      <c r="AH9" s="3190">
        <v>205.51</v>
      </c>
      <c r="AI9" s="3190">
        <v>205.51</v>
      </c>
      <c r="AJ9" s="3190">
        <v>3853.32</v>
      </c>
      <c r="AK9" s="3190">
        <v>3853.32</v>
      </c>
      <c r="AL9" s="3190" t="s">
        <v>2820</v>
      </c>
      <c r="AM9" s="3190" t="s">
        <v>2820</v>
      </c>
      <c r="AN9" s="3190">
        <v>0</v>
      </c>
      <c r="AO9" s="3190" t="s">
        <v>3092</v>
      </c>
      <c r="AP9" s="3190" t="s">
        <v>2820</v>
      </c>
      <c r="AQ9" s="3190" t="s">
        <v>2820</v>
      </c>
      <c r="AR9" s="3190" t="s">
        <v>2820</v>
      </c>
      <c r="AS9" s="3190"/>
    </row>
    <row r="10" spans="1:45" s="3191" customFormat="1">
      <c r="A10" s="3190" t="s">
        <v>3158</v>
      </c>
      <c r="B10" s="3190" t="s">
        <v>1948</v>
      </c>
      <c r="C10" s="3190" t="s">
        <v>3023</v>
      </c>
      <c r="D10" s="3190" t="s">
        <v>3112</v>
      </c>
      <c r="E10" s="3190" t="s">
        <v>2820</v>
      </c>
      <c r="F10" s="3190" t="s">
        <v>3159</v>
      </c>
      <c r="G10" s="3190" t="s">
        <v>3083</v>
      </c>
      <c r="H10" s="3190" t="s">
        <v>3160</v>
      </c>
      <c r="I10" s="3190" t="s">
        <v>3115</v>
      </c>
      <c r="J10" s="3190">
        <v>401615.3</v>
      </c>
      <c r="K10" s="3190">
        <v>401615</v>
      </c>
      <c r="L10" s="3190">
        <v>1</v>
      </c>
      <c r="M10" s="3190" t="s">
        <v>2820</v>
      </c>
      <c r="N10" s="3190" t="s">
        <v>2820</v>
      </c>
      <c r="O10" s="3190" t="s">
        <v>2820</v>
      </c>
      <c r="P10" s="3190" t="s">
        <v>2820</v>
      </c>
      <c r="Q10" s="3190" t="s">
        <v>2820</v>
      </c>
      <c r="R10" s="3190" t="s">
        <v>2820</v>
      </c>
      <c r="S10" s="3190" t="s">
        <v>2820</v>
      </c>
      <c r="T10" s="3190" t="s">
        <v>2820</v>
      </c>
      <c r="U10" s="3190" t="s">
        <v>2820</v>
      </c>
      <c r="V10" s="3190" t="s">
        <v>2820</v>
      </c>
      <c r="W10" s="3190" t="s">
        <v>3086</v>
      </c>
      <c r="X10" s="3190" t="s">
        <v>3149</v>
      </c>
      <c r="Y10" s="3190" t="s">
        <v>3150</v>
      </c>
      <c r="Z10" s="3190" t="s">
        <v>3156</v>
      </c>
      <c r="AA10" s="3190" t="s">
        <v>3156</v>
      </c>
      <c r="AB10" s="3190" t="s">
        <v>3160</v>
      </c>
      <c r="AC10" s="3190" t="s">
        <v>3090</v>
      </c>
      <c r="AD10" s="3190" t="s">
        <v>3161</v>
      </c>
      <c r="AE10" s="3190">
        <v>32800</v>
      </c>
      <c r="AF10" s="3190">
        <v>109378.8</v>
      </c>
      <c r="AG10" s="3190">
        <v>109378.8</v>
      </c>
      <c r="AH10" s="3190">
        <v>181.56</v>
      </c>
      <c r="AI10" s="3190">
        <v>181.56</v>
      </c>
      <c r="AJ10" s="3190">
        <v>2723.47</v>
      </c>
      <c r="AK10" s="3190">
        <v>2723.46</v>
      </c>
      <c r="AL10" s="3190" t="s">
        <v>2820</v>
      </c>
      <c r="AM10" s="3190" t="s">
        <v>2820</v>
      </c>
      <c r="AN10" s="3190">
        <v>0</v>
      </c>
      <c r="AO10" s="3190" t="s">
        <v>3092</v>
      </c>
      <c r="AP10" s="3190" t="s">
        <v>2820</v>
      </c>
      <c r="AQ10" s="3190" t="s">
        <v>2820</v>
      </c>
      <c r="AR10" s="3190" t="s">
        <v>2820</v>
      </c>
      <c r="AS10" s="3190"/>
    </row>
    <row r="11" spans="1:45" s="2941" customFormat="1">
      <c r="A11" s="3188" t="s">
        <v>3162</v>
      </c>
      <c r="B11" s="3188" t="s">
        <v>1948</v>
      </c>
      <c r="C11" s="3188" t="s">
        <v>3023</v>
      </c>
      <c r="D11" s="3188" t="s">
        <v>3095</v>
      </c>
      <c r="E11" s="3188" t="s">
        <v>2820</v>
      </c>
      <c r="F11" s="3188" t="s">
        <v>3162</v>
      </c>
      <c r="G11" s="3188" t="s">
        <v>3083</v>
      </c>
      <c r="H11" s="3188" t="s">
        <v>3163</v>
      </c>
      <c r="I11" s="3188" t="s">
        <v>3023</v>
      </c>
      <c r="J11" s="3188">
        <v>72743.12</v>
      </c>
      <c r="K11" s="3188">
        <v>109114.7</v>
      </c>
      <c r="L11" s="3188" t="s">
        <v>3164</v>
      </c>
      <c r="M11" s="3188" t="s">
        <v>2820</v>
      </c>
      <c r="N11" s="3188" t="s">
        <v>2820</v>
      </c>
      <c r="O11" s="3188" t="s">
        <v>2820</v>
      </c>
      <c r="P11" s="3188" t="s">
        <v>2820</v>
      </c>
      <c r="Q11" s="3188" t="s">
        <v>2820</v>
      </c>
      <c r="R11" s="3188" t="s">
        <v>2820</v>
      </c>
      <c r="S11" s="3188" t="s">
        <v>2820</v>
      </c>
      <c r="T11" s="3188" t="s">
        <v>2820</v>
      </c>
      <c r="U11" s="3188" t="s">
        <v>2820</v>
      </c>
      <c r="V11" s="3188" t="s">
        <v>2820</v>
      </c>
      <c r="W11" s="3188" t="s">
        <v>3086</v>
      </c>
      <c r="X11" s="3188" t="s">
        <v>3165</v>
      </c>
      <c r="Y11" s="3188" t="s">
        <v>3166</v>
      </c>
      <c r="Z11" s="3188" t="s">
        <v>3167</v>
      </c>
      <c r="AA11" s="3188" t="s">
        <v>3167</v>
      </c>
      <c r="AB11" s="3188" t="s">
        <v>3163</v>
      </c>
      <c r="AC11" s="3188" t="s">
        <v>3090</v>
      </c>
      <c r="AD11" s="3188" t="s">
        <v>3168</v>
      </c>
      <c r="AE11" s="3188">
        <v>2400</v>
      </c>
      <c r="AF11" s="3188">
        <v>11784.38</v>
      </c>
      <c r="AG11" s="3188">
        <v>11784.38</v>
      </c>
      <c r="AH11" s="3188">
        <v>108</v>
      </c>
      <c r="AI11" s="3188">
        <v>108</v>
      </c>
      <c r="AJ11" s="3188">
        <v>1080</v>
      </c>
      <c r="AK11" s="3188">
        <v>1080</v>
      </c>
      <c r="AL11" s="3188" t="s">
        <v>2820</v>
      </c>
      <c r="AM11" s="3188" t="s">
        <v>2820</v>
      </c>
      <c r="AN11" s="3188">
        <v>0</v>
      </c>
      <c r="AO11" s="3188" t="s">
        <v>3092</v>
      </c>
      <c r="AP11" s="3188" t="s">
        <v>2820</v>
      </c>
      <c r="AQ11" s="3188" t="s">
        <v>2820</v>
      </c>
      <c r="AR11" s="3188" t="s">
        <v>2820</v>
      </c>
      <c r="AS11" s="3188"/>
    </row>
    <row r="12" spans="1:45" s="2941" customFormat="1">
      <c r="A12" s="3188" t="s">
        <v>3169</v>
      </c>
      <c r="B12" s="3188" t="s">
        <v>1948</v>
      </c>
      <c r="C12" s="3188" t="s">
        <v>3023</v>
      </c>
      <c r="D12" s="3188" t="s">
        <v>3095</v>
      </c>
      <c r="E12" s="3188" t="s">
        <v>2820</v>
      </c>
      <c r="F12" s="3188" t="s">
        <v>3169</v>
      </c>
      <c r="G12" s="3188" t="s">
        <v>3083</v>
      </c>
      <c r="H12" s="3188" t="s">
        <v>3170</v>
      </c>
      <c r="I12" s="3188" t="s">
        <v>3023</v>
      </c>
      <c r="J12" s="3188">
        <v>20000.599999999999</v>
      </c>
      <c r="K12" s="3188">
        <v>30000.9</v>
      </c>
      <c r="L12" s="3188" t="s">
        <v>3171</v>
      </c>
      <c r="M12" s="3188" t="s">
        <v>2820</v>
      </c>
      <c r="N12" s="3188" t="s">
        <v>2820</v>
      </c>
      <c r="O12" s="3188" t="s">
        <v>2820</v>
      </c>
      <c r="P12" s="3188" t="s">
        <v>2820</v>
      </c>
      <c r="Q12" s="3188" t="s">
        <v>2820</v>
      </c>
      <c r="R12" s="3188" t="s">
        <v>2820</v>
      </c>
      <c r="S12" s="3188" t="s">
        <v>2820</v>
      </c>
      <c r="T12" s="3188" t="s">
        <v>2820</v>
      </c>
      <c r="U12" s="3188" t="s">
        <v>2820</v>
      </c>
      <c r="V12" s="3188" t="s">
        <v>2820</v>
      </c>
      <c r="W12" s="3188" t="s">
        <v>3086</v>
      </c>
      <c r="X12" s="3188" t="s">
        <v>3165</v>
      </c>
      <c r="Y12" s="3188" t="s">
        <v>3166</v>
      </c>
      <c r="Z12" s="3188" t="s">
        <v>3167</v>
      </c>
      <c r="AA12" s="3188" t="s">
        <v>3167</v>
      </c>
      <c r="AB12" s="3188" t="s">
        <v>3170</v>
      </c>
      <c r="AC12" s="3188" t="s">
        <v>3090</v>
      </c>
      <c r="AD12" s="3188" t="s">
        <v>3172</v>
      </c>
      <c r="AE12" s="3188">
        <v>650</v>
      </c>
      <c r="AF12" s="3188">
        <v>3240.09</v>
      </c>
      <c r="AG12" s="3188">
        <v>3240.09</v>
      </c>
      <c r="AH12" s="3188">
        <v>108</v>
      </c>
      <c r="AI12" s="3188">
        <v>108</v>
      </c>
      <c r="AJ12" s="3188">
        <v>1080</v>
      </c>
      <c r="AK12" s="3188">
        <v>1080</v>
      </c>
      <c r="AL12" s="3188" t="s">
        <v>2820</v>
      </c>
      <c r="AM12" s="3188" t="s">
        <v>2820</v>
      </c>
      <c r="AN12" s="3188">
        <v>0</v>
      </c>
      <c r="AO12" s="3188" t="s">
        <v>3092</v>
      </c>
      <c r="AP12" s="3188" t="s">
        <v>2820</v>
      </c>
      <c r="AQ12" s="3188" t="s">
        <v>2820</v>
      </c>
      <c r="AR12" s="3188" t="s">
        <v>2820</v>
      </c>
      <c r="AS12" s="3188"/>
    </row>
    <row r="13" spans="1:45" s="2941" customFormat="1">
      <c r="A13" s="3188" t="s">
        <v>3173</v>
      </c>
      <c r="B13" s="3188" t="s">
        <v>1948</v>
      </c>
      <c r="C13" s="3188" t="s">
        <v>3023</v>
      </c>
      <c r="D13" s="3188" t="s">
        <v>3174</v>
      </c>
      <c r="E13" s="3188" t="s">
        <v>2820</v>
      </c>
      <c r="F13" s="3188" t="s">
        <v>3175</v>
      </c>
      <c r="G13" s="3188" t="s">
        <v>3083</v>
      </c>
      <c r="H13" s="3188" t="s">
        <v>3176</v>
      </c>
      <c r="I13" s="3188" t="s">
        <v>3177</v>
      </c>
      <c r="J13" s="3188">
        <v>55333.599999999999</v>
      </c>
      <c r="K13" s="3188">
        <v>66400</v>
      </c>
      <c r="L13" s="3188" t="s">
        <v>3178</v>
      </c>
      <c r="M13" s="3188" t="s">
        <v>2820</v>
      </c>
      <c r="N13" s="3188" t="s">
        <v>2820</v>
      </c>
      <c r="O13" s="3188" t="s">
        <v>2820</v>
      </c>
      <c r="P13" s="3188" t="s">
        <v>2820</v>
      </c>
      <c r="Q13" s="3188" t="s">
        <v>2820</v>
      </c>
      <c r="R13" s="3188" t="s">
        <v>2820</v>
      </c>
      <c r="S13" s="3188" t="s">
        <v>2820</v>
      </c>
      <c r="T13" s="3188" t="s">
        <v>2820</v>
      </c>
      <c r="U13" s="3188" t="s">
        <v>2820</v>
      </c>
      <c r="V13" s="3188" t="s">
        <v>2820</v>
      </c>
      <c r="W13" s="3188" t="s">
        <v>3086</v>
      </c>
      <c r="X13" s="3188" t="s">
        <v>3165</v>
      </c>
      <c r="Y13" s="3188" t="s">
        <v>3166</v>
      </c>
      <c r="Z13" s="3188" t="s">
        <v>3167</v>
      </c>
      <c r="AA13" s="3188" t="s">
        <v>3167</v>
      </c>
      <c r="AB13" s="3188" t="s">
        <v>3176</v>
      </c>
      <c r="AC13" s="3188" t="s">
        <v>3090</v>
      </c>
      <c r="AD13" s="3188" t="s">
        <v>3179</v>
      </c>
      <c r="AE13" s="3188">
        <v>2000</v>
      </c>
      <c r="AF13" s="3188">
        <v>9634</v>
      </c>
      <c r="AG13" s="3188">
        <v>9634</v>
      </c>
      <c r="AH13" s="3188">
        <v>116.07</v>
      </c>
      <c r="AI13" s="3188">
        <v>116.07</v>
      </c>
      <c r="AJ13" s="3188">
        <v>1450.9</v>
      </c>
      <c r="AK13" s="3188">
        <v>1450.9</v>
      </c>
      <c r="AL13" s="3188" t="s">
        <v>2820</v>
      </c>
      <c r="AM13" s="3188" t="s">
        <v>2820</v>
      </c>
      <c r="AN13" s="3188">
        <v>0</v>
      </c>
      <c r="AO13" s="3188" t="s">
        <v>3092</v>
      </c>
      <c r="AP13" s="3188" t="s">
        <v>2820</v>
      </c>
      <c r="AQ13" s="3188" t="s">
        <v>2820</v>
      </c>
      <c r="AR13" s="3188" t="s">
        <v>2820</v>
      </c>
      <c r="AS13" s="3188"/>
    </row>
    <row r="14" spans="1:45" s="2941" customFormat="1">
      <c r="A14" s="3188" t="s">
        <v>3180</v>
      </c>
      <c r="B14" s="3188" t="s">
        <v>1948</v>
      </c>
      <c r="C14" s="3188" t="s">
        <v>3023</v>
      </c>
      <c r="D14" s="3188" t="s">
        <v>3095</v>
      </c>
      <c r="E14" s="3188" t="s">
        <v>2820</v>
      </c>
      <c r="F14" s="3188" t="s">
        <v>3180</v>
      </c>
      <c r="G14" s="3188" t="s">
        <v>3083</v>
      </c>
      <c r="H14" s="3188" t="s">
        <v>3181</v>
      </c>
      <c r="I14" s="3188" t="s">
        <v>3023</v>
      </c>
      <c r="J14" s="3188">
        <v>34726.1</v>
      </c>
      <c r="K14" s="3188">
        <v>52089.15</v>
      </c>
      <c r="L14" s="3188" t="s">
        <v>3164</v>
      </c>
      <c r="M14" s="3188" t="s">
        <v>2820</v>
      </c>
      <c r="N14" s="3188" t="s">
        <v>2820</v>
      </c>
      <c r="O14" s="3188" t="s">
        <v>2820</v>
      </c>
      <c r="P14" s="3188" t="s">
        <v>2820</v>
      </c>
      <c r="Q14" s="3188" t="s">
        <v>2820</v>
      </c>
      <c r="R14" s="3188" t="s">
        <v>2820</v>
      </c>
      <c r="S14" s="3188" t="s">
        <v>2820</v>
      </c>
      <c r="T14" s="3188" t="s">
        <v>2820</v>
      </c>
      <c r="U14" s="3188" t="s">
        <v>2820</v>
      </c>
      <c r="V14" s="3188" t="s">
        <v>2820</v>
      </c>
      <c r="W14" s="3188" t="s">
        <v>3086</v>
      </c>
      <c r="X14" s="3188" t="s">
        <v>3182</v>
      </c>
      <c r="Y14" s="3188" t="s">
        <v>3183</v>
      </c>
      <c r="Z14" s="3188" t="s">
        <v>3184</v>
      </c>
      <c r="AA14" s="3188" t="s">
        <v>3184</v>
      </c>
      <c r="AB14" s="3188" t="s">
        <v>3181</v>
      </c>
      <c r="AC14" s="3188" t="s">
        <v>3090</v>
      </c>
      <c r="AD14" s="3188" t="s">
        <v>3185</v>
      </c>
      <c r="AE14" s="3188">
        <v>1200</v>
      </c>
      <c r="AF14" s="3188">
        <v>5625.63</v>
      </c>
      <c r="AG14" s="3188">
        <v>5625.63</v>
      </c>
      <c r="AH14" s="3188">
        <v>108</v>
      </c>
      <c r="AI14" s="3188">
        <v>108</v>
      </c>
      <c r="AJ14" s="3188">
        <v>1080</v>
      </c>
      <c r="AK14" s="3188">
        <v>1080</v>
      </c>
      <c r="AL14" s="3188" t="s">
        <v>2820</v>
      </c>
      <c r="AM14" s="3188" t="s">
        <v>2820</v>
      </c>
      <c r="AN14" s="3188">
        <v>0</v>
      </c>
      <c r="AO14" s="3188" t="s">
        <v>3092</v>
      </c>
      <c r="AP14" s="3188" t="s">
        <v>2820</v>
      </c>
      <c r="AQ14" s="3188" t="s">
        <v>2820</v>
      </c>
      <c r="AR14" s="3188" t="s">
        <v>2820</v>
      </c>
      <c r="AS14" s="3188"/>
    </row>
    <row r="15" spans="1:45" s="2941" customFormat="1">
      <c r="A15" s="3188" t="s">
        <v>3186</v>
      </c>
      <c r="B15" s="3188" t="s">
        <v>1948</v>
      </c>
      <c r="C15" s="3188" t="s">
        <v>3023</v>
      </c>
      <c r="D15" s="3188" t="s">
        <v>3174</v>
      </c>
      <c r="E15" s="3188" t="s">
        <v>2820</v>
      </c>
      <c r="F15" s="3188" t="s">
        <v>3187</v>
      </c>
      <c r="G15" s="3188" t="s">
        <v>3083</v>
      </c>
      <c r="H15" s="3188" t="s">
        <v>3188</v>
      </c>
      <c r="I15" s="3188" t="s">
        <v>3115</v>
      </c>
      <c r="J15" s="3188">
        <v>32779.72</v>
      </c>
      <c r="K15" s="3188">
        <v>39335.660000000003</v>
      </c>
      <c r="L15" s="3188" t="s">
        <v>3178</v>
      </c>
      <c r="M15" s="3188" t="s">
        <v>2820</v>
      </c>
      <c r="N15" s="3188" t="s">
        <v>2820</v>
      </c>
      <c r="O15" s="3188" t="s">
        <v>2820</v>
      </c>
      <c r="P15" s="3188" t="s">
        <v>2820</v>
      </c>
      <c r="Q15" s="3188" t="s">
        <v>2820</v>
      </c>
      <c r="R15" s="3188" t="s">
        <v>2820</v>
      </c>
      <c r="S15" s="3188" t="s">
        <v>2820</v>
      </c>
      <c r="T15" s="3188" t="s">
        <v>2820</v>
      </c>
      <c r="U15" s="3188" t="s">
        <v>2820</v>
      </c>
      <c r="V15" s="3188" t="s">
        <v>2820</v>
      </c>
      <c r="W15" s="3188" t="s">
        <v>3086</v>
      </c>
      <c r="X15" s="3188" t="s">
        <v>3189</v>
      </c>
      <c r="Y15" s="3188" t="s">
        <v>3190</v>
      </c>
      <c r="Z15" s="3188" t="s">
        <v>3191</v>
      </c>
      <c r="AA15" s="3188" t="s">
        <v>3191</v>
      </c>
      <c r="AB15" s="3188" t="s">
        <v>3188</v>
      </c>
      <c r="AC15" s="3188" t="s">
        <v>3090</v>
      </c>
      <c r="AD15" s="3188" t="s">
        <v>3192</v>
      </c>
      <c r="AE15" s="3188">
        <v>900</v>
      </c>
      <c r="AF15" s="3188">
        <v>4456</v>
      </c>
      <c r="AG15" s="3188">
        <v>4456</v>
      </c>
      <c r="AH15" s="3188">
        <v>90.63</v>
      </c>
      <c r="AI15" s="3188">
        <v>90.63</v>
      </c>
      <c r="AJ15" s="3188">
        <v>1132.81</v>
      </c>
      <c r="AK15" s="3188">
        <v>1132.8</v>
      </c>
      <c r="AL15" s="3188" t="s">
        <v>2820</v>
      </c>
      <c r="AM15" s="3188" t="s">
        <v>2820</v>
      </c>
      <c r="AN15" s="3188">
        <v>0</v>
      </c>
      <c r="AO15" s="3188" t="s">
        <v>3092</v>
      </c>
      <c r="AP15" s="3188" t="s">
        <v>2820</v>
      </c>
      <c r="AQ15" s="3188" t="s">
        <v>2820</v>
      </c>
      <c r="AR15" s="3188" t="s">
        <v>2820</v>
      </c>
      <c r="AS15" s="3188"/>
    </row>
    <row r="16" spans="1:45" s="2941" customFormat="1">
      <c r="A16" s="3188" t="s">
        <v>3193</v>
      </c>
      <c r="B16" s="3188" t="s">
        <v>1948</v>
      </c>
      <c r="C16" s="3188" t="s">
        <v>3023</v>
      </c>
      <c r="D16" s="3188" t="s">
        <v>3174</v>
      </c>
      <c r="E16" s="3188" t="s">
        <v>2820</v>
      </c>
      <c r="F16" s="3188" t="s">
        <v>3194</v>
      </c>
      <c r="G16" s="3188" t="s">
        <v>3083</v>
      </c>
      <c r="H16" s="3188" t="s">
        <v>3195</v>
      </c>
      <c r="I16" s="3188" t="s">
        <v>3115</v>
      </c>
      <c r="J16" s="3188">
        <v>57769</v>
      </c>
      <c r="K16" s="3188">
        <v>57769</v>
      </c>
      <c r="L16" s="3188" t="s">
        <v>3196</v>
      </c>
      <c r="M16" s="3188" t="s">
        <v>2820</v>
      </c>
      <c r="N16" s="3188" t="s">
        <v>2820</v>
      </c>
      <c r="O16" s="3188" t="s">
        <v>2820</v>
      </c>
      <c r="P16" s="3188" t="s">
        <v>2820</v>
      </c>
      <c r="Q16" s="3188" t="s">
        <v>2820</v>
      </c>
      <c r="R16" s="3188" t="s">
        <v>2820</v>
      </c>
      <c r="S16" s="3188" t="s">
        <v>2820</v>
      </c>
      <c r="T16" s="3188" t="s">
        <v>2820</v>
      </c>
      <c r="U16" s="3188" t="s">
        <v>2820</v>
      </c>
      <c r="V16" s="3188" t="s">
        <v>2820</v>
      </c>
      <c r="W16" s="3188" t="s">
        <v>3086</v>
      </c>
      <c r="X16" s="3188" t="s">
        <v>3189</v>
      </c>
      <c r="Y16" s="3188" t="s">
        <v>3190</v>
      </c>
      <c r="Z16" s="3188" t="s">
        <v>3191</v>
      </c>
      <c r="AA16" s="3188" t="s">
        <v>3191</v>
      </c>
      <c r="AB16" s="3188" t="s">
        <v>3195</v>
      </c>
      <c r="AC16" s="3188" t="s">
        <v>3090</v>
      </c>
      <c r="AD16" s="3188" t="s">
        <v>3197</v>
      </c>
      <c r="AE16" s="3188">
        <v>1510</v>
      </c>
      <c r="AF16" s="3188">
        <v>7505</v>
      </c>
      <c r="AG16" s="3188">
        <v>7505</v>
      </c>
      <c r="AH16" s="3188">
        <v>86.61</v>
      </c>
      <c r="AI16" s="3188">
        <v>86.61</v>
      </c>
      <c r="AJ16" s="3188">
        <v>1299.1300000000001</v>
      </c>
      <c r="AK16" s="3188">
        <v>1299.1400000000001</v>
      </c>
      <c r="AL16" s="3188" t="s">
        <v>2820</v>
      </c>
      <c r="AM16" s="3188" t="s">
        <v>2820</v>
      </c>
      <c r="AN16" s="3188">
        <v>0</v>
      </c>
      <c r="AO16" s="3188" t="s">
        <v>3092</v>
      </c>
      <c r="AP16" s="3188" t="s">
        <v>2820</v>
      </c>
      <c r="AQ16" s="3188" t="s">
        <v>2820</v>
      </c>
      <c r="AR16" s="3188" t="s">
        <v>2820</v>
      </c>
      <c r="AS16" s="3188"/>
    </row>
    <row r="17" spans="1:45" s="2941" customFormat="1">
      <c r="A17" s="3188" t="s">
        <v>3198</v>
      </c>
      <c r="B17" s="3188" t="s">
        <v>1948</v>
      </c>
      <c r="C17" s="3188" t="s">
        <v>3023</v>
      </c>
      <c r="D17" s="3188" t="s">
        <v>3112</v>
      </c>
      <c r="E17" s="3188" t="s">
        <v>2820</v>
      </c>
      <c r="F17" s="3188" t="s">
        <v>3199</v>
      </c>
      <c r="G17" s="3188" t="s">
        <v>3083</v>
      </c>
      <c r="H17" s="3188" t="s">
        <v>3200</v>
      </c>
      <c r="I17" s="3188" t="s">
        <v>3115</v>
      </c>
      <c r="J17" s="3188">
        <v>11912.8</v>
      </c>
      <c r="K17" s="3188">
        <v>9530</v>
      </c>
      <c r="L17" s="3188">
        <v>0.8</v>
      </c>
      <c r="M17" s="3188" t="s">
        <v>2820</v>
      </c>
      <c r="N17" s="3188" t="s">
        <v>2820</v>
      </c>
      <c r="O17" s="3188" t="s">
        <v>2820</v>
      </c>
      <c r="P17" s="3188" t="s">
        <v>2820</v>
      </c>
      <c r="Q17" s="3188" t="s">
        <v>2820</v>
      </c>
      <c r="R17" s="3188" t="s">
        <v>2820</v>
      </c>
      <c r="S17" s="3188" t="s">
        <v>2820</v>
      </c>
      <c r="T17" s="3188" t="s">
        <v>2820</v>
      </c>
      <c r="U17" s="3188" t="s">
        <v>2820</v>
      </c>
      <c r="V17" s="3188" t="s">
        <v>2820</v>
      </c>
      <c r="W17" s="3188" t="s">
        <v>3086</v>
      </c>
      <c r="X17" s="3188" t="s">
        <v>3201</v>
      </c>
      <c r="Y17" s="3188" t="s">
        <v>3202</v>
      </c>
      <c r="Z17" s="3188" t="s">
        <v>3203</v>
      </c>
      <c r="AA17" s="3188" t="s">
        <v>3203</v>
      </c>
      <c r="AB17" s="3188" t="s">
        <v>3200</v>
      </c>
      <c r="AC17" s="3188" t="s">
        <v>3090</v>
      </c>
      <c r="AD17" s="3188" t="s">
        <v>3204</v>
      </c>
      <c r="AE17" s="3188">
        <v>530</v>
      </c>
      <c r="AF17" s="3188">
        <v>1798</v>
      </c>
      <c r="AG17" s="3188">
        <v>1798</v>
      </c>
      <c r="AH17" s="3188">
        <v>100.62</v>
      </c>
      <c r="AI17" s="3188">
        <v>100.62</v>
      </c>
      <c r="AJ17" s="3188">
        <v>1886.67</v>
      </c>
      <c r="AK17" s="3188">
        <v>1886.67</v>
      </c>
      <c r="AL17" s="3188" t="s">
        <v>2820</v>
      </c>
      <c r="AM17" s="3188" t="s">
        <v>2820</v>
      </c>
      <c r="AN17" s="3188">
        <v>0</v>
      </c>
      <c r="AO17" s="3188" t="s">
        <v>3092</v>
      </c>
      <c r="AP17" s="3188" t="s">
        <v>2820</v>
      </c>
      <c r="AQ17" s="3188" t="s">
        <v>2820</v>
      </c>
      <c r="AR17" s="3188" t="s">
        <v>2820</v>
      </c>
      <c r="AS17" s="3188"/>
    </row>
    <row r="18" spans="1:45" s="2941" customFormat="1">
      <c r="A18" s="3188" t="s">
        <v>3205</v>
      </c>
      <c r="B18" s="3188" t="s">
        <v>1948</v>
      </c>
      <c r="C18" s="3188" t="s">
        <v>3023</v>
      </c>
      <c r="D18" s="3188" t="s">
        <v>3095</v>
      </c>
      <c r="E18" s="3188" t="s">
        <v>2820</v>
      </c>
      <c r="F18" s="3188" t="s">
        <v>3205</v>
      </c>
      <c r="G18" s="3188" t="s">
        <v>3083</v>
      </c>
      <c r="H18" s="3188" t="s">
        <v>3206</v>
      </c>
      <c r="I18" s="3188" t="s">
        <v>3023</v>
      </c>
      <c r="J18" s="3188">
        <v>103751.8</v>
      </c>
      <c r="K18" s="3188">
        <v>155627.70000000001</v>
      </c>
      <c r="L18" s="3188" t="s">
        <v>3164</v>
      </c>
      <c r="M18" s="3188" t="s">
        <v>2820</v>
      </c>
      <c r="N18" s="3188" t="s">
        <v>2820</v>
      </c>
      <c r="O18" s="3188" t="s">
        <v>2820</v>
      </c>
      <c r="P18" s="3188" t="s">
        <v>2820</v>
      </c>
      <c r="Q18" s="3188" t="s">
        <v>2820</v>
      </c>
      <c r="R18" s="3188" t="s">
        <v>2820</v>
      </c>
      <c r="S18" s="3188" t="s">
        <v>2820</v>
      </c>
      <c r="T18" s="3188" t="s">
        <v>2820</v>
      </c>
      <c r="U18" s="3188" t="s">
        <v>2820</v>
      </c>
      <c r="V18" s="3188" t="s">
        <v>2820</v>
      </c>
      <c r="W18" s="3188" t="s">
        <v>3086</v>
      </c>
      <c r="X18" s="3188" t="s">
        <v>3207</v>
      </c>
      <c r="Y18" s="3188" t="s">
        <v>3208</v>
      </c>
      <c r="Z18" s="3188" t="s">
        <v>3189</v>
      </c>
      <c r="AA18" s="3188" t="s">
        <v>3189</v>
      </c>
      <c r="AB18" s="3188" t="s">
        <v>3206</v>
      </c>
      <c r="AC18" s="3188" t="s">
        <v>3090</v>
      </c>
      <c r="AD18" s="3188" t="s">
        <v>3209</v>
      </c>
      <c r="AE18" s="3188">
        <v>3400</v>
      </c>
      <c r="AF18" s="3188">
        <v>16807.79</v>
      </c>
      <c r="AG18" s="3188">
        <v>16807.79</v>
      </c>
      <c r="AH18" s="3188">
        <v>108</v>
      </c>
      <c r="AI18" s="3188">
        <v>108</v>
      </c>
      <c r="AJ18" s="3188">
        <v>1079.99</v>
      </c>
      <c r="AK18" s="3188">
        <v>1080</v>
      </c>
      <c r="AL18" s="3188" t="s">
        <v>2820</v>
      </c>
      <c r="AM18" s="3188" t="s">
        <v>2820</v>
      </c>
      <c r="AN18" s="3188">
        <v>0</v>
      </c>
      <c r="AO18" s="3188" t="s">
        <v>3092</v>
      </c>
      <c r="AP18" s="3188" t="s">
        <v>2820</v>
      </c>
      <c r="AQ18" s="3188" t="s">
        <v>2820</v>
      </c>
      <c r="AR18" s="3188" t="s">
        <v>2820</v>
      </c>
      <c r="AS18" s="3188"/>
    </row>
    <row r="19" spans="1:45" s="2941" customFormat="1">
      <c r="A19" s="3188" t="s">
        <v>3210</v>
      </c>
      <c r="B19" s="3188" t="s">
        <v>1948</v>
      </c>
      <c r="C19" s="3188" t="s">
        <v>3023</v>
      </c>
      <c r="D19" s="3188" t="s">
        <v>3095</v>
      </c>
      <c r="E19" s="3188" t="s">
        <v>2820</v>
      </c>
      <c r="F19" s="3188" t="s">
        <v>3210</v>
      </c>
      <c r="G19" s="3188" t="s">
        <v>3083</v>
      </c>
      <c r="H19" s="3188" t="s">
        <v>3211</v>
      </c>
      <c r="I19" s="3188" t="s">
        <v>3023</v>
      </c>
      <c r="J19" s="3188">
        <v>61106.9</v>
      </c>
      <c r="K19" s="3188">
        <v>122213.8</v>
      </c>
      <c r="L19" s="3188" t="s">
        <v>3212</v>
      </c>
      <c r="M19" s="3188" t="s">
        <v>2820</v>
      </c>
      <c r="N19" s="3188" t="s">
        <v>2820</v>
      </c>
      <c r="O19" s="3188" t="s">
        <v>2820</v>
      </c>
      <c r="P19" s="3188" t="s">
        <v>2820</v>
      </c>
      <c r="Q19" s="3188" t="s">
        <v>2820</v>
      </c>
      <c r="R19" s="3188" t="s">
        <v>2820</v>
      </c>
      <c r="S19" s="3188" t="s">
        <v>2820</v>
      </c>
      <c r="T19" s="3188" t="s">
        <v>2820</v>
      </c>
      <c r="U19" s="3188" t="s">
        <v>2820</v>
      </c>
      <c r="V19" s="3188" t="s">
        <v>2820</v>
      </c>
      <c r="W19" s="3188" t="s">
        <v>3086</v>
      </c>
      <c r="X19" s="3188" t="s">
        <v>3213</v>
      </c>
      <c r="Y19" s="3188" t="s">
        <v>3214</v>
      </c>
      <c r="Z19" s="3188" t="s">
        <v>3215</v>
      </c>
      <c r="AA19" s="3188" t="s">
        <v>3215</v>
      </c>
      <c r="AB19" s="3188" t="s">
        <v>3211</v>
      </c>
      <c r="AC19" s="3188" t="s">
        <v>3090</v>
      </c>
      <c r="AD19" s="3188" t="s">
        <v>3216</v>
      </c>
      <c r="AE19" s="3188">
        <v>2700</v>
      </c>
      <c r="AF19" s="3188">
        <v>13199.09</v>
      </c>
      <c r="AG19" s="3188">
        <v>13199.09</v>
      </c>
      <c r="AH19" s="3188">
        <v>144</v>
      </c>
      <c r="AI19" s="3188">
        <v>144</v>
      </c>
      <c r="AJ19" s="3188">
        <v>1080</v>
      </c>
      <c r="AK19" s="3188">
        <v>1080</v>
      </c>
      <c r="AL19" s="3188" t="s">
        <v>2820</v>
      </c>
      <c r="AM19" s="3188" t="s">
        <v>2820</v>
      </c>
      <c r="AN19" s="3188">
        <v>0</v>
      </c>
      <c r="AO19" s="3188" t="s">
        <v>3092</v>
      </c>
      <c r="AP19" s="3188" t="s">
        <v>2820</v>
      </c>
      <c r="AQ19" s="3188" t="s">
        <v>2820</v>
      </c>
      <c r="AR19" s="3188" t="s">
        <v>2820</v>
      </c>
      <c r="AS19" s="3188"/>
    </row>
    <row r="20" spans="1:45" s="2941" customFormat="1">
      <c r="A20" s="3188" t="s">
        <v>3217</v>
      </c>
      <c r="B20" s="3188" t="s">
        <v>1948</v>
      </c>
      <c r="C20" s="3188" t="s">
        <v>3023</v>
      </c>
      <c r="D20" s="3188" t="s">
        <v>3095</v>
      </c>
      <c r="E20" s="3188" t="s">
        <v>2820</v>
      </c>
      <c r="F20" s="3188" t="s">
        <v>3217</v>
      </c>
      <c r="G20" s="3188" t="s">
        <v>3083</v>
      </c>
      <c r="H20" s="3188" t="s">
        <v>3218</v>
      </c>
      <c r="I20" s="3188" t="s">
        <v>3023</v>
      </c>
      <c r="J20" s="3188">
        <v>2718.4</v>
      </c>
      <c r="K20" s="3188">
        <v>4077.6</v>
      </c>
      <c r="L20" s="3188" t="s">
        <v>3171</v>
      </c>
      <c r="M20" s="3188" t="s">
        <v>2820</v>
      </c>
      <c r="N20" s="3188" t="s">
        <v>2820</v>
      </c>
      <c r="O20" s="3188" t="s">
        <v>2820</v>
      </c>
      <c r="P20" s="3188" t="s">
        <v>2820</v>
      </c>
      <c r="Q20" s="3188" t="s">
        <v>2820</v>
      </c>
      <c r="R20" s="3188" t="s">
        <v>2820</v>
      </c>
      <c r="S20" s="3188" t="s">
        <v>2820</v>
      </c>
      <c r="T20" s="3188" t="s">
        <v>2820</v>
      </c>
      <c r="U20" s="3188" t="s">
        <v>2820</v>
      </c>
      <c r="V20" s="3188" t="s">
        <v>2820</v>
      </c>
      <c r="W20" s="3188" t="s">
        <v>3086</v>
      </c>
      <c r="X20" s="3188" t="s">
        <v>3219</v>
      </c>
      <c r="Y20" s="3188" t="s">
        <v>3220</v>
      </c>
      <c r="Z20" s="3188" t="s">
        <v>3221</v>
      </c>
      <c r="AA20" s="3188" t="s">
        <v>3221</v>
      </c>
      <c r="AB20" s="3188" t="s">
        <v>3218</v>
      </c>
      <c r="AC20" s="3188" t="s">
        <v>3090</v>
      </c>
      <c r="AD20" s="3188" t="s">
        <v>3222</v>
      </c>
      <c r="AE20" s="3188">
        <v>150</v>
      </c>
      <c r="AF20" s="3188">
        <v>611.63</v>
      </c>
      <c r="AG20" s="3188">
        <v>611.63</v>
      </c>
      <c r="AH20" s="3188">
        <v>150</v>
      </c>
      <c r="AI20" s="3188">
        <v>150</v>
      </c>
      <c r="AJ20" s="3188">
        <v>1500</v>
      </c>
      <c r="AK20" s="3188">
        <v>1500</v>
      </c>
      <c r="AL20" s="3188" t="s">
        <v>2820</v>
      </c>
      <c r="AM20" s="3188" t="s">
        <v>2820</v>
      </c>
      <c r="AN20" s="3188">
        <v>0</v>
      </c>
      <c r="AO20" s="3188" t="s">
        <v>3092</v>
      </c>
      <c r="AP20" s="3188" t="s">
        <v>2820</v>
      </c>
      <c r="AQ20" s="3188" t="s">
        <v>2820</v>
      </c>
      <c r="AR20" s="3188" t="s">
        <v>2820</v>
      </c>
      <c r="AS20" s="3188"/>
    </row>
    <row r="21" spans="1:45" s="2941" customFormat="1">
      <c r="A21" s="3188" t="s">
        <v>3223</v>
      </c>
      <c r="B21" s="3188" t="s">
        <v>1948</v>
      </c>
      <c r="C21" s="3188" t="s">
        <v>3023</v>
      </c>
      <c r="D21" s="3188" t="s">
        <v>3095</v>
      </c>
      <c r="E21" s="3188" t="s">
        <v>2820</v>
      </c>
      <c r="F21" s="3188" t="s">
        <v>3223</v>
      </c>
      <c r="G21" s="3188" t="s">
        <v>3083</v>
      </c>
      <c r="H21" s="3188" t="s">
        <v>3224</v>
      </c>
      <c r="I21" s="3188" t="s">
        <v>3023</v>
      </c>
      <c r="J21" s="3188">
        <v>11807.8</v>
      </c>
      <c r="K21" s="3188">
        <v>17711.7</v>
      </c>
      <c r="L21" s="3188" t="s">
        <v>3164</v>
      </c>
      <c r="M21" s="3188" t="s">
        <v>2820</v>
      </c>
      <c r="N21" s="3188" t="s">
        <v>2820</v>
      </c>
      <c r="O21" s="3188" t="s">
        <v>2820</v>
      </c>
      <c r="P21" s="3188" t="s">
        <v>2820</v>
      </c>
      <c r="Q21" s="3188" t="s">
        <v>2820</v>
      </c>
      <c r="R21" s="3188" t="s">
        <v>2820</v>
      </c>
      <c r="S21" s="3188" t="s">
        <v>2820</v>
      </c>
      <c r="T21" s="3188" t="s">
        <v>2820</v>
      </c>
      <c r="U21" s="3188" t="s">
        <v>2820</v>
      </c>
      <c r="V21" s="3188" t="s">
        <v>2820</v>
      </c>
      <c r="W21" s="3188" t="s">
        <v>3086</v>
      </c>
      <c r="X21" s="3188" t="s">
        <v>3219</v>
      </c>
      <c r="Y21" s="3188" t="s">
        <v>3220</v>
      </c>
      <c r="Z21" s="3188" t="s">
        <v>3225</v>
      </c>
      <c r="AA21" s="3188" t="s">
        <v>3225</v>
      </c>
      <c r="AB21" s="3188" t="s">
        <v>3224</v>
      </c>
      <c r="AC21" s="3188" t="s">
        <v>3090</v>
      </c>
      <c r="AD21" s="3188" t="s">
        <v>3226</v>
      </c>
      <c r="AE21" s="3188">
        <v>540</v>
      </c>
      <c r="AF21" s="3188">
        <v>2656.76</v>
      </c>
      <c r="AG21" s="3188">
        <v>2656.76</v>
      </c>
      <c r="AH21" s="3188">
        <v>150</v>
      </c>
      <c r="AI21" s="3188">
        <v>150</v>
      </c>
      <c r="AJ21" s="3188">
        <v>1500</v>
      </c>
      <c r="AK21" s="3188">
        <v>1500</v>
      </c>
      <c r="AL21" s="3188" t="s">
        <v>2820</v>
      </c>
      <c r="AM21" s="3188" t="s">
        <v>2820</v>
      </c>
      <c r="AN21" s="3188">
        <v>0</v>
      </c>
      <c r="AO21" s="3188" t="s">
        <v>3092</v>
      </c>
      <c r="AP21" s="3188" t="s">
        <v>2820</v>
      </c>
      <c r="AQ21" s="3188" t="s">
        <v>2820</v>
      </c>
      <c r="AR21" s="3188" t="s">
        <v>2820</v>
      </c>
      <c r="AS21" s="3188"/>
    </row>
    <row r="22" spans="1:45" s="2941" customFormat="1">
      <c r="A22" s="3188" t="s">
        <v>3227</v>
      </c>
      <c r="B22" s="3188" t="s">
        <v>1948</v>
      </c>
      <c r="C22" s="3188" t="s">
        <v>3023</v>
      </c>
      <c r="D22" s="3188" t="s">
        <v>3095</v>
      </c>
      <c r="E22" s="3188" t="s">
        <v>2820</v>
      </c>
      <c r="F22" s="3188" t="s">
        <v>3227</v>
      </c>
      <c r="G22" s="3188" t="s">
        <v>3083</v>
      </c>
      <c r="H22" s="3188" t="s">
        <v>3228</v>
      </c>
      <c r="I22" s="3188" t="s">
        <v>3023</v>
      </c>
      <c r="J22" s="3188">
        <v>40514.6</v>
      </c>
      <c r="K22" s="3188">
        <v>81029.2</v>
      </c>
      <c r="L22" s="3188" t="s">
        <v>3212</v>
      </c>
      <c r="M22" s="3188" t="s">
        <v>2820</v>
      </c>
      <c r="N22" s="3188" t="s">
        <v>2820</v>
      </c>
      <c r="O22" s="3188" t="s">
        <v>2820</v>
      </c>
      <c r="P22" s="3188" t="s">
        <v>2820</v>
      </c>
      <c r="Q22" s="3188" t="s">
        <v>2820</v>
      </c>
      <c r="R22" s="3188" t="s">
        <v>2820</v>
      </c>
      <c r="S22" s="3188" t="s">
        <v>2820</v>
      </c>
      <c r="T22" s="3188" t="s">
        <v>2820</v>
      </c>
      <c r="U22" s="3188" t="s">
        <v>2820</v>
      </c>
      <c r="V22" s="3188" t="s">
        <v>2820</v>
      </c>
      <c r="W22" s="3188" t="s">
        <v>3086</v>
      </c>
      <c r="X22" s="3188" t="s">
        <v>3219</v>
      </c>
      <c r="Y22" s="3188" t="s">
        <v>3220</v>
      </c>
      <c r="Z22" s="3188" t="s">
        <v>3225</v>
      </c>
      <c r="AA22" s="3188" t="s">
        <v>3225</v>
      </c>
      <c r="AB22" s="3188" t="s">
        <v>3228</v>
      </c>
      <c r="AC22" s="3188" t="s">
        <v>3090</v>
      </c>
      <c r="AD22" s="3188" t="s">
        <v>3229</v>
      </c>
      <c r="AE22" s="3188">
        <v>1500</v>
      </c>
      <c r="AF22" s="3188">
        <v>7049.53</v>
      </c>
      <c r="AG22" s="3188">
        <v>7049.53</v>
      </c>
      <c r="AH22" s="3188">
        <v>116</v>
      </c>
      <c r="AI22" s="3188">
        <v>116</v>
      </c>
      <c r="AJ22" s="3188">
        <v>869.99</v>
      </c>
      <c r="AK22" s="3188">
        <v>870</v>
      </c>
      <c r="AL22" s="3188" t="s">
        <v>2820</v>
      </c>
      <c r="AM22" s="3188" t="s">
        <v>2820</v>
      </c>
      <c r="AN22" s="3188">
        <v>0</v>
      </c>
      <c r="AO22" s="3188" t="s">
        <v>3092</v>
      </c>
      <c r="AP22" s="3188" t="s">
        <v>2820</v>
      </c>
      <c r="AQ22" s="3188" t="s">
        <v>2820</v>
      </c>
      <c r="AR22" s="3188" t="s">
        <v>2820</v>
      </c>
      <c r="AS22" s="3188"/>
    </row>
    <row r="23" spans="1:45" s="2941" customFormat="1">
      <c r="A23" s="3188" t="s">
        <v>3230</v>
      </c>
      <c r="B23" s="3188" t="s">
        <v>1948</v>
      </c>
      <c r="C23" s="3188" t="s">
        <v>3023</v>
      </c>
      <c r="D23" s="3188" t="s">
        <v>3231</v>
      </c>
      <c r="E23" s="3188" t="s">
        <v>2820</v>
      </c>
      <c r="F23" s="3188" t="s">
        <v>3232</v>
      </c>
      <c r="G23" s="3188" t="s">
        <v>3083</v>
      </c>
      <c r="H23" s="3188" t="s">
        <v>3233</v>
      </c>
      <c r="I23" s="3188" t="s">
        <v>3234</v>
      </c>
      <c r="J23" s="3188">
        <v>125884.4</v>
      </c>
      <c r="K23" s="3188">
        <v>125884</v>
      </c>
      <c r="L23" s="3188">
        <v>1</v>
      </c>
      <c r="M23" s="3188" t="s">
        <v>2820</v>
      </c>
      <c r="N23" s="3188" t="s">
        <v>2820</v>
      </c>
      <c r="O23" s="3188" t="s">
        <v>2820</v>
      </c>
      <c r="P23" s="3188" t="s">
        <v>2820</v>
      </c>
      <c r="Q23" s="3188" t="s">
        <v>2820</v>
      </c>
      <c r="R23" s="3188" t="s">
        <v>2820</v>
      </c>
      <c r="S23" s="3188" t="s">
        <v>2820</v>
      </c>
      <c r="T23" s="3188" t="s">
        <v>2820</v>
      </c>
      <c r="U23" s="3188" t="s">
        <v>2820</v>
      </c>
      <c r="V23" s="3188" t="s">
        <v>2820</v>
      </c>
      <c r="W23" s="3188" t="s">
        <v>3086</v>
      </c>
      <c r="X23" s="3188" t="s">
        <v>3219</v>
      </c>
      <c r="Y23" s="3188" t="s">
        <v>3220</v>
      </c>
      <c r="Z23" s="3188" t="s">
        <v>3225</v>
      </c>
      <c r="AA23" s="3188" t="s">
        <v>3225</v>
      </c>
      <c r="AB23" s="3188" t="s">
        <v>3233</v>
      </c>
      <c r="AC23" s="3188" t="s">
        <v>3090</v>
      </c>
      <c r="AD23" s="3188" t="s">
        <v>3235</v>
      </c>
      <c r="AE23" s="3188">
        <v>2000</v>
      </c>
      <c r="AF23" s="3188">
        <v>9927.85</v>
      </c>
      <c r="AG23" s="3188">
        <v>9927.85</v>
      </c>
      <c r="AH23" s="3188">
        <v>52.58</v>
      </c>
      <c r="AI23" s="3188">
        <v>52.58</v>
      </c>
      <c r="AJ23" s="3188">
        <v>788.65</v>
      </c>
      <c r="AK23" s="3188">
        <v>788.64</v>
      </c>
      <c r="AL23" s="3188" t="s">
        <v>2820</v>
      </c>
      <c r="AM23" s="3188" t="s">
        <v>2820</v>
      </c>
      <c r="AN23" s="3188">
        <v>0</v>
      </c>
      <c r="AO23" s="3188" t="s">
        <v>3092</v>
      </c>
      <c r="AP23" s="3188" t="s">
        <v>2820</v>
      </c>
      <c r="AQ23" s="3188" t="s">
        <v>2820</v>
      </c>
      <c r="AR23" s="3188" t="s">
        <v>2820</v>
      </c>
      <c r="AS23" s="3188"/>
    </row>
    <row r="24" spans="1:45" s="2941" customFormat="1">
      <c r="A24" s="3188" t="s">
        <v>3236</v>
      </c>
      <c r="B24" s="3188" t="s">
        <v>1948</v>
      </c>
      <c r="C24" s="3188" t="s">
        <v>3023</v>
      </c>
      <c r="D24" s="3188" t="s">
        <v>3095</v>
      </c>
      <c r="E24" s="3188" t="s">
        <v>2820</v>
      </c>
      <c r="F24" s="3188" t="s">
        <v>3237</v>
      </c>
      <c r="G24" s="3188" t="s">
        <v>3083</v>
      </c>
      <c r="H24" s="3188" t="s">
        <v>3238</v>
      </c>
      <c r="I24" s="3188" t="s">
        <v>3023</v>
      </c>
      <c r="J24" s="3188">
        <v>31860</v>
      </c>
      <c r="K24" s="3188">
        <v>63720</v>
      </c>
      <c r="L24" s="3188" t="s">
        <v>3212</v>
      </c>
      <c r="M24" s="3188" t="s">
        <v>2820</v>
      </c>
      <c r="N24" s="3188" t="s">
        <v>2820</v>
      </c>
      <c r="O24" s="3188" t="s">
        <v>2820</v>
      </c>
      <c r="P24" s="3188" t="s">
        <v>2820</v>
      </c>
      <c r="Q24" s="3188" t="s">
        <v>2820</v>
      </c>
      <c r="R24" s="3188" t="s">
        <v>2820</v>
      </c>
      <c r="S24" s="3188" t="s">
        <v>2820</v>
      </c>
      <c r="T24" s="3188" t="s">
        <v>2820</v>
      </c>
      <c r="U24" s="3188" t="s">
        <v>2820</v>
      </c>
      <c r="V24" s="3188" t="s">
        <v>2820</v>
      </c>
      <c r="W24" s="3188" t="s">
        <v>3086</v>
      </c>
      <c r="X24" s="3188" t="s">
        <v>3239</v>
      </c>
      <c r="Y24" s="3188" t="s">
        <v>3240</v>
      </c>
      <c r="Z24" s="3188" t="s">
        <v>3241</v>
      </c>
      <c r="AA24" s="3188" t="s">
        <v>3241</v>
      </c>
      <c r="AB24" s="3188" t="s">
        <v>3238</v>
      </c>
      <c r="AC24" s="3188" t="s">
        <v>3090</v>
      </c>
      <c r="AD24" s="3188" t="s">
        <v>3242</v>
      </c>
      <c r="AE24" s="3188">
        <v>1200</v>
      </c>
      <c r="AF24" s="3188">
        <v>5543.64</v>
      </c>
      <c r="AG24" s="3188">
        <v>5543.64</v>
      </c>
      <c r="AH24" s="3188">
        <v>116</v>
      </c>
      <c r="AI24" s="3188">
        <v>116</v>
      </c>
      <c r="AJ24" s="3188">
        <v>870</v>
      </c>
      <c r="AK24" s="3188">
        <v>870</v>
      </c>
      <c r="AL24" s="3188" t="s">
        <v>2820</v>
      </c>
      <c r="AM24" s="3188" t="s">
        <v>2820</v>
      </c>
      <c r="AN24" s="3188">
        <v>0</v>
      </c>
      <c r="AO24" s="3188" t="s">
        <v>3092</v>
      </c>
      <c r="AP24" s="3188" t="s">
        <v>2820</v>
      </c>
      <c r="AQ24" s="3188" t="s">
        <v>2820</v>
      </c>
      <c r="AR24" s="3188" t="s">
        <v>2820</v>
      </c>
      <c r="AS24" s="3188"/>
    </row>
    <row r="25" spans="1:45" s="2941" customFormat="1">
      <c r="A25" s="3188" t="s">
        <v>3243</v>
      </c>
      <c r="B25" s="3188" t="s">
        <v>1948</v>
      </c>
      <c r="C25" s="3188" t="s">
        <v>3023</v>
      </c>
      <c r="D25" s="3188" t="s">
        <v>3174</v>
      </c>
      <c r="E25" s="3188" t="s">
        <v>2820</v>
      </c>
      <c r="F25" s="3188" t="s">
        <v>3175</v>
      </c>
      <c r="G25" s="3188" t="s">
        <v>3083</v>
      </c>
      <c r="H25" s="3188" t="s">
        <v>3244</v>
      </c>
      <c r="I25" s="3188" t="s">
        <v>3177</v>
      </c>
      <c r="J25" s="3188">
        <v>32326.54</v>
      </c>
      <c r="K25" s="3188">
        <v>38791.85</v>
      </c>
      <c r="L25" s="3188" t="s">
        <v>3178</v>
      </c>
      <c r="M25" s="3188" t="s">
        <v>2820</v>
      </c>
      <c r="N25" s="3188" t="s">
        <v>2820</v>
      </c>
      <c r="O25" s="3188" t="s">
        <v>2820</v>
      </c>
      <c r="P25" s="3188" t="s">
        <v>2820</v>
      </c>
      <c r="Q25" s="3188" t="s">
        <v>2820</v>
      </c>
      <c r="R25" s="3188" t="s">
        <v>2820</v>
      </c>
      <c r="S25" s="3188" t="s">
        <v>2820</v>
      </c>
      <c r="T25" s="3188" t="s">
        <v>2820</v>
      </c>
      <c r="U25" s="3188" t="s">
        <v>2820</v>
      </c>
      <c r="V25" s="3188" t="s">
        <v>2820</v>
      </c>
      <c r="W25" s="3188" t="s">
        <v>3086</v>
      </c>
      <c r="X25" s="3188" t="s">
        <v>3245</v>
      </c>
      <c r="Y25" s="3188" t="s">
        <v>3246</v>
      </c>
      <c r="Z25" s="3188" t="s">
        <v>3247</v>
      </c>
      <c r="AA25" s="3188" t="s">
        <v>3247</v>
      </c>
      <c r="AB25" s="3188" t="s">
        <v>3244</v>
      </c>
      <c r="AC25" s="3188" t="s">
        <v>3090</v>
      </c>
      <c r="AD25" s="3188" t="s">
        <v>3248</v>
      </c>
      <c r="AE25" s="3188">
        <v>900</v>
      </c>
      <c r="AF25" s="3188">
        <v>4194</v>
      </c>
      <c r="AG25" s="3188">
        <v>4194</v>
      </c>
      <c r="AH25" s="3188">
        <v>86.49</v>
      </c>
      <c r="AI25" s="3188">
        <v>86.49</v>
      </c>
      <c r="AJ25" s="3188">
        <v>1081.1500000000001</v>
      </c>
      <c r="AK25" s="3188">
        <v>1081.1500000000001</v>
      </c>
      <c r="AL25" s="3188" t="s">
        <v>2820</v>
      </c>
      <c r="AM25" s="3188" t="s">
        <v>2820</v>
      </c>
      <c r="AN25" s="3188">
        <v>0</v>
      </c>
      <c r="AO25" s="3188" t="s">
        <v>3092</v>
      </c>
      <c r="AP25" s="3188" t="s">
        <v>2820</v>
      </c>
      <c r="AQ25" s="3188" t="s">
        <v>2820</v>
      </c>
      <c r="AR25" s="3188" t="s">
        <v>2820</v>
      </c>
      <c r="AS25" s="3188"/>
    </row>
    <row r="26" spans="1:45" s="2941" customFormat="1">
      <c r="A26" s="3188" t="s">
        <v>3249</v>
      </c>
      <c r="B26" s="3188" t="s">
        <v>1948</v>
      </c>
      <c r="C26" s="3188" t="s">
        <v>3023</v>
      </c>
      <c r="D26" s="3188" t="s">
        <v>3174</v>
      </c>
      <c r="E26" s="3188" t="s">
        <v>2820</v>
      </c>
      <c r="F26" s="3188" t="s">
        <v>3175</v>
      </c>
      <c r="G26" s="3188" t="s">
        <v>3083</v>
      </c>
      <c r="H26" s="3188" t="s">
        <v>3250</v>
      </c>
      <c r="I26" s="3188" t="s">
        <v>3177</v>
      </c>
      <c r="J26" s="3188">
        <v>31995.71</v>
      </c>
      <c r="K26" s="3188">
        <v>38394.85</v>
      </c>
      <c r="L26" s="3188" t="s">
        <v>3178</v>
      </c>
      <c r="M26" s="3188" t="s">
        <v>2820</v>
      </c>
      <c r="N26" s="3188" t="s">
        <v>2820</v>
      </c>
      <c r="O26" s="3188" t="s">
        <v>2820</v>
      </c>
      <c r="P26" s="3188" t="s">
        <v>2820</v>
      </c>
      <c r="Q26" s="3188" t="s">
        <v>2820</v>
      </c>
      <c r="R26" s="3188" t="s">
        <v>2820</v>
      </c>
      <c r="S26" s="3188" t="s">
        <v>2820</v>
      </c>
      <c r="T26" s="3188" t="s">
        <v>2820</v>
      </c>
      <c r="U26" s="3188" t="s">
        <v>2820</v>
      </c>
      <c r="V26" s="3188" t="s">
        <v>2820</v>
      </c>
      <c r="W26" s="3188" t="s">
        <v>3086</v>
      </c>
      <c r="X26" s="3188" t="s">
        <v>3245</v>
      </c>
      <c r="Y26" s="3188" t="s">
        <v>3246</v>
      </c>
      <c r="Z26" s="3188" t="s">
        <v>3251</v>
      </c>
      <c r="AA26" s="3188" t="s">
        <v>3251</v>
      </c>
      <c r="AB26" s="3188" t="s">
        <v>3250</v>
      </c>
      <c r="AC26" s="3188" t="s">
        <v>3090</v>
      </c>
      <c r="AD26" s="3188" t="s">
        <v>3252</v>
      </c>
      <c r="AE26" s="3188">
        <v>900</v>
      </c>
      <c r="AF26" s="3188">
        <v>4151</v>
      </c>
      <c r="AG26" s="3188">
        <v>4151</v>
      </c>
      <c r="AH26" s="3188">
        <v>86.49</v>
      </c>
      <c r="AI26" s="3188">
        <v>86.49</v>
      </c>
      <c r="AJ26" s="3188">
        <v>1081.1300000000001</v>
      </c>
      <c r="AK26" s="3188">
        <v>1081.1300000000001</v>
      </c>
      <c r="AL26" s="3188" t="s">
        <v>2820</v>
      </c>
      <c r="AM26" s="3188" t="s">
        <v>2820</v>
      </c>
      <c r="AN26" s="3188">
        <v>0</v>
      </c>
      <c r="AO26" s="3188" t="s">
        <v>3092</v>
      </c>
      <c r="AP26" s="3188" t="s">
        <v>2820</v>
      </c>
      <c r="AQ26" s="3188" t="s">
        <v>2820</v>
      </c>
      <c r="AR26" s="3188" t="s">
        <v>2820</v>
      </c>
      <c r="AS26" s="3188"/>
    </row>
    <row r="27" spans="1:45" s="2941" customFormat="1">
      <c r="A27" s="3188" t="s">
        <v>3253</v>
      </c>
      <c r="B27" s="3188" t="s">
        <v>1948</v>
      </c>
      <c r="C27" s="3188" t="s">
        <v>3023</v>
      </c>
      <c r="D27" s="3188" t="s">
        <v>3174</v>
      </c>
      <c r="E27" s="3188" t="s">
        <v>2820</v>
      </c>
      <c r="F27" s="3188" t="s">
        <v>3254</v>
      </c>
      <c r="G27" s="3188" t="s">
        <v>3083</v>
      </c>
      <c r="H27" s="3188" t="s">
        <v>3255</v>
      </c>
      <c r="I27" s="3188" t="s">
        <v>3177</v>
      </c>
      <c r="J27" s="3188">
        <v>49749.07</v>
      </c>
      <c r="K27" s="3188">
        <v>49749.07</v>
      </c>
      <c r="L27" s="3188" t="s">
        <v>3196</v>
      </c>
      <c r="M27" s="3188" t="s">
        <v>2820</v>
      </c>
      <c r="N27" s="3188" t="s">
        <v>2820</v>
      </c>
      <c r="O27" s="3188" t="s">
        <v>2820</v>
      </c>
      <c r="P27" s="3188" t="s">
        <v>2820</v>
      </c>
      <c r="Q27" s="3188" t="s">
        <v>2820</v>
      </c>
      <c r="R27" s="3188" t="s">
        <v>2820</v>
      </c>
      <c r="S27" s="3188" t="s">
        <v>2820</v>
      </c>
      <c r="T27" s="3188" t="s">
        <v>2820</v>
      </c>
      <c r="U27" s="3188" t="s">
        <v>2820</v>
      </c>
      <c r="V27" s="3188" t="s">
        <v>2820</v>
      </c>
      <c r="W27" s="3188" t="s">
        <v>3086</v>
      </c>
      <c r="X27" s="3188" t="s">
        <v>3245</v>
      </c>
      <c r="Y27" s="3188" t="s">
        <v>3246</v>
      </c>
      <c r="Z27" s="3188" t="s">
        <v>3240</v>
      </c>
      <c r="AA27" s="3188" t="s">
        <v>3240</v>
      </c>
      <c r="AB27" s="3188" t="s">
        <v>3255</v>
      </c>
      <c r="AC27" s="3188" t="s">
        <v>3090</v>
      </c>
      <c r="AD27" s="3188" t="s">
        <v>3256</v>
      </c>
      <c r="AE27" s="3188">
        <v>1300</v>
      </c>
      <c r="AF27" s="3188">
        <v>6156</v>
      </c>
      <c r="AG27" s="3188">
        <v>6156</v>
      </c>
      <c r="AH27" s="3188">
        <v>82.49</v>
      </c>
      <c r="AI27" s="3188">
        <v>82.49</v>
      </c>
      <c r="AJ27" s="3188">
        <v>1237.4100000000001</v>
      </c>
      <c r="AK27" s="3188">
        <v>1237.4100000000001</v>
      </c>
      <c r="AL27" s="3188" t="s">
        <v>2820</v>
      </c>
      <c r="AM27" s="3188" t="s">
        <v>2820</v>
      </c>
      <c r="AN27" s="3188">
        <v>0</v>
      </c>
      <c r="AO27" s="3188" t="s">
        <v>3092</v>
      </c>
      <c r="AP27" s="3188" t="s">
        <v>2820</v>
      </c>
      <c r="AQ27" s="3188" t="s">
        <v>2820</v>
      </c>
      <c r="AR27" s="3188" t="s">
        <v>2820</v>
      </c>
      <c r="AS27" s="3188"/>
    </row>
    <row r="28" spans="1:45" s="2941" customFormat="1">
      <c r="A28" s="3188" t="s">
        <v>3257</v>
      </c>
      <c r="B28" s="3188" t="s">
        <v>1948</v>
      </c>
      <c r="C28" s="3188" t="s">
        <v>3023</v>
      </c>
      <c r="D28" s="3188" t="s">
        <v>3095</v>
      </c>
      <c r="E28" s="3188" t="s">
        <v>2820</v>
      </c>
      <c r="F28" s="3188" t="s">
        <v>3257</v>
      </c>
      <c r="G28" s="3188" t="s">
        <v>3083</v>
      </c>
      <c r="H28" s="3188" t="s">
        <v>3258</v>
      </c>
      <c r="I28" s="3188" t="s">
        <v>3023</v>
      </c>
      <c r="J28" s="3188">
        <v>233050</v>
      </c>
      <c r="K28" s="3188">
        <v>279660</v>
      </c>
      <c r="L28" s="3188" t="s">
        <v>3178</v>
      </c>
      <c r="M28" s="3188" t="s">
        <v>2820</v>
      </c>
      <c r="N28" s="3188" t="s">
        <v>2820</v>
      </c>
      <c r="O28" s="3188" t="s">
        <v>2820</v>
      </c>
      <c r="P28" s="3188" t="s">
        <v>2820</v>
      </c>
      <c r="Q28" s="3188" t="s">
        <v>2820</v>
      </c>
      <c r="R28" s="3188" t="s">
        <v>2820</v>
      </c>
      <c r="S28" s="3188" t="s">
        <v>2820</v>
      </c>
      <c r="T28" s="3188" t="s">
        <v>2820</v>
      </c>
      <c r="U28" s="3188" t="s">
        <v>2820</v>
      </c>
      <c r="V28" s="3188" t="s">
        <v>2820</v>
      </c>
      <c r="W28" s="3188" t="s">
        <v>3086</v>
      </c>
      <c r="X28" s="3188" t="s">
        <v>3259</v>
      </c>
      <c r="Y28" s="3188" t="s">
        <v>3260</v>
      </c>
      <c r="Z28" s="3188" t="s">
        <v>3261</v>
      </c>
      <c r="AA28" s="3188" t="s">
        <v>3261</v>
      </c>
      <c r="AB28" s="3188" t="s">
        <v>3258</v>
      </c>
      <c r="AC28" s="3188" t="s">
        <v>3090</v>
      </c>
      <c r="AD28" s="3188" t="s">
        <v>3131</v>
      </c>
      <c r="AE28" s="3188">
        <v>4400</v>
      </c>
      <c r="AF28" s="3188">
        <v>21533.81</v>
      </c>
      <c r="AG28" s="3188">
        <v>21533.81</v>
      </c>
      <c r="AH28" s="3188">
        <v>61.6</v>
      </c>
      <c r="AI28" s="3188">
        <v>61.6</v>
      </c>
      <c r="AJ28" s="3188">
        <v>770</v>
      </c>
      <c r="AK28" s="3188">
        <v>770</v>
      </c>
      <c r="AL28" s="3188" t="s">
        <v>2820</v>
      </c>
      <c r="AM28" s="3188" t="s">
        <v>2820</v>
      </c>
      <c r="AN28" s="3188">
        <v>0</v>
      </c>
      <c r="AO28" s="3188" t="s">
        <v>3092</v>
      </c>
      <c r="AP28" s="3188" t="s">
        <v>2820</v>
      </c>
      <c r="AQ28" s="3188" t="s">
        <v>2820</v>
      </c>
      <c r="AR28" s="3188" t="s">
        <v>2820</v>
      </c>
      <c r="AS28" s="3188"/>
    </row>
    <row r="29" spans="1:45" s="2941" customFormat="1">
      <c r="A29" s="3188" t="s">
        <v>3262</v>
      </c>
      <c r="B29" s="3188" t="s">
        <v>1948</v>
      </c>
      <c r="C29" s="3188" t="s">
        <v>3023</v>
      </c>
      <c r="D29" s="3188" t="s">
        <v>3174</v>
      </c>
      <c r="E29" s="3188" t="s">
        <v>2820</v>
      </c>
      <c r="F29" s="3188" t="s">
        <v>3263</v>
      </c>
      <c r="G29" s="3188" t="s">
        <v>3083</v>
      </c>
      <c r="H29" s="3188" t="s">
        <v>3264</v>
      </c>
      <c r="I29" s="3188" t="s">
        <v>3177</v>
      </c>
      <c r="J29" s="3188">
        <v>10121</v>
      </c>
      <c r="K29" s="3188">
        <v>10121</v>
      </c>
      <c r="L29" s="3188">
        <v>1</v>
      </c>
      <c r="M29" s="3188" t="s">
        <v>2820</v>
      </c>
      <c r="N29" s="3188" t="s">
        <v>2820</v>
      </c>
      <c r="O29" s="3188" t="s">
        <v>2820</v>
      </c>
      <c r="P29" s="3188" t="s">
        <v>2820</v>
      </c>
      <c r="Q29" s="3188" t="s">
        <v>2820</v>
      </c>
      <c r="R29" s="3188" t="s">
        <v>2820</v>
      </c>
      <c r="S29" s="3188" t="s">
        <v>2820</v>
      </c>
      <c r="T29" s="3188" t="s">
        <v>2820</v>
      </c>
      <c r="U29" s="3188" t="s">
        <v>2820</v>
      </c>
      <c r="V29" s="3188" t="s">
        <v>2820</v>
      </c>
      <c r="W29" s="3188" t="s">
        <v>3086</v>
      </c>
      <c r="X29" s="3188" t="s">
        <v>3259</v>
      </c>
      <c r="Y29" s="3188" t="s">
        <v>3260</v>
      </c>
      <c r="Z29" s="3188" t="s">
        <v>3261</v>
      </c>
      <c r="AA29" s="3188" t="s">
        <v>3261</v>
      </c>
      <c r="AB29" s="3188" t="s">
        <v>3264</v>
      </c>
      <c r="AC29" s="3188" t="s">
        <v>3090</v>
      </c>
      <c r="AD29" s="3188" t="s">
        <v>3265</v>
      </c>
      <c r="AE29" s="3188">
        <v>100</v>
      </c>
      <c r="AF29" s="3188">
        <v>926</v>
      </c>
      <c r="AG29" s="3188">
        <v>926</v>
      </c>
      <c r="AH29" s="3188">
        <v>61</v>
      </c>
      <c r="AI29" s="3188">
        <v>61</v>
      </c>
      <c r="AJ29" s="3188">
        <v>914.92</v>
      </c>
      <c r="AK29" s="3188">
        <v>914.92</v>
      </c>
      <c r="AL29" s="3188" t="s">
        <v>2820</v>
      </c>
      <c r="AM29" s="3188" t="s">
        <v>2820</v>
      </c>
      <c r="AN29" s="3188">
        <v>0</v>
      </c>
      <c r="AO29" s="3188" t="s">
        <v>3092</v>
      </c>
      <c r="AP29" s="3188" t="s">
        <v>2820</v>
      </c>
      <c r="AQ29" s="3188" t="s">
        <v>2820</v>
      </c>
      <c r="AR29" s="3188" t="s">
        <v>2820</v>
      </c>
      <c r="AS29" s="3188"/>
    </row>
    <row r="30" spans="1:45" s="3186" customFormat="1">
      <c r="A30" s="3196" t="s">
        <v>3287</v>
      </c>
      <c r="B30" s="3185" t="s">
        <v>1948</v>
      </c>
      <c r="C30" s="3185" t="s">
        <v>3023</v>
      </c>
      <c r="D30" s="3185" t="s">
        <v>3081</v>
      </c>
      <c r="E30" s="3185" t="s">
        <v>2820</v>
      </c>
      <c r="F30" s="3185" t="s">
        <v>3082</v>
      </c>
      <c r="G30" s="3185" t="s">
        <v>3083</v>
      </c>
      <c r="H30" s="3185" t="s">
        <v>3084</v>
      </c>
      <c r="I30" s="3185" t="s">
        <v>3085</v>
      </c>
      <c r="J30" s="3185">
        <v>107244</v>
      </c>
      <c r="K30" s="3185">
        <v>160866</v>
      </c>
      <c r="L30" s="3185">
        <v>1.5</v>
      </c>
      <c r="M30" s="3185" t="s">
        <v>2820</v>
      </c>
      <c r="N30" s="3185" t="s">
        <v>2820</v>
      </c>
      <c r="O30" s="3185" t="s">
        <v>2820</v>
      </c>
      <c r="P30" s="3185" t="s">
        <v>2820</v>
      </c>
      <c r="Q30" s="3185" t="s">
        <v>2820</v>
      </c>
      <c r="R30" s="3185" t="s">
        <v>2820</v>
      </c>
      <c r="S30" s="3185" t="s">
        <v>2820</v>
      </c>
      <c r="T30" s="3185" t="s">
        <v>2820</v>
      </c>
      <c r="U30" s="3185" t="s">
        <v>2820</v>
      </c>
      <c r="V30" s="3185" t="s">
        <v>2820</v>
      </c>
      <c r="W30" s="3185" t="s">
        <v>3086</v>
      </c>
      <c r="X30" s="3185" t="s">
        <v>3087</v>
      </c>
      <c r="Y30" s="3185" t="s">
        <v>3088</v>
      </c>
      <c r="Z30" s="3185" t="s">
        <v>3089</v>
      </c>
      <c r="AA30" s="3185" t="s">
        <v>3089</v>
      </c>
      <c r="AB30" s="3185" t="s">
        <v>3084</v>
      </c>
      <c r="AC30" s="3185" t="s">
        <v>3090</v>
      </c>
      <c r="AD30" s="3185" t="s">
        <v>3091</v>
      </c>
      <c r="AE30" s="3185">
        <v>3400</v>
      </c>
      <c r="AF30" s="3185">
        <v>16971.36</v>
      </c>
      <c r="AG30" s="3185">
        <v>16971.36</v>
      </c>
      <c r="AH30" s="3185">
        <v>105.5</v>
      </c>
      <c r="AI30" s="3185">
        <v>105.5</v>
      </c>
      <c r="AJ30" s="3185">
        <v>1054.99</v>
      </c>
      <c r="AK30" s="3185">
        <v>1055</v>
      </c>
      <c r="AL30" s="3185" t="s">
        <v>2820</v>
      </c>
      <c r="AM30" s="3185" t="s">
        <v>2820</v>
      </c>
      <c r="AN30" s="3185">
        <v>0</v>
      </c>
      <c r="AO30" s="3185" t="s">
        <v>3092</v>
      </c>
      <c r="AP30" s="3185" t="s">
        <v>2820</v>
      </c>
      <c r="AQ30" s="3185" t="s">
        <v>2820</v>
      </c>
      <c r="AR30" s="3185" t="s">
        <v>2820</v>
      </c>
      <c r="AS30" s="3185"/>
    </row>
    <row r="31" spans="1:45" s="3186" customFormat="1">
      <c r="A31" s="3185" t="s">
        <v>3093</v>
      </c>
      <c r="B31" s="3185" t="s">
        <v>1948</v>
      </c>
      <c r="C31" s="3185" t="s">
        <v>3023</v>
      </c>
      <c r="D31" s="3185" t="s">
        <v>3081</v>
      </c>
      <c r="E31" s="3185" t="s">
        <v>2820</v>
      </c>
      <c r="F31" s="3185" t="s">
        <v>3082</v>
      </c>
      <c r="G31" s="3185" t="s">
        <v>3083</v>
      </c>
      <c r="H31" s="3185" t="s">
        <v>3094</v>
      </c>
      <c r="I31" s="3185" t="s">
        <v>3085</v>
      </c>
      <c r="J31" s="3185">
        <v>126492.9</v>
      </c>
      <c r="K31" s="3185">
        <v>189739</v>
      </c>
      <c r="L31" s="3185">
        <v>1.5</v>
      </c>
      <c r="M31" s="3185" t="s">
        <v>2820</v>
      </c>
      <c r="N31" s="3185" t="s">
        <v>2820</v>
      </c>
      <c r="O31" s="3185" t="s">
        <v>2820</v>
      </c>
      <c r="P31" s="3185" t="s">
        <v>2820</v>
      </c>
      <c r="Q31" s="3185" t="s">
        <v>2820</v>
      </c>
      <c r="R31" s="3185" t="s">
        <v>2820</v>
      </c>
      <c r="S31" s="3185" t="s">
        <v>2820</v>
      </c>
      <c r="T31" s="3185" t="s">
        <v>2820</v>
      </c>
      <c r="U31" s="3185" t="s">
        <v>2820</v>
      </c>
      <c r="V31" s="3185" t="s">
        <v>2820</v>
      </c>
      <c r="W31" s="3185" t="s">
        <v>3086</v>
      </c>
      <c r="X31" s="3185" t="s">
        <v>3087</v>
      </c>
      <c r="Y31" s="3185" t="s">
        <v>3088</v>
      </c>
      <c r="Z31" s="3185" t="s">
        <v>3089</v>
      </c>
      <c r="AA31" s="3185" t="s">
        <v>3089</v>
      </c>
      <c r="AB31" s="3185" t="s">
        <v>3094</v>
      </c>
      <c r="AC31" s="3185" t="s">
        <v>3090</v>
      </c>
      <c r="AD31" s="3185" t="s">
        <v>3091</v>
      </c>
      <c r="AE31" s="3185">
        <v>4003</v>
      </c>
      <c r="AF31" s="3185">
        <v>20017.490000000002</v>
      </c>
      <c r="AG31" s="3185">
        <v>20017.490000000002</v>
      </c>
      <c r="AH31" s="3185">
        <v>105.5</v>
      </c>
      <c r="AI31" s="3185">
        <v>105.5</v>
      </c>
      <c r="AJ31" s="3185">
        <v>1055</v>
      </c>
      <c r="AK31" s="3185">
        <v>1055</v>
      </c>
      <c r="AL31" s="3185" t="s">
        <v>2820</v>
      </c>
      <c r="AM31" s="3185" t="s">
        <v>2820</v>
      </c>
      <c r="AN31" s="3185">
        <v>0</v>
      </c>
      <c r="AO31" s="3185" t="s">
        <v>3092</v>
      </c>
      <c r="AP31" s="3185" t="s">
        <v>2820</v>
      </c>
      <c r="AQ31" s="3185" t="s">
        <v>2820</v>
      </c>
      <c r="AR31" s="3185" t="s">
        <v>2820</v>
      </c>
      <c r="AS31" s="3185"/>
    </row>
    <row r="32" spans="1:45" s="3191" customFormat="1" ht="14.25">
      <c r="A32" s="3189" t="s">
        <v>3266</v>
      </c>
      <c r="B32" s="3190" t="s">
        <v>1948</v>
      </c>
      <c r="C32" s="3190" t="s">
        <v>3023</v>
      </c>
      <c r="D32" s="3190" t="s">
        <v>3095</v>
      </c>
      <c r="E32" s="3190" t="s">
        <v>2820</v>
      </c>
      <c r="F32" s="3190" t="s">
        <v>3096</v>
      </c>
      <c r="G32" s="3190" t="s">
        <v>3083</v>
      </c>
      <c r="H32" s="3190" t="s">
        <v>3097</v>
      </c>
      <c r="I32" s="3190" t="s">
        <v>3098</v>
      </c>
      <c r="J32" s="3190">
        <v>26676.58</v>
      </c>
      <c r="K32" s="3190">
        <v>37347</v>
      </c>
      <c r="L32" s="3190" t="s">
        <v>3099</v>
      </c>
      <c r="M32" s="3190" t="s">
        <v>2820</v>
      </c>
      <c r="N32" s="3190" t="s">
        <v>2820</v>
      </c>
      <c r="O32" s="3190" t="s">
        <v>2820</v>
      </c>
      <c r="P32" s="3190" t="s">
        <v>2820</v>
      </c>
      <c r="Q32" s="3190" t="s">
        <v>2820</v>
      </c>
      <c r="R32" s="3190" t="s">
        <v>2820</v>
      </c>
      <c r="S32" s="3190" t="s">
        <v>2820</v>
      </c>
      <c r="T32" s="3190" t="s">
        <v>2820</v>
      </c>
      <c r="U32" s="3190" t="s">
        <v>2820</v>
      </c>
      <c r="V32" s="3190" t="s">
        <v>2820</v>
      </c>
      <c r="W32" s="3190" t="s">
        <v>3086</v>
      </c>
      <c r="X32" s="3190" t="s">
        <v>3100</v>
      </c>
      <c r="Y32" s="3190" t="s">
        <v>3101</v>
      </c>
      <c r="Z32" s="3190" t="s">
        <v>3087</v>
      </c>
      <c r="AA32" s="3190" t="s">
        <v>3087</v>
      </c>
      <c r="AB32" s="3190" t="s">
        <v>3097</v>
      </c>
      <c r="AC32" s="3190" t="s">
        <v>3090</v>
      </c>
      <c r="AD32" s="3190" t="s">
        <v>3102</v>
      </c>
      <c r="AE32" s="3190">
        <v>600</v>
      </c>
      <c r="AF32" s="3190">
        <v>3035</v>
      </c>
      <c r="AG32" s="3190">
        <v>3035</v>
      </c>
      <c r="AH32" s="3190">
        <v>75.849999999999994</v>
      </c>
      <c r="AI32" s="3190">
        <v>75.849999999999994</v>
      </c>
      <c r="AJ32" s="3190">
        <v>812.64</v>
      </c>
      <c r="AK32" s="3190">
        <v>812.64</v>
      </c>
      <c r="AL32" s="3190" t="s">
        <v>2820</v>
      </c>
      <c r="AM32" s="3190" t="s">
        <v>2820</v>
      </c>
      <c r="AN32" s="3190">
        <v>0</v>
      </c>
      <c r="AO32" s="3190" t="s">
        <v>3092</v>
      </c>
      <c r="AP32" s="3190" t="s">
        <v>2820</v>
      </c>
      <c r="AQ32" s="3190" t="s">
        <v>2820</v>
      </c>
      <c r="AR32" s="3190" t="s">
        <v>2820</v>
      </c>
      <c r="AS32" s="3190"/>
    </row>
  </sheetData>
  <phoneticPr fontId="2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9"/>
  <sheetViews>
    <sheetView workbookViewId="0">
      <selection activeCell="D18" sqref="D18:E18"/>
    </sheetView>
  </sheetViews>
  <sheetFormatPr defaultRowHeight="13.5"/>
  <sheetData>
    <row r="2" spans="2:8">
      <c r="B2" s="3497" t="s">
        <v>3292</v>
      </c>
      <c r="C2" s="3497"/>
      <c r="D2" s="3497"/>
      <c r="E2" s="3497"/>
    </row>
    <row r="3" spans="2:8">
      <c r="B3" s="3500" t="s">
        <v>3293</v>
      </c>
      <c r="C3" s="3500"/>
      <c r="D3" s="3499">
        <v>0.8</v>
      </c>
      <c r="E3" s="3499"/>
    </row>
    <row r="4" spans="2:8">
      <c r="B4" s="3500" t="s">
        <v>3294</v>
      </c>
      <c r="C4" s="3500"/>
      <c r="D4" s="3499">
        <v>30</v>
      </c>
      <c r="E4" s="3499"/>
    </row>
    <row r="5" spans="2:8">
      <c r="B5" s="3500" t="s">
        <v>3295</v>
      </c>
      <c r="C5" s="3500"/>
      <c r="D5" s="3499">
        <f>'[2]数据-基础表'!B3</f>
        <v>60473.499999999985</v>
      </c>
      <c r="E5" s="3499"/>
    </row>
    <row r="6" spans="2:8">
      <c r="B6" s="3500" t="s">
        <v>3290</v>
      </c>
      <c r="C6" s="3500"/>
      <c r="D6" s="3499">
        <f>ROUND(D3*D4*D5/10000,2)</f>
        <v>145.13999999999999</v>
      </c>
      <c r="E6" s="3499"/>
    </row>
    <row r="8" spans="2:8">
      <c r="B8" s="3497" t="s">
        <v>3296</v>
      </c>
      <c r="C8" s="3497"/>
      <c r="D8" s="3497"/>
      <c r="E8" s="3497"/>
      <c r="H8" s="3202" t="s">
        <v>3311</v>
      </c>
    </row>
    <row r="9" spans="2:8">
      <c r="B9" s="3197"/>
      <c r="C9" s="3198" t="s">
        <v>3297</v>
      </c>
      <c r="D9" s="3199" t="s">
        <v>3298</v>
      </c>
      <c r="E9" s="3199" t="s">
        <v>3299</v>
      </c>
    </row>
    <row r="10" spans="2:8">
      <c r="B10" s="3197" t="s">
        <v>3300</v>
      </c>
      <c r="C10" s="3200">
        <v>24000951.109999999</v>
      </c>
      <c r="D10" s="3199" t="s">
        <v>3301</v>
      </c>
      <c r="E10" s="3201">
        <f>ROUND(C10/12,2)</f>
        <v>2000079.26</v>
      </c>
    </row>
    <row r="11" spans="2:8">
      <c r="B11" s="3197" t="s">
        <v>3302</v>
      </c>
      <c r="C11" s="3198" t="s">
        <v>3301</v>
      </c>
      <c r="D11" s="3200">
        <v>11808028.619999999</v>
      </c>
      <c r="E11" s="3201">
        <f>ROUND(D11/5,2)</f>
        <v>2361605.7200000002</v>
      </c>
    </row>
    <row r="12" spans="2:8">
      <c r="B12" s="3197" t="s">
        <v>3303</v>
      </c>
      <c r="C12" s="3498">
        <f>ROUND((E10*7+E11*5)/12,2)</f>
        <v>2150715.29</v>
      </c>
      <c r="D12" s="3498"/>
      <c r="E12" s="3498"/>
    </row>
    <row r="13" spans="2:8">
      <c r="B13" s="3197" t="s">
        <v>3304</v>
      </c>
      <c r="C13" s="3499">
        <v>1.2</v>
      </c>
      <c r="D13" s="3499"/>
      <c r="E13" s="3499"/>
    </row>
    <row r="14" spans="2:8">
      <c r="B14" s="3197" t="s">
        <v>3290</v>
      </c>
      <c r="C14" s="3499">
        <f>ROUND(C12*C13/10000,2)</f>
        <v>258.08999999999997</v>
      </c>
      <c r="D14" s="3499"/>
      <c r="E14" s="3499"/>
    </row>
    <row r="16" spans="2:8">
      <c r="B16" s="3497" t="s">
        <v>3305</v>
      </c>
      <c r="C16" s="3497"/>
      <c r="D16" s="3497"/>
      <c r="E16" s="3497"/>
    </row>
    <row r="17" spans="2:5">
      <c r="B17" s="3500" t="s">
        <v>3306</v>
      </c>
      <c r="C17" s="3500"/>
      <c r="D17" s="3499">
        <v>67</v>
      </c>
      <c r="E17" s="3499"/>
    </row>
    <row r="18" spans="2:5">
      <c r="B18" s="3501" t="s">
        <v>3307</v>
      </c>
      <c r="C18" s="3501"/>
      <c r="D18" s="3499">
        <v>2000</v>
      </c>
      <c r="E18" s="3499"/>
    </row>
    <row r="19" spans="2:5">
      <c r="B19" s="3501" t="s">
        <v>3290</v>
      </c>
      <c r="C19" s="3501"/>
      <c r="D19" s="3502">
        <f>ROUND(D17*D18/10000,2)</f>
        <v>13.4</v>
      </c>
      <c r="E19" s="3502"/>
    </row>
    <row r="21" spans="2:5">
      <c r="B21" s="3497" t="s">
        <v>3308</v>
      </c>
      <c r="C21" s="3497"/>
      <c r="D21" s="3497"/>
      <c r="E21" s="3497"/>
    </row>
    <row r="22" spans="2:5">
      <c r="B22" s="3500" t="s">
        <v>3309</v>
      </c>
      <c r="C22" s="3500"/>
      <c r="D22" s="3499">
        <v>7</v>
      </c>
      <c r="E22" s="3499"/>
    </row>
    <row r="23" spans="2:5">
      <c r="B23" s="3500" t="s">
        <v>3310</v>
      </c>
      <c r="C23" s="3500"/>
      <c r="D23" s="3499">
        <v>1.2</v>
      </c>
      <c r="E23" s="3499"/>
    </row>
    <row r="24" spans="2:5">
      <c r="B24" s="3500" t="s">
        <v>3291</v>
      </c>
      <c r="C24" s="3500"/>
      <c r="D24" s="3499">
        <f>D22*D23</f>
        <v>8.4</v>
      </c>
      <c r="E24" s="3499"/>
    </row>
    <row r="26" spans="2:5">
      <c r="B26" s="3497" t="s">
        <v>3312</v>
      </c>
      <c r="C26" s="3497"/>
      <c r="D26" s="3497"/>
      <c r="E26" s="3497"/>
    </row>
    <row r="27" spans="2:5">
      <c r="B27" s="3500" t="s">
        <v>3313</v>
      </c>
      <c r="C27" s="3500"/>
      <c r="D27" s="3499">
        <f>'[2]数据-汇总表'!E27</f>
        <v>60473.5</v>
      </c>
      <c r="E27" s="3499"/>
    </row>
    <row r="28" spans="2:5">
      <c r="B28" s="3500" t="s">
        <v>3314</v>
      </c>
      <c r="C28" s="3500"/>
      <c r="D28" s="3499">
        <v>50</v>
      </c>
      <c r="E28" s="3499"/>
    </row>
    <row r="29" spans="2:5">
      <c r="B29" s="3503" t="s">
        <v>3315</v>
      </c>
      <c r="C29" s="3504"/>
      <c r="D29" s="3498">
        <f>ROUND(D27*D28/10000,2)</f>
        <v>302.37</v>
      </c>
      <c r="E29" s="3498"/>
    </row>
  </sheetData>
  <mergeCells count="34">
    <mergeCell ref="B29:C29"/>
    <mergeCell ref="D29:E29"/>
    <mergeCell ref="B24:C24"/>
    <mergeCell ref="D24:E24"/>
    <mergeCell ref="B26:E26"/>
    <mergeCell ref="B27:C27"/>
    <mergeCell ref="D27:E27"/>
    <mergeCell ref="B28:C28"/>
    <mergeCell ref="D28:E28"/>
    <mergeCell ref="B23:C23"/>
    <mergeCell ref="D23:E23"/>
    <mergeCell ref="C14:E14"/>
    <mergeCell ref="B16:E16"/>
    <mergeCell ref="B17:C17"/>
    <mergeCell ref="D17:E17"/>
    <mergeCell ref="B18:C18"/>
    <mergeCell ref="D18:E18"/>
    <mergeCell ref="B19:C19"/>
    <mergeCell ref="D19:E19"/>
    <mergeCell ref="B21:E21"/>
    <mergeCell ref="B22:C22"/>
    <mergeCell ref="D22:E22"/>
    <mergeCell ref="B8:E8"/>
    <mergeCell ref="C12:E12"/>
    <mergeCell ref="C13:E13"/>
    <mergeCell ref="B2:E2"/>
    <mergeCell ref="B3:C3"/>
    <mergeCell ref="D3:E3"/>
    <mergeCell ref="B4:C4"/>
    <mergeCell ref="D4:E4"/>
    <mergeCell ref="B5:C5"/>
    <mergeCell ref="D5:E5"/>
    <mergeCell ref="B6:C6"/>
    <mergeCell ref="D6:E6"/>
  </mergeCells>
  <phoneticPr fontId="2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6"/>
  <sheetViews>
    <sheetView tabSelected="1" zoomScale="110" zoomScaleNormal="110" workbookViewId="0">
      <selection activeCell="K18" sqref="K18"/>
    </sheetView>
  </sheetViews>
  <sheetFormatPr defaultRowHeight="22.5" customHeight="1"/>
  <cols>
    <col min="1" max="1" width="14.875" style="3508" customWidth="1"/>
    <col min="2" max="3" width="9" style="3508"/>
    <col min="4" max="4" width="9" style="3539"/>
    <col min="5" max="5" width="9.5" style="3508" bestFit="1" customWidth="1"/>
    <col min="6" max="16384" width="9" style="3508"/>
  </cols>
  <sheetData>
    <row r="1" spans="1:18" ht="22.5" customHeight="1">
      <c r="A1" s="3505" t="s">
        <v>3317</v>
      </c>
      <c r="B1" s="3505" t="s">
        <v>3318</v>
      </c>
      <c r="C1" s="3505" t="s">
        <v>3319</v>
      </c>
      <c r="D1" s="3506" t="s">
        <v>3320</v>
      </c>
      <c r="E1" s="3505" t="s">
        <v>3321</v>
      </c>
      <c r="F1" s="3505" t="s">
        <v>3322</v>
      </c>
      <c r="G1" s="3505" t="s">
        <v>3323</v>
      </c>
      <c r="H1" s="3505" t="s">
        <v>3324</v>
      </c>
      <c r="I1" s="3505" t="s">
        <v>3325</v>
      </c>
      <c r="J1" s="3505" t="s">
        <v>3326</v>
      </c>
      <c r="K1" s="3505" t="s">
        <v>3327</v>
      </c>
      <c r="L1" s="3505" t="s">
        <v>3328</v>
      </c>
      <c r="M1" s="3505" t="s">
        <v>3329</v>
      </c>
      <c r="N1" s="3505" t="s">
        <v>3343</v>
      </c>
      <c r="O1" s="3507" t="s">
        <v>3330</v>
      </c>
      <c r="P1" s="3505" t="s">
        <v>3331</v>
      </c>
    </row>
    <row r="2" spans="1:18" ht="22.5" customHeight="1" thickBot="1">
      <c r="A2" s="3509"/>
      <c r="B2" s="3509"/>
      <c r="C2" s="3509"/>
      <c r="D2" s="3510"/>
      <c r="E2" s="3509"/>
      <c r="F2" s="3509"/>
      <c r="G2" s="3509"/>
      <c r="H2" s="3509"/>
      <c r="I2" s="3509"/>
      <c r="J2" s="3509"/>
      <c r="K2" s="3509"/>
      <c r="L2" s="3509"/>
      <c r="M2" s="3509"/>
      <c r="N2" s="3509"/>
      <c r="O2" s="3509"/>
      <c r="P2" s="3509"/>
      <c r="R2" s="3511" t="s">
        <v>3332</v>
      </c>
    </row>
    <row r="3" spans="1:18" ht="22.5" customHeight="1" thickTop="1">
      <c r="A3" s="3512" t="str">
        <f>'数据-基础表'!C13</f>
        <v>1#电池厂房</v>
      </c>
      <c r="B3" s="3513">
        <v>1</v>
      </c>
      <c r="C3" s="3541" t="s">
        <v>3334</v>
      </c>
      <c r="D3" s="3514" t="s">
        <v>3335</v>
      </c>
      <c r="E3" s="3515">
        <v>23710</v>
      </c>
      <c r="F3" s="3516">
        <v>2000</v>
      </c>
      <c r="G3" s="3515">
        <f>F3*15/100</f>
        <v>300</v>
      </c>
      <c r="H3" s="3515">
        <f>F3+G3</f>
        <v>2300</v>
      </c>
      <c r="I3" s="3515">
        <f>H3*3/100</f>
        <v>69</v>
      </c>
      <c r="J3" s="3515">
        <f>ROUND((H3+I3)*2/100,2)</f>
        <v>47.38</v>
      </c>
      <c r="K3" s="3515">
        <f>ROUND((H3+I3+J3)*((1+0.0435)^(1/2)-1),2)</f>
        <v>52</v>
      </c>
      <c r="L3" s="3515">
        <f>ROUND((R3*15/100),2)</f>
        <v>362.46</v>
      </c>
      <c r="M3" s="3515">
        <f>H3+I3+J3+K3+L3</f>
        <v>2830.84</v>
      </c>
      <c r="N3" s="3517">
        <v>0.85</v>
      </c>
      <c r="O3" s="3516">
        <f>ROUND(M3*N3,0)</f>
        <v>2406</v>
      </c>
      <c r="P3" s="3518">
        <f>ROUND(O3*E3/10000,2)</f>
        <v>5704.63</v>
      </c>
      <c r="R3" s="3519">
        <f>H3+I3+J3</f>
        <v>2416.38</v>
      </c>
    </row>
    <row r="4" spans="1:18" ht="22.5" customHeight="1">
      <c r="A4" s="3520" t="str">
        <f>'数据-基础表'!C14</f>
        <v>生产检测车间</v>
      </c>
      <c r="B4" s="3521">
        <v>2</v>
      </c>
      <c r="C4" s="3537" t="s">
        <v>3344</v>
      </c>
      <c r="D4" s="3522" t="s">
        <v>3336</v>
      </c>
      <c r="E4" s="3523">
        <v>22686</v>
      </c>
      <c r="F4" s="3544">
        <f>F3</f>
        <v>2000</v>
      </c>
      <c r="G4" s="3523">
        <f t="shared" ref="G4:G13" si="0">F4*15/100</f>
        <v>300</v>
      </c>
      <c r="H4" s="3523">
        <f t="shared" ref="H4:H13" si="1">F4+G4</f>
        <v>2300</v>
      </c>
      <c r="I4" s="3523">
        <f t="shared" ref="I4:I13" si="2">H4*3/100</f>
        <v>69</v>
      </c>
      <c r="J4" s="3523">
        <f t="shared" ref="J4:J13" si="3">ROUND((H4+I4)*2/100,2)</f>
        <v>47.38</v>
      </c>
      <c r="K4" s="3523">
        <f t="shared" ref="K4:K13" si="4">ROUND((H4+I4+J4)*((1+0.0435)^(1/2)-1),2)</f>
        <v>52</v>
      </c>
      <c r="L4" s="3523">
        <f t="shared" ref="L4:L13" si="5">ROUND((R4*15/100),2)</f>
        <v>362.46</v>
      </c>
      <c r="M4" s="3523">
        <f t="shared" ref="M4:M13" si="6">H4+I4+J4+K4+L4</f>
        <v>2830.84</v>
      </c>
      <c r="N4" s="3524">
        <f>N3</f>
        <v>0.85</v>
      </c>
      <c r="O4" s="3544">
        <f>ROUND(M4*N4,0)</f>
        <v>2406</v>
      </c>
      <c r="P4" s="3518">
        <f t="shared" ref="P4:P12" si="7">ROUND(O4*E4/10000,2)</f>
        <v>5458.25</v>
      </c>
      <c r="R4" s="3519">
        <f t="shared" ref="R4:R13" si="8">H4+I4+J4</f>
        <v>2416.38</v>
      </c>
    </row>
    <row r="5" spans="1:18" ht="22.5" customHeight="1">
      <c r="A5" s="3525" t="str">
        <f>'数据-基础表'!C15</f>
        <v>1#标准厂房</v>
      </c>
      <c r="B5" s="3526">
        <v>3</v>
      </c>
      <c r="C5" s="3538" t="str">
        <f>C4</f>
        <v>框架</v>
      </c>
      <c r="D5" s="3527" t="s">
        <v>3337</v>
      </c>
      <c r="E5" s="3528">
        <v>6500</v>
      </c>
      <c r="F5" s="3526">
        <v>1500</v>
      </c>
      <c r="G5" s="3528">
        <f t="shared" si="0"/>
        <v>225</v>
      </c>
      <c r="H5" s="3528">
        <f t="shared" si="1"/>
        <v>1725</v>
      </c>
      <c r="I5" s="3528">
        <f t="shared" si="2"/>
        <v>51.75</v>
      </c>
      <c r="J5" s="3528">
        <f t="shared" si="3"/>
        <v>35.54</v>
      </c>
      <c r="K5" s="3528">
        <f t="shared" si="4"/>
        <v>39</v>
      </c>
      <c r="L5" s="3528">
        <f t="shared" si="5"/>
        <v>271.83999999999997</v>
      </c>
      <c r="M5" s="3528">
        <f t="shared" si="6"/>
        <v>2123.13</v>
      </c>
      <c r="N5" s="3529">
        <f>N3</f>
        <v>0.85</v>
      </c>
      <c r="O5" s="3545">
        <f>ROUND(M5*N5,0)</f>
        <v>1805</v>
      </c>
      <c r="P5" s="3518">
        <f t="shared" si="7"/>
        <v>1173.25</v>
      </c>
      <c r="R5" s="3519">
        <f t="shared" si="8"/>
        <v>1812.29</v>
      </c>
    </row>
    <row r="6" spans="1:18" ht="22.5" customHeight="1">
      <c r="A6" s="3520" t="str">
        <f>'数据-基础表'!C16</f>
        <v>1#单身宿舍</v>
      </c>
      <c r="B6" s="3521">
        <v>4</v>
      </c>
      <c r="C6" s="3537" t="str">
        <f>C4</f>
        <v>框架</v>
      </c>
      <c r="D6" s="3522" t="s">
        <v>3338</v>
      </c>
      <c r="E6" s="3523">
        <v>8238</v>
      </c>
      <c r="F6" s="3521">
        <f>F5</f>
        <v>1500</v>
      </c>
      <c r="G6" s="3523">
        <f t="shared" si="0"/>
        <v>225</v>
      </c>
      <c r="H6" s="3523">
        <f t="shared" si="1"/>
        <v>1725</v>
      </c>
      <c r="I6" s="3523">
        <f t="shared" si="2"/>
        <v>51.75</v>
      </c>
      <c r="J6" s="3523">
        <f t="shared" si="3"/>
        <v>35.54</v>
      </c>
      <c r="K6" s="3523">
        <f t="shared" si="4"/>
        <v>39</v>
      </c>
      <c r="L6" s="3523">
        <f t="shared" si="5"/>
        <v>271.83999999999997</v>
      </c>
      <c r="M6" s="3523">
        <f t="shared" si="6"/>
        <v>2123.13</v>
      </c>
      <c r="N6" s="3524">
        <f>N3</f>
        <v>0.85</v>
      </c>
      <c r="O6" s="3544">
        <f>ROUND(M6*N6,0)</f>
        <v>1805</v>
      </c>
      <c r="P6" s="3518">
        <f t="shared" si="7"/>
        <v>1486.96</v>
      </c>
      <c r="R6" s="3519">
        <f t="shared" si="8"/>
        <v>1812.29</v>
      </c>
    </row>
    <row r="7" spans="1:18" ht="22.5" customHeight="1">
      <c r="A7" s="3525" t="str">
        <f>'数据-基础表'!C17</f>
        <v>2#标准厂房</v>
      </c>
      <c r="B7" s="3526">
        <v>5</v>
      </c>
      <c r="C7" s="3538" t="str">
        <f>C4</f>
        <v>框架</v>
      </c>
      <c r="D7" s="3542" t="s">
        <v>3339</v>
      </c>
      <c r="E7" s="3528">
        <v>11032</v>
      </c>
      <c r="F7" s="3526">
        <f>F5</f>
        <v>1500</v>
      </c>
      <c r="G7" s="3528">
        <f t="shared" si="0"/>
        <v>225</v>
      </c>
      <c r="H7" s="3528">
        <f t="shared" si="1"/>
        <v>1725</v>
      </c>
      <c r="I7" s="3528">
        <f t="shared" si="2"/>
        <v>51.75</v>
      </c>
      <c r="J7" s="3528">
        <f t="shared" si="3"/>
        <v>35.54</v>
      </c>
      <c r="K7" s="3528">
        <f t="shared" si="4"/>
        <v>39</v>
      </c>
      <c r="L7" s="3528">
        <f t="shared" si="5"/>
        <v>271.83999999999997</v>
      </c>
      <c r="M7" s="3528">
        <f t="shared" si="6"/>
        <v>2123.13</v>
      </c>
      <c r="N7" s="3529">
        <f>N3</f>
        <v>0.85</v>
      </c>
      <c r="O7" s="3545">
        <f>ROUND(M7*N7,0)</f>
        <v>1805</v>
      </c>
      <c r="P7" s="3518">
        <f t="shared" si="7"/>
        <v>1991.28</v>
      </c>
      <c r="R7" s="3519">
        <f t="shared" si="8"/>
        <v>1812.29</v>
      </c>
    </row>
    <row r="8" spans="1:18" ht="22.5" customHeight="1">
      <c r="A8" s="3520" t="str">
        <f>'数据-基础表'!C18</f>
        <v>2#单身宿舍</v>
      </c>
      <c r="B8" s="3521">
        <v>6</v>
      </c>
      <c r="C8" s="3537" t="str">
        <f>C4</f>
        <v>框架</v>
      </c>
      <c r="D8" s="3543" t="s">
        <v>3339</v>
      </c>
      <c r="E8" s="3523">
        <v>8238</v>
      </c>
      <c r="F8" s="3521">
        <f>F5</f>
        <v>1500</v>
      </c>
      <c r="G8" s="3523">
        <f t="shared" si="0"/>
        <v>225</v>
      </c>
      <c r="H8" s="3523">
        <f t="shared" si="1"/>
        <v>1725</v>
      </c>
      <c r="I8" s="3523">
        <f t="shared" si="2"/>
        <v>51.75</v>
      </c>
      <c r="J8" s="3523">
        <f t="shared" si="3"/>
        <v>35.54</v>
      </c>
      <c r="K8" s="3523">
        <f t="shared" si="4"/>
        <v>39</v>
      </c>
      <c r="L8" s="3523">
        <f t="shared" si="5"/>
        <v>271.83999999999997</v>
      </c>
      <c r="M8" s="3523">
        <f t="shared" si="6"/>
        <v>2123.13</v>
      </c>
      <c r="N8" s="3524">
        <f>N3</f>
        <v>0.85</v>
      </c>
      <c r="O8" s="3544">
        <f>ROUND(M8*N8,0)</f>
        <v>1805</v>
      </c>
      <c r="P8" s="3518">
        <f t="shared" si="7"/>
        <v>1486.96</v>
      </c>
      <c r="R8" s="3519">
        <f t="shared" si="8"/>
        <v>1812.29</v>
      </c>
    </row>
    <row r="9" spans="1:18" ht="22.5" customHeight="1">
      <c r="A9" s="3525" t="str">
        <f>'数据-基础表'!C19</f>
        <v>门卫1</v>
      </c>
      <c r="B9" s="3526">
        <v>7</v>
      </c>
      <c r="C9" s="3538" t="s">
        <v>3342</v>
      </c>
      <c r="D9" s="3542" t="s">
        <v>3340</v>
      </c>
      <c r="E9" s="3528">
        <v>16</v>
      </c>
      <c r="F9" s="3526">
        <v>1000</v>
      </c>
      <c r="G9" s="3528">
        <f t="shared" si="0"/>
        <v>150</v>
      </c>
      <c r="H9" s="3528">
        <f t="shared" si="1"/>
        <v>1150</v>
      </c>
      <c r="I9" s="3528">
        <f t="shared" si="2"/>
        <v>34.5</v>
      </c>
      <c r="J9" s="3528">
        <f t="shared" si="3"/>
        <v>23.69</v>
      </c>
      <c r="K9" s="3528">
        <f t="shared" si="4"/>
        <v>26</v>
      </c>
      <c r="L9" s="3528">
        <f t="shared" si="5"/>
        <v>181.23</v>
      </c>
      <c r="M9" s="3528">
        <f t="shared" si="6"/>
        <v>1415.42</v>
      </c>
      <c r="N9" s="3529">
        <f>N3</f>
        <v>0.85</v>
      </c>
      <c r="O9" s="3545">
        <f>ROUND(M9*N9,0)</f>
        <v>1203</v>
      </c>
      <c r="P9" s="3518">
        <f t="shared" si="7"/>
        <v>1.92</v>
      </c>
      <c r="R9" s="3519">
        <f t="shared" si="8"/>
        <v>1208.19</v>
      </c>
    </row>
    <row r="10" spans="1:18" ht="22.5" customHeight="1">
      <c r="A10" s="3520" t="str">
        <f>'数据-基础表'!C20</f>
        <v>门卫2</v>
      </c>
      <c r="B10" s="3521">
        <v>8</v>
      </c>
      <c r="C10" s="3537" t="s">
        <v>3342</v>
      </c>
      <c r="D10" s="3543" t="s">
        <v>3341</v>
      </c>
      <c r="E10" s="3523">
        <v>48</v>
      </c>
      <c r="F10" s="3521">
        <f>F9</f>
        <v>1000</v>
      </c>
      <c r="G10" s="3523">
        <f t="shared" si="0"/>
        <v>150</v>
      </c>
      <c r="H10" s="3523">
        <f t="shared" si="1"/>
        <v>1150</v>
      </c>
      <c r="I10" s="3523">
        <f t="shared" si="2"/>
        <v>34.5</v>
      </c>
      <c r="J10" s="3523">
        <f t="shared" si="3"/>
        <v>23.69</v>
      </c>
      <c r="K10" s="3523">
        <f t="shared" si="4"/>
        <v>26</v>
      </c>
      <c r="L10" s="3523">
        <f t="shared" si="5"/>
        <v>181.23</v>
      </c>
      <c r="M10" s="3523">
        <f t="shared" si="6"/>
        <v>1415.42</v>
      </c>
      <c r="N10" s="3524">
        <f>N3</f>
        <v>0.85</v>
      </c>
      <c r="O10" s="3544">
        <f>ROUND(M10*N10,0)</f>
        <v>1203</v>
      </c>
      <c r="P10" s="3518">
        <f t="shared" si="7"/>
        <v>5.77</v>
      </c>
      <c r="R10" s="3519">
        <f t="shared" si="8"/>
        <v>1208.19</v>
      </c>
    </row>
    <row r="11" spans="1:18" ht="22.5" customHeight="1">
      <c r="A11" s="3525" t="str">
        <f>'数据-基础表'!C21</f>
        <v>连廊</v>
      </c>
      <c r="B11" s="3526">
        <v>9</v>
      </c>
      <c r="C11" s="3538" t="s">
        <v>3334</v>
      </c>
      <c r="D11" s="3542" t="s">
        <v>3340</v>
      </c>
      <c r="E11" s="3528">
        <v>100</v>
      </c>
      <c r="F11" s="3545">
        <f>F4</f>
        <v>2000</v>
      </c>
      <c r="G11" s="3528">
        <f t="shared" si="0"/>
        <v>300</v>
      </c>
      <c r="H11" s="3528">
        <f t="shared" si="1"/>
        <v>2300</v>
      </c>
      <c r="I11" s="3528">
        <f t="shared" si="2"/>
        <v>69</v>
      </c>
      <c r="J11" s="3528">
        <f t="shared" si="3"/>
        <v>47.38</v>
      </c>
      <c r="K11" s="3528">
        <f t="shared" si="4"/>
        <v>52</v>
      </c>
      <c r="L11" s="3528">
        <f t="shared" si="5"/>
        <v>362.46</v>
      </c>
      <c r="M11" s="3528">
        <f t="shared" si="6"/>
        <v>2830.84</v>
      </c>
      <c r="N11" s="3529">
        <f>N3</f>
        <v>0.85</v>
      </c>
      <c r="O11" s="3545">
        <f>ROUND(M11*N11,0)</f>
        <v>2406</v>
      </c>
      <c r="P11" s="3518">
        <f t="shared" si="7"/>
        <v>24.06</v>
      </c>
      <c r="R11" s="3519">
        <f t="shared" si="8"/>
        <v>2416.38</v>
      </c>
    </row>
    <row r="12" spans="1:18" ht="22.5" customHeight="1" thickBot="1">
      <c r="A12" s="3520" t="str">
        <f>'数据-基础表'!C22</f>
        <v>1#废水处理区操作间</v>
      </c>
      <c r="B12" s="3521">
        <v>10</v>
      </c>
      <c r="C12" s="3537" t="s">
        <v>3334</v>
      </c>
      <c r="D12" s="3543" t="s">
        <v>3340</v>
      </c>
      <c r="E12" s="3523">
        <v>240</v>
      </c>
      <c r="F12" s="3544">
        <v>1500</v>
      </c>
      <c r="G12" s="3523">
        <f t="shared" si="0"/>
        <v>225</v>
      </c>
      <c r="H12" s="3523">
        <f t="shared" si="1"/>
        <v>1725</v>
      </c>
      <c r="I12" s="3523">
        <f t="shared" si="2"/>
        <v>51.75</v>
      </c>
      <c r="J12" s="3523">
        <f t="shared" si="3"/>
        <v>35.54</v>
      </c>
      <c r="K12" s="3523">
        <f t="shared" si="4"/>
        <v>39</v>
      </c>
      <c r="L12" s="3523">
        <f t="shared" si="5"/>
        <v>271.83999999999997</v>
      </c>
      <c r="M12" s="3523">
        <f t="shared" si="6"/>
        <v>2123.13</v>
      </c>
      <c r="N12" s="3524">
        <f>N3</f>
        <v>0.85</v>
      </c>
      <c r="O12" s="3544">
        <f>ROUND(M12*N12,0)</f>
        <v>1805</v>
      </c>
      <c r="P12" s="3518">
        <f t="shared" si="7"/>
        <v>43.32</v>
      </c>
      <c r="R12" s="3519">
        <f t="shared" si="8"/>
        <v>1812.29</v>
      </c>
    </row>
    <row r="13" spans="1:18" ht="22.5" hidden="1" customHeight="1">
      <c r="A13" s="3531"/>
      <c r="B13" s="3526">
        <v>11</v>
      </c>
      <c r="C13" s="3526"/>
      <c r="D13" s="3527"/>
      <c r="E13" s="3528"/>
      <c r="F13" s="3526"/>
      <c r="G13" s="3528">
        <f t="shared" si="0"/>
        <v>0</v>
      </c>
      <c r="H13" s="3528">
        <f t="shared" si="1"/>
        <v>0</v>
      </c>
      <c r="I13" s="3528">
        <f t="shared" si="2"/>
        <v>0</v>
      </c>
      <c r="J13" s="3528">
        <f t="shared" si="3"/>
        <v>0</v>
      </c>
      <c r="K13" s="3528">
        <f t="shared" si="4"/>
        <v>0</v>
      </c>
      <c r="L13" s="3528">
        <f t="shared" si="5"/>
        <v>0</v>
      </c>
      <c r="M13" s="3528">
        <f t="shared" si="6"/>
        <v>0</v>
      </c>
      <c r="N13" s="3529">
        <v>10.75</v>
      </c>
      <c r="O13" s="3528">
        <f t="shared" ref="O4:O13" si="9">ROUND(M13*N13,2)</f>
        <v>0</v>
      </c>
      <c r="P13" s="3530">
        <f t="shared" ref="P4:P13" si="10">ROUND(O13*E13/10000,2)</f>
        <v>0</v>
      </c>
      <c r="R13" s="3519">
        <f t="shared" si="8"/>
        <v>0</v>
      </c>
    </row>
    <row r="14" spans="1:18" ht="22.5" customHeight="1" thickTop="1" thickBot="1">
      <c r="A14" s="3532" t="s">
        <v>3333</v>
      </c>
      <c r="B14" s="3533"/>
      <c r="C14" s="3533"/>
      <c r="D14" s="3534"/>
      <c r="E14" s="3535">
        <f>SUM(E3:E13)</f>
        <v>80808</v>
      </c>
      <c r="F14" s="3533"/>
      <c r="G14" s="3533"/>
      <c r="H14" s="3533"/>
      <c r="I14" s="3533"/>
      <c r="J14" s="3533"/>
      <c r="K14" s="3533"/>
      <c r="L14" s="3533"/>
      <c r="M14" s="3533"/>
      <c r="N14" s="3533"/>
      <c r="O14" s="3533"/>
      <c r="P14" s="3536">
        <f>SUM(P3:P13)</f>
        <v>17376.400000000001</v>
      </c>
    </row>
    <row r="16" spans="1:18" ht="22.5" customHeight="1">
      <c r="P16" s="3540"/>
    </row>
  </sheetData>
  <mergeCells count="16">
    <mergeCell ref="L1:L2"/>
    <mergeCell ref="M1:M2"/>
    <mergeCell ref="N1:N2"/>
    <mergeCell ref="O1:O2"/>
    <mergeCell ref="P1:P2"/>
    <mergeCell ref="F1:F2"/>
    <mergeCell ref="G1:G2"/>
    <mergeCell ref="H1:H2"/>
    <mergeCell ref="I1:I2"/>
    <mergeCell ref="J1:J2"/>
    <mergeCell ref="K1:K2"/>
    <mergeCell ref="A1:A2"/>
    <mergeCell ref="B1:B2"/>
    <mergeCell ref="C1:C2"/>
    <mergeCell ref="D1:D2"/>
    <mergeCell ref="E1:E2"/>
  </mergeCells>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2041</v>
      </c>
      <c r="B1" s="3208"/>
      <c r="C1" s="3208"/>
      <c r="D1" s="3208"/>
      <c r="E1" s="3208"/>
      <c r="F1" s="3208"/>
      <c r="G1" s="3208"/>
      <c r="H1" s="3208"/>
      <c r="I1" s="3208"/>
      <c r="J1" s="3208"/>
      <c r="K1" s="3208"/>
      <c r="L1" s="3208"/>
      <c r="M1" s="3208"/>
      <c r="N1" s="3208"/>
      <c r="O1" s="3208"/>
      <c r="P1" s="3208"/>
      <c r="Q1" s="3208"/>
      <c r="R1" s="3208"/>
    </row>
    <row r="2" spans="1:18">
      <c r="A2" s="1809" t="s">
        <v>2043</v>
      </c>
      <c r="B2" s="1809"/>
      <c r="C2" s="1809"/>
      <c r="D2" s="1809"/>
      <c r="E2" s="1809"/>
      <c r="F2" s="1809"/>
      <c r="G2" s="1809"/>
      <c r="H2" s="1809"/>
      <c r="I2" s="1810"/>
      <c r="J2" s="1810"/>
      <c r="K2" s="1811" t="str">
        <f>"估价期日："&amp;TEXT(项目基本情况!D3,"yyyy年m月d日;;")</f>
        <v>估价期日：2018年7月9日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9" t="s">
        <v>2032</v>
      </c>
      <c r="B3" s="3209" t="s">
        <v>2734</v>
      </c>
      <c r="C3" s="3210" t="s">
        <v>2033</v>
      </c>
      <c r="D3" s="3209" t="s">
        <v>2738</v>
      </c>
      <c r="E3" s="3204" t="s">
        <v>2034</v>
      </c>
      <c r="F3" s="3204"/>
      <c r="G3" s="3204"/>
      <c r="H3" s="3204" t="s">
        <v>2035</v>
      </c>
      <c r="I3" s="3204"/>
      <c r="J3" s="3204"/>
      <c r="K3" s="3210" t="s">
        <v>2036</v>
      </c>
      <c r="L3" s="3210" t="s">
        <v>2037</v>
      </c>
      <c r="M3" s="3209" t="s">
        <v>2735</v>
      </c>
      <c r="N3" s="3211" t="str">
        <f>"（分摊）"&amp;项目基本情况!B16&amp;"国有建设用地使用权面积/㎡"</f>
        <v>（分摊）出让国有建设用地使用权面积/㎡</v>
      </c>
      <c r="O3" s="3209" t="s">
        <v>2066</v>
      </c>
      <c r="P3" s="3210" t="s">
        <v>2046</v>
      </c>
      <c r="Q3" s="3210" t="s">
        <v>2067</v>
      </c>
      <c r="R3" s="3210" t="s">
        <v>2038</v>
      </c>
    </row>
    <row r="4" spans="1:18" ht="36.75" customHeight="1">
      <c r="A4" s="3209"/>
      <c r="B4" s="3209"/>
      <c r="C4" s="3210"/>
      <c r="D4" s="3209"/>
      <c r="E4" s="2651" t="s">
        <v>2045</v>
      </c>
      <c r="F4" s="2651" t="s">
        <v>2747</v>
      </c>
      <c r="G4" s="2651" t="s">
        <v>2039</v>
      </c>
      <c r="H4" s="2651" t="s">
        <v>2040</v>
      </c>
      <c r="I4" s="2651" t="s">
        <v>2748</v>
      </c>
      <c r="J4" s="2651" t="s">
        <v>2039</v>
      </c>
      <c r="K4" s="3210"/>
      <c r="L4" s="3210"/>
      <c r="M4" s="3209"/>
      <c r="N4" s="3211"/>
      <c r="O4" s="3209"/>
      <c r="P4" s="3210"/>
      <c r="Q4" s="3210"/>
      <c r="R4" s="3210"/>
    </row>
    <row r="5" spans="1:18" ht="135" customHeight="1">
      <c r="A5" s="1945" t="s">
        <v>2658</v>
      </c>
      <c r="B5" s="2869" t="s">
        <v>2656</v>
      </c>
      <c r="C5" s="2650">
        <v>22</v>
      </c>
      <c r="D5" s="2649" t="s">
        <v>2657</v>
      </c>
      <c r="E5" s="1812" t="str">
        <f>项目基本情况!B12</f>
        <v>工业</v>
      </c>
      <c r="F5" s="2649">
        <v>258</v>
      </c>
      <c r="G5" s="1812">
        <f>项目基本情况!B13</f>
        <v>0</v>
      </c>
      <c r="H5" s="2649">
        <v>1.5</v>
      </c>
      <c r="I5" s="2649">
        <v>1.5</v>
      </c>
      <c r="J5" s="2649">
        <v>1.5</v>
      </c>
      <c r="K5" s="1812" t="str">
        <f>"红线外"&amp;项目基本情况!T40&amp;"、宗地红线内"&amp;项目基本情况!B35</f>
        <v>红线外六通、宗地红线内</v>
      </c>
      <c r="L5" s="1812" t="str">
        <f>"红线外"&amp;项目基本情况!T40&amp;"、宗地红线内场地"&amp;项目基本情况!D36</f>
        <v>红线外六通、宗地红线内场地</v>
      </c>
      <c r="M5" s="1812">
        <f>IF(项目基本情况!B16="出让",项目基本情况!D20,"——")</f>
        <v>0</v>
      </c>
      <c r="N5" s="1812">
        <f>项目基本情况!C22</f>
        <v>86802.49</v>
      </c>
      <c r="O5" s="1812">
        <f>项目基本情况!C21</f>
        <v>80808</v>
      </c>
      <c r="P5" s="1812">
        <f ca="1">结果表!E42</f>
        <v>1367</v>
      </c>
      <c r="Q5" s="1812">
        <f ca="1">结果表!D42</f>
        <v>1469</v>
      </c>
      <c r="R5" s="1813">
        <f ca="1">结果表!C42</f>
        <v>11870</v>
      </c>
    </row>
    <row r="6" spans="1:18">
      <c r="A6" s="3205" t="str">
        <f>IF(项目基本情况!B9="市场价格","——","抵押价格")</f>
        <v>——</v>
      </c>
      <c r="B6" s="3206"/>
      <c r="C6" s="3206"/>
      <c r="D6" s="3206"/>
      <c r="E6" s="3206"/>
      <c r="F6" s="3206"/>
      <c r="G6" s="3206"/>
      <c r="H6" s="3206"/>
      <c r="I6" s="3206"/>
      <c r="J6" s="3206"/>
      <c r="K6" s="3206"/>
      <c r="L6" s="3206"/>
      <c r="M6" s="3206"/>
      <c r="N6" s="3206"/>
      <c r="O6" s="3206"/>
      <c r="P6" s="3206"/>
      <c r="Q6" s="3207"/>
      <c r="R6" s="1814"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4"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2" t="s">
        <v>2068</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2069</v>
      </c>
      <c r="B5" s="3215"/>
      <c r="C5" s="3215"/>
      <c r="D5" s="3215"/>
    </row>
    <row r="6" spans="1:4">
      <c r="A6" s="3212" t="s">
        <v>2047</v>
      </c>
      <c r="B6" s="3212"/>
      <c r="C6" s="3212"/>
      <c r="D6" s="3212"/>
    </row>
    <row r="7" spans="1:4" ht="33" customHeight="1">
      <c r="A7" s="3212" t="s">
        <v>2578</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2"/>
      <c r="C8" s="3212"/>
      <c r="D8" s="3212"/>
    </row>
    <row r="9" spans="1:4" ht="33.75" customHeight="1">
      <c r="A9" s="3212" t="str">
        <f>IF(项目基本情况!B8="抵押","3.抵押双方在办理抵押登记手续时，应使用本公司出具的正式《土地估价报告》，特提请报告使用者注意。","——")</f>
        <v>——</v>
      </c>
      <c r="B9" s="3212"/>
      <c r="C9" s="3212"/>
      <c r="D9" s="3212"/>
    </row>
    <row r="10" spans="1:4">
      <c r="A10" s="3212" t="str">
        <f>IF(项目基本情况!B8="抵押","4.估价师所知悉的法定优先受偿款情况为：","——")</f>
        <v>——</v>
      </c>
      <c r="B10" s="3212"/>
      <c r="C10" s="3212"/>
      <c r="D10" s="3212"/>
    </row>
    <row r="11" spans="1:4" ht="37.5" customHeight="1">
      <c r="A11" s="3214" t="str">
        <f>IF(项目基本情况!B8="抵押","（1）"&amp;CONCATENATE(项目基本情况!L24,项目基本情况!L25,项目基本情况!L26),"——")</f>
        <v>——</v>
      </c>
      <c r="B11" s="3214"/>
      <c r="C11" s="3214"/>
      <c r="D11" s="3214"/>
    </row>
    <row r="12" spans="1:4" ht="168" customHeight="1">
      <c r="A12" s="3215" t="s">
        <v>2071</v>
      </c>
      <c r="B12" s="3215"/>
      <c r="C12" s="3215"/>
      <c r="D12" s="3215"/>
    </row>
    <row r="13" spans="1:4">
      <c r="A13" s="3213" t="s">
        <v>2749</v>
      </c>
      <c r="B13" s="3213"/>
      <c r="C13" s="3213"/>
      <c r="D13" s="3213"/>
    </row>
    <row r="14" spans="1:4">
      <c r="A14" s="3214" t="str">
        <f>IF(项目基本情况!B8="抵押","综上，"&amp;结果表!K47,"——")</f>
        <v>——</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2705</v>
      </c>
      <c r="B17" s="3212"/>
      <c r="C17" s="3212"/>
      <c r="D17" s="3212"/>
    </row>
    <row r="18" spans="1:4">
      <c r="A18" s="3212" t="s">
        <v>2697</v>
      </c>
      <c r="B18" s="3212"/>
      <c r="C18" s="3212"/>
      <c r="D18" s="3212"/>
    </row>
    <row r="19" spans="1:4">
      <c r="A19" s="2870" t="s">
        <v>2698</v>
      </c>
      <c r="B19" s="2870" t="s">
        <v>2699</v>
      </c>
      <c r="C19" s="2870" t="s">
        <v>2700</v>
      </c>
      <c r="D19" s="2870" t="s">
        <v>2701</v>
      </c>
    </row>
    <row r="20" spans="1:4">
      <c r="A20" s="2870" t="str">
        <f>项目基本情况!B4</f>
        <v>陈颖</v>
      </c>
      <c r="B20" s="2870">
        <f ca="1">项目基本情况!C4</f>
        <v>2004110096</v>
      </c>
      <c r="C20" s="2872"/>
      <c r="D20" s="1802" t="s">
        <v>2706</v>
      </c>
    </row>
    <row r="21" spans="1:4">
      <c r="A21" s="2870" t="str">
        <f>项目基本情况!D4</f>
        <v>叶凌</v>
      </c>
      <c r="B21" s="2870">
        <f ca="1">项目基本情况!E4</f>
        <v>94010078</v>
      </c>
      <c r="C21" s="2872"/>
      <c r="D21" s="1802" t="s">
        <v>2707</v>
      </c>
    </row>
    <row r="23" spans="1:4">
      <c r="A23" s="3212" t="s">
        <v>2702</v>
      </c>
      <c r="B23" s="3212"/>
      <c r="C23" s="3212"/>
      <c r="D23" s="3212"/>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26" sqref="A26:C26"/>
      <selection pane="bottomLeft" activeCell="A26" sqref="A26:C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4" t="s">
        <v>53</v>
      </c>
      <c r="B15" s="3225" t="s">
        <v>846</v>
      </c>
      <c r="C15" s="3221"/>
    </row>
    <row r="16" spans="1:7" ht="14.25">
      <c r="A16" s="3224"/>
      <c r="B16" s="3222" t="s">
        <v>54</v>
      </c>
      <c r="C16" s="1172" t="s">
        <v>53</v>
      </c>
    </row>
    <row r="17" spans="1:3" ht="14.25">
      <c r="A17" s="3224"/>
      <c r="B17" s="3222"/>
      <c r="C17" s="1172" t="s">
        <v>55</v>
      </c>
    </row>
    <row r="18" spans="1:3" ht="14.25">
      <c r="A18" s="3224"/>
      <c r="B18" s="3222"/>
      <c r="C18" s="1172" t="s">
        <v>56</v>
      </c>
    </row>
    <row r="19" spans="1:3" ht="14.25">
      <c r="A19" s="3224"/>
      <c r="B19" s="3220" t="s">
        <v>57</v>
      </c>
      <c r="C19" s="3221"/>
    </row>
    <row r="20" spans="1:3" ht="14.25">
      <c r="A20" s="1173" t="s">
        <v>58</v>
      </c>
      <c r="B20" s="1174"/>
      <c r="C20" s="1175"/>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6" t="s">
        <v>837</v>
      </c>
    </row>
    <row r="25" spans="1:3" ht="14.25">
      <c r="A25" s="3223"/>
      <c r="B25" s="3227"/>
      <c r="C25" s="1176" t="s">
        <v>838</v>
      </c>
    </row>
    <row r="26" spans="1:3" ht="14.25">
      <c r="A26" s="3223"/>
      <c r="B26" s="3227"/>
      <c r="C26" s="1176" t="s">
        <v>839</v>
      </c>
    </row>
    <row r="27" spans="1:3" ht="14.25">
      <c r="A27" s="3223"/>
      <c r="B27" s="3227"/>
      <c r="C27" s="1176" t="s">
        <v>840</v>
      </c>
    </row>
    <row r="28" spans="1:3" ht="14.25">
      <c r="A28" s="3223"/>
      <c r="B28" s="3227"/>
      <c r="C28" s="1176" t="s">
        <v>841</v>
      </c>
    </row>
    <row r="29" spans="1:3" ht="14.25">
      <c r="A29" s="3223"/>
      <c r="B29" s="3227"/>
      <c r="C29" s="1176" t="s">
        <v>842</v>
      </c>
    </row>
    <row r="30" spans="1:3" ht="14.25">
      <c r="A30" s="3223"/>
      <c r="B30" s="3227"/>
      <c r="C30" s="1176" t="s">
        <v>843</v>
      </c>
    </row>
    <row r="31" spans="1:3" ht="14.25">
      <c r="A31" s="3223"/>
      <c r="B31" s="3227"/>
      <c r="C31" s="1176" t="s">
        <v>844</v>
      </c>
    </row>
    <row r="32" spans="1:3" ht="14.25">
      <c r="A32" s="3223"/>
      <c r="B32" s="3227"/>
      <c r="C32" s="1176" t="s">
        <v>1647</v>
      </c>
    </row>
    <row r="33" spans="1:3" ht="14.25">
      <c r="A33" s="3223"/>
      <c r="B33" s="3217" t="s">
        <v>1653</v>
      </c>
      <c r="C33" s="1176" t="s">
        <v>1648</v>
      </c>
    </row>
    <row r="34" spans="1:3" ht="14.25">
      <c r="A34" s="3223"/>
      <c r="B34" s="3218"/>
      <c r="C34" s="1181" t="s">
        <v>1649</v>
      </c>
    </row>
    <row r="35" spans="1:3" ht="14.25">
      <c r="A35" s="3223"/>
      <c r="B35" s="3218"/>
      <c r="C35" s="1182" t="s">
        <v>1650</v>
      </c>
    </row>
    <row r="36" spans="1:3" ht="14.25">
      <c r="A36" s="3223"/>
      <c r="B36" s="3218"/>
      <c r="C36" s="1182" t="s">
        <v>1651</v>
      </c>
    </row>
    <row r="37" spans="1:3" ht="14.25">
      <c r="A37" s="3223"/>
      <c r="B37" s="321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26" sqref="A26:C2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43335</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43359</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2979</v>
      </c>
      <c r="B12" s="2345">
        <v>1120110054</v>
      </c>
      <c r="C12" s="3008">
        <v>43937</v>
      </c>
      <c r="D12" s="2345" t="s">
        <v>2979</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28" t="s">
        <v>1929</v>
      </c>
      <c r="B25" s="3228"/>
      <c r="C25" s="3228"/>
      <c r="D25" s="3228"/>
      <c r="E25" s="3228"/>
      <c r="F25" s="3228"/>
      <c r="G25" s="3228"/>
    </row>
    <row r="26" spans="1:7" ht="20.25" customHeight="1">
      <c r="A26" s="3229" t="s">
        <v>1930</v>
      </c>
      <c r="B26" s="3229"/>
      <c r="C26" s="3229"/>
      <c r="D26" s="3229" t="s">
        <v>1931</v>
      </c>
      <c r="E26" s="3229"/>
      <c r="F26" s="3229"/>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2945</v>
      </c>
      <c r="F29" s="2359">
        <v>43281</v>
      </c>
    </row>
    <row r="30" spans="1:7" ht="20.25" customHeight="1">
      <c r="C30" s="2360"/>
      <c r="D30" s="2360"/>
    </row>
  </sheetData>
  <sheetProtection sheet="1" objects="1" scenarios="1"/>
  <mergeCells count="3">
    <mergeCell ref="A25:G25"/>
    <mergeCell ref="A26:C26"/>
    <mergeCell ref="D26:F26"/>
  </mergeCells>
  <phoneticPr fontId="4"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6" sqref="A26:C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2" t="s">
        <v>2957</v>
      </c>
      <c r="C18" s="1555"/>
    </row>
    <row r="19" spans="1:3">
      <c r="A19" s="8" t="s">
        <v>120</v>
      </c>
      <c r="B19" s="3112"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马驹桥镇金桥科技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30"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c r="D53" s="1769"/>
      <c r="E53" s="1769"/>
    </row>
    <row r="54" spans="1:5">
      <c r="A54" s="3230"/>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0"/>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0"/>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0"/>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Sheet4</vt:lpstr>
      <vt:lpstr>建筑物价格</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2018-08-23T02:45:19Z</dcterms:modified>
</cp:coreProperties>
</file>