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居住" sheetId="43" r:id="rId22"/>
    <sheet name="基准地价修正-商业" sheetId="78" r:id="rId23"/>
    <sheet name="基准地价修正-办公" sheetId="79" r:id="rId24"/>
    <sheet name="假设开发法" sheetId="12" r:id="rId25"/>
    <sheet name="土地比较法-住宅、综合" sheetId="39" state="hidden" r:id="rId26"/>
    <sheet name="收益法-公租房" sheetId="15" r:id="rId27"/>
    <sheet name="收益法-商业" sheetId="80" r:id="rId28"/>
    <sheet name="收益法-办公" sheetId="81"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30">'收益法 (元)'!$A$1:$AK$69</definedName>
    <definedName name="_xlnm.Print_Area" localSheetId="28">'收益法-办公'!$A$1:$AK$69</definedName>
    <definedName name="_xlnm.Print_Area" localSheetId="29">'收益法-地下车库'!$A$1:$AK$69</definedName>
    <definedName name="_xlnm.Print_Area" localSheetId="26">'收益法-公租房'!$A$1:$AK$69</definedName>
    <definedName name="_xlnm.Print_Area" localSheetId="27">'收益法-商业'!$A$1:$AK$69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 localSheetId="22">'基准地价修正-商业'!$Q$19:$AD$19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82" l="1"/>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4" i="80" s="1"/>
  <c r="D23" i="80"/>
  <c r="D22" i="80"/>
  <c r="F21" i="80"/>
  <c r="M20" i="80"/>
  <c r="F20" i="80"/>
  <c r="M19" i="80"/>
  <c r="M18" i="80"/>
  <c r="F18" i="80"/>
  <c r="M17" i="80"/>
  <c r="F17" i="80"/>
  <c r="F15" i="80"/>
  <c r="D29" i="79"/>
  <c r="D1" i="79" s="1"/>
  <c r="G60" i="79"/>
  <c r="G61" i="79"/>
  <c r="G62" i="79"/>
  <c r="G63" i="79"/>
  <c r="G64" i="79"/>
  <c r="G65" i="79"/>
  <c r="G66" i="79"/>
  <c r="G67" i="79"/>
  <c r="G59" i="79"/>
  <c r="K59" i="79" s="1"/>
  <c r="J59" i="79" s="1"/>
  <c r="F113" i="79"/>
  <c r="L108" i="79"/>
  <c r="H108" i="79"/>
  <c r="D108" i="79"/>
  <c r="L100" i="79"/>
  <c r="H100" i="79"/>
  <c r="D100" i="79"/>
  <c r="N99" i="79"/>
  <c r="N108" i="79" s="1"/>
  <c r="M99" i="79"/>
  <c r="L99" i="79"/>
  <c r="K99" i="79"/>
  <c r="J99" i="79"/>
  <c r="J108" i="79" s="1"/>
  <c r="I99" i="79"/>
  <c r="H99" i="79"/>
  <c r="G99" i="79"/>
  <c r="F99" i="79"/>
  <c r="F108" i="79" s="1"/>
  <c r="E99" i="79"/>
  <c r="D99" i="79"/>
  <c r="C99" i="79"/>
  <c r="M88" i="79"/>
  <c r="N88" i="79" s="1"/>
  <c r="K88" i="79"/>
  <c r="J88" i="79"/>
  <c r="D88" i="79"/>
  <c r="B88" i="79"/>
  <c r="N87" i="79"/>
  <c r="M87" i="79"/>
  <c r="K87" i="79"/>
  <c r="J87" i="79" s="1"/>
  <c r="D87" i="79"/>
  <c r="N86" i="79"/>
  <c r="M86" i="79"/>
  <c r="K86" i="79"/>
  <c r="J86" i="79" s="1"/>
  <c r="D86" i="79"/>
  <c r="B86" i="79"/>
  <c r="M85" i="79"/>
  <c r="N85" i="79" s="1"/>
  <c r="K85" i="79"/>
  <c r="J85" i="79"/>
  <c r="D85" i="79"/>
  <c r="B85" i="79"/>
  <c r="N84" i="79"/>
  <c r="M84" i="79"/>
  <c r="K84" i="79"/>
  <c r="J84" i="79" s="1"/>
  <c r="D84" i="79"/>
  <c r="B84" i="79"/>
  <c r="M83" i="79"/>
  <c r="N83" i="79" s="1"/>
  <c r="K83" i="79"/>
  <c r="J83" i="79"/>
  <c r="D83" i="79"/>
  <c r="B83" i="79"/>
  <c r="N82" i="79"/>
  <c r="M82" i="79"/>
  <c r="K82" i="79"/>
  <c r="J82" i="79" s="1"/>
  <c r="D82" i="79"/>
  <c r="B82" i="79"/>
  <c r="M81" i="79"/>
  <c r="N81" i="79" s="1"/>
  <c r="K81" i="79"/>
  <c r="J81" i="79"/>
  <c r="F81" i="79"/>
  <c r="H87" i="79" s="1"/>
  <c r="D81" i="79"/>
  <c r="E81" i="79" s="1"/>
  <c r="B79" i="79" s="1"/>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6"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M63" i="79"/>
  <c r="N63" i="79" s="1"/>
  <c r="K63" i="79"/>
  <c r="J63" i="79" s="1"/>
  <c r="D63" i="79"/>
  <c r="B63" i="79"/>
  <c r="M62" i="79"/>
  <c r="N62" i="79" s="1"/>
  <c r="K62" i="79"/>
  <c r="J62" i="79"/>
  <c r="D62" i="79"/>
  <c r="M61" i="79"/>
  <c r="N61" i="79" s="1"/>
  <c r="K61" i="79"/>
  <c r="J61" i="79"/>
  <c r="D61" i="79"/>
  <c r="B61" i="79"/>
  <c r="N60" i="79"/>
  <c r="M60" i="79"/>
  <c r="K60" i="79"/>
  <c r="J60" i="79" s="1"/>
  <c r="D60" i="79"/>
  <c r="B60" i="79"/>
  <c r="M59" i="79"/>
  <c r="N59" i="79" s="1"/>
  <c r="D59" i="79"/>
  <c r="B59" i="79"/>
  <c r="D56" i="79"/>
  <c r="B56" i="79"/>
  <c r="B55" i="79"/>
  <c r="D54" i="79"/>
  <c r="B54" i="79"/>
  <c r="B52" i="79"/>
  <c r="B50" i="79"/>
  <c r="B49" i="79"/>
  <c r="D48" i="79"/>
  <c r="B48" i="79"/>
  <c r="H39" i="79"/>
  <c r="H38" i="79"/>
  <c r="H37" i="79"/>
  <c r="H36" i="79"/>
  <c r="H35" i="79"/>
  <c r="H34" i="79"/>
  <c r="H33" i="79"/>
  <c r="P24" i="79"/>
  <c r="P22" i="79"/>
  <c r="J20" i="79"/>
  <c r="I20" i="79"/>
  <c r="M19" i="79"/>
  <c r="I19" i="79"/>
  <c r="G19" i="79"/>
  <c r="C18" i="79"/>
  <c r="F15" i="79"/>
  <c r="E15" i="79"/>
  <c r="D15" i="79"/>
  <c r="C12" i="79" s="1"/>
  <c r="C15" i="79"/>
  <c r="Y12" i="79"/>
  <c r="N11" i="79"/>
  <c r="Y10" i="79"/>
  <c r="N10" i="79"/>
  <c r="C10" i="79"/>
  <c r="C11" i="79" s="1"/>
  <c r="AJ9" i="79"/>
  <c r="AJ12" i="79" s="1"/>
  <c r="AI9" i="79"/>
  <c r="AI12" i="79" s="1"/>
  <c r="AH9" i="79"/>
  <c r="AH12" i="79" s="1"/>
  <c r="AG9" i="79"/>
  <c r="AG12" i="79" s="1"/>
  <c r="AF9" i="79"/>
  <c r="AF12" i="79" s="1"/>
  <c r="AE9" i="79"/>
  <c r="AE12" i="79" s="1"/>
  <c r="AD9" i="79"/>
  <c r="AD12" i="79" s="1"/>
  <c r="AC9" i="79"/>
  <c r="AC12" i="79" s="1"/>
  <c r="AB9" i="79"/>
  <c r="AB12" i="79" s="1"/>
  <c r="AA9" i="79"/>
  <c r="AA12" i="79" s="1"/>
  <c r="Z9" i="79"/>
  <c r="Z12" i="79" s="1"/>
  <c r="C9" i="79"/>
  <c r="M7" i="79"/>
  <c r="C7" i="79"/>
  <c r="A7" i="79"/>
  <c r="N3" i="79"/>
  <c r="G3" i="79"/>
  <c r="M2" i="79"/>
  <c r="I2" i="79"/>
  <c r="M12" i="79" s="1"/>
  <c r="G2" i="79"/>
  <c r="I17" i="79" s="1"/>
  <c r="N1" i="79"/>
  <c r="M1" i="79"/>
  <c r="G49" i="78"/>
  <c r="G50" i="78"/>
  <c r="G51" i="78"/>
  <c r="G52" i="78"/>
  <c r="G53" i="78"/>
  <c r="G54" i="78"/>
  <c r="G55" i="78"/>
  <c r="G56" i="78"/>
  <c r="G48" i="78"/>
  <c r="M48" i="78" s="1"/>
  <c r="N48" i="78" s="1"/>
  <c r="D29" i="78"/>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B81" i="78"/>
  <c r="D78" i="78"/>
  <c r="D77" i="78"/>
  <c r="B77" i="78"/>
  <c r="B75" i="78"/>
  <c r="D74" i="78"/>
  <c r="B74" i="78"/>
  <c r="B73" i="78"/>
  <c r="B72" i="78"/>
  <c r="B71" i="78"/>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E59" i="78" s="1"/>
  <c r="B57" i="78" s="1"/>
  <c r="B60" i="78"/>
  <c r="N59" i="78"/>
  <c r="M59" i="78"/>
  <c r="K59" i="78"/>
  <c r="J59" i="78" s="1"/>
  <c r="F59" i="78"/>
  <c r="H66" i="78" s="1"/>
  <c r="D59" i="78"/>
  <c r="B59" i="78"/>
  <c r="N56" i="78"/>
  <c r="M56" i="78"/>
  <c r="K56" i="78"/>
  <c r="J56" i="78" s="1"/>
  <c r="D56" i="78"/>
  <c r="B56" i="78"/>
  <c r="M55" i="78"/>
  <c r="N55" i="78" s="1"/>
  <c r="K55" i="78"/>
  <c r="J55" i="78"/>
  <c r="D55" i="78"/>
  <c r="B55" i="78"/>
  <c r="N54" i="78"/>
  <c r="M54" i="78"/>
  <c r="K54" i="78"/>
  <c r="J54" i="78" s="1"/>
  <c r="D54" i="78"/>
  <c r="B54" i="78"/>
  <c r="M53" i="78"/>
  <c r="N53" i="78" s="1"/>
  <c r="K53" i="78"/>
  <c r="J53" i="78" s="1"/>
  <c r="D53" i="78"/>
  <c r="M52" i="78"/>
  <c r="N52" i="78" s="1"/>
  <c r="K52" i="78"/>
  <c r="J52" i="78" s="1"/>
  <c r="D52" i="78"/>
  <c r="B52" i="78"/>
  <c r="N51" i="78"/>
  <c r="M51" i="78"/>
  <c r="K51" i="78"/>
  <c r="J51" i="78" s="1"/>
  <c r="N50" i="78"/>
  <c r="M50" i="78"/>
  <c r="K50" i="78"/>
  <c r="J50" i="78" s="1"/>
  <c r="B50" i="78"/>
  <c r="M49" i="78"/>
  <c r="N49" i="78" s="1"/>
  <c r="K49" i="78"/>
  <c r="J49" i="78" s="1"/>
  <c r="D49" i="78"/>
  <c r="B49" i="78"/>
  <c r="K48" i="78"/>
  <c r="J48" i="78" s="1"/>
  <c r="D48" i="78"/>
  <c r="B48" i="78"/>
  <c r="H39" i="78"/>
  <c r="H38" i="78"/>
  <c r="H37" i="78"/>
  <c r="H36" i="78"/>
  <c r="H35" i="78"/>
  <c r="H34" i="78"/>
  <c r="H33" i="78"/>
  <c r="P25" i="78"/>
  <c r="P21" i="78"/>
  <c r="M20" i="78"/>
  <c r="J20" i="78"/>
  <c r="I20" i="78"/>
  <c r="O19" i="78"/>
  <c r="M19" i="78"/>
  <c r="I19" i="78"/>
  <c r="G19" i="78"/>
  <c r="P24" i="78" s="1"/>
  <c r="C19" i="78"/>
  <c r="C18" i="78"/>
  <c r="F15" i="78"/>
  <c r="E15" i="78"/>
  <c r="D15" i="78"/>
  <c r="C15" i="78"/>
  <c r="Z12" i="78"/>
  <c r="Y12" i="78"/>
  <c r="C12" i="78"/>
  <c r="Y10" i="78"/>
  <c r="C10" i="78"/>
  <c r="C11" i="78" s="1"/>
  <c r="AJ9" i="78"/>
  <c r="AJ12" i="78" s="1"/>
  <c r="AI9" i="78"/>
  <c r="AH9" i="78"/>
  <c r="AH12" i="78" s="1"/>
  <c r="AG9" i="78"/>
  <c r="AF9" i="78"/>
  <c r="AF12" i="78" s="1"/>
  <c r="AE9" i="78"/>
  <c r="AD9" i="78"/>
  <c r="AD12" i="78" s="1"/>
  <c r="AC9" i="78"/>
  <c r="AB9" i="78"/>
  <c r="AB12" i="78" s="1"/>
  <c r="AA9" i="78"/>
  <c r="Z9" i="78"/>
  <c r="Z10" i="78" s="1"/>
  <c r="E9" i="78"/>
  <c r="C9" i="78"/>
  <c r="E8" i="78"/>
  <c r="C7" i="78"/>
  <c r="A7" i="78"/>
  <c r="G3" i="78"/>
  <c r="I2" i="78"/>
  <c r="M1" i="78" s="1"/>
  <c r="G2" i="78"/>
  <c r="S3" i="78" s="1"/>
  <c r="D1" i="78"/>
  <c r="D39" i="43"/>
  <c r="D29" i="43"/>
  <c r="G71" i="43"/>
  <c r="G72" i="43"/>
  <c r="G73" i="43"/>
  <c r="G74" i="43"/>
  <c r="G75" i="43"/>
  <c r="G76" i="43"/>
  <c r="G77" i="43"/>
  <c r="G78" i="43"/>
  <c r="G70" i="43"/>
  <c r="A3" i="3"/>
  <c r="G22" i="6"/>
  <c r="F21" i="6"/>
  <c r="F20" i="6"/>
  <c r="F19" i="6"/>
  <c r="C22" i="6"/>
  <c r="C21" i="6"/>
  <c r="C20" i="6"/>
  <c r="C19" i="6"/>
  <c r="AT13" i="3"/>
  <c r="AN13" i="3"/>
  <c r="AL13" i="3"/>
  <c r="AH13" i="3"/>
  <c r="AD13" i="3"/>
  <c r="O16" i="3"/>
  <c r="M15" i="3"/>
  <c r="K14" i="3"/>
  <c r="I13" i="3"/>
  <c r="G25" i="77"/>
  <c r="L18" i="77"/>
  <c r="H18" i="77"/>
  <c r="E18" i="77"/>
  <c r="C18" i="77"/>
  <c r="I17" i="77"/>
  <c r="G17" i="77"/>
  <c r="M17" i="77" s="1"/>
  <c r="K16" i="77"/>
  <c r="F16" i="77"/>
  <c r="F18" i="77" s="1"/>
  <c r="I15" i="77"/>
  <c r="M15" i="77" s="1"/>
  <c r="M14" i="77"/>
  <c r="J13" i="77"/>
  <c r="G13" i="77"/>
  <c r="M13" i="77" s="1"/>
  <c r="J12" i="77"/>
  <c r="M12" i="77" s="1"/>
  <c r="J11" i="77"/>
  <c r="G11" i="77"/>
  <c r="M11" i="77" s="1"/>
  <c r="J10" i="77"/>
  <c r="G10" i="77"/>
  <c r="G18" i="77" s="1"/>
  <c r="D10" i="77"/>
  <c r="M9" i="77"/>
  <c r="J9" i="77"/>
  <c r="M8" i="77"/>
  <c r="J8" i="77"/>
  <c r="M7" i="77"/>
  <c r="J7" i="77"/>
  <c r="M6" i="77"/>
  <c r="J6" i="77"/>
  <c r="M5" i="77"/>
  <c r="J5" i="77"/>
  <c r="J18" i="77" s="1"/>
  <c r="M4" i="77"/>
  <c r="M3" i="77"/>
  <c r="G2" i="77"/>
  <c r="D2" i="77"/>
  <c r="D18" i="77" s="1"/>
  <c r="C76" i="82"/>
  <c r="Q71" i="82" l="1"/>
  <c r="D24" i="82"/>
  <c r="P61" i="82"/>
  <c r="D22" i="82"/>
  <c r="D23" i="81"/>
  <c r="D22" i="81"/>
  <c r="D24" i="81"/>
  <c r="P61" i="81"/>
  <c r="P61" i="80"/>
  <c r="E59" i="79"/>
  <c r="B57" i="79" s="1"/>
  <c r="N5" i="79"/>
  <c r="M4" i="79"/>
  <c r="N6" i="79"/>
  <c r="M8" i="79"/>
  <c r="M9" i="79"/>
  <c r="N12" i="79"/>
  <c r="E10" i="79"/>
  <c r="E9" i="79"/>
  <c r="E8" i="79"/>
  <c r="E11" i="79"/>
  <c r="B113" i="79"/>
  <c r="M101" i="79"/>
  <c r="K101" i="79"/>
  <c r="I101" i="79"/>
  <c r="G101" i="79"/>
  <c r="E101" i="79"/>
  <c r="C101" i="79"/>
  <c r="L101" i="79"/>
  <c r="H101" i="79"/>
  <c r="D101" i="79"/>
  <c r="N101" i="79"/>
  <c r="J101" i="79"/>
  <c r="F101" i="79"/>
  <c r="C23" i="79"/>
  <c r="J22" i="79"/>
  <c r="G22" i="79"/>
  <c r="E22" i="79"/>
  <c r="AJ11" i="79"/>
  <c r="AJ13" i="79" s="1"/>
  <c r="AH11" i="79"/>
  <c r="AH13" i="79" s="1"/>
  <c r="S4" i="79"/>
  <c r="Z10" i="79"/>
  <c r="AB10" i="79"/>
  <c r="AD10" i="79"/>
  <c r="AF10" i="79"/>
  <c r="AH10" i="79"/>
  <c r="AJ10" i="79"/>
  <c r="F22" i="79"/>
  <c r="N2" i="79"/>
  <c r="M3" i="79"/>
  <c r="S3" i="79"/>
  <c r="N4" i="79"/>
  <c r="M5" i="79"/>
  <c r="S5" i="79"/>
  <c r="M6" i="79"/>
  <c r="S6" i="79"/>
  <c r="N7" i="79"/>
  <c r="X7" i="79"/>
  <c r="N8" i="79"/>
  <c r="F59" i="79" s="1"/>
  <c r="N9" i="79"/>
  <c r="AC13" i="79"/>
  <c r="AG13" i="79"/>
  <c r="M10" i="79"/>
  <c r="AA10" i="79"/>
  <c r="AC10" i="79"/>
  <c r="AE10" i="79"/>
  <c r="AG10" i="79"/>
  <c r="AI10" i="79"/>
  <c r="M11" i="79"/>
  <c r="Y11" i="79"/>
  <c r="AA11" i="79"/>
  <c r="AA13" i="79" s="1"/>
  <c r="AC11" i="79"/>
  <c r="AE11" i="79"/>
  <c r="AE13" i="79" s="1"/>
  <c r="AG11" i="79"/>
  <c r="C17" i="79"/>
  <c r="P25" i="79"/>
  <c r="P21" i="79"/>
  <c r="M20" i="79"/>
  <c r="O19" i="79"/>
  <c r="C19" i="79"/>
  <c r="H22" i="79"/>
  <c r="P23" i="79"/>
  <c r="F109" i="79"/>
  <c r="J109" i="79"/>
  <c r="N109" i="79"/>
  <c r="D109" i="79"/>
  <c r="L109" i="79"/>
  <c r="H113" i="79"/>
  <c r="F48" i="79"/>
  <c r="F39" i="79"/>
  <c r="F38" i="79"/>
  <c r="F37" i="79"/>
  <c r="F36" i="79"/>
  <c r="F35" i="79"/>
  <c r="F34" i="79"/>
  <c r="F33" i="79"/>
  <c r="J17" i="79"/>
  <c r="H17" i="79"/>
  <c r="E17" i="79"/>
  <c r="S2" i="79"/>
  <c r="C6" i="79"/>
  <c r="S7" i="79"/>
  <c r="Z7" i="79"/>
  <c r="Z11" i="79"/>
  <c r="Z13" i="79" s="1"/>
  <c r="AB11" i="79"/>
  <c r="AB13" i="79" s="1"/>
  <c r="AD11" i="79"/>
  <c r="AD13" i="79" s="1"/>
  <c r="AF11" i="79"/>
  <c r="AF13" i="79" s="1"/>
  <c r="AI11" i="79"/>
  <c r="AI13" i="79" s="1"/>
  <c r="Y13" i="79"/>
  <c r="G17" i="79"/>
  <c r="H109" i="79"/>
  <c r="H70" i="79"/>
  <c r="H72" i="79"/>
  <c r="H74" i="79"/>
  <c r="H77" i="79"/>
  <c r="H78" i="79"/>
  <c r="H81" i="79"/>
  <c r="H83" i="79"/>
  <c r="H85" i="79"/>
  <c r="H88" i="79"/>
  <c r="F100" i="79"/>
  <c r="J100" i="79"/>
  <c r="N100"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D50" i="78"/>
  <c r="E48" i="78" s="1"/>
  <c r="B46" i="78" s="1"/>
  <c r="D51" i="78"/>
  <c r="S5" i="78"/>
  <c r="H61" i="78"/>
  <c r="H65" i="78"/>
  <c r="H59" i="78"/>
  <c r="H62" i="78"/>
  <c r="H67" i="78"/>
  <c r="M12" i="78"/>
  <c r="N11" i="78"/>
  <c r="N10" i="78"/>
  <c r="M9" i="78"/>
  <c r="M8" i="78"/>
  <c r="M7" i="78"/>
  <c r="N6" i="78"/>
  <c r="N5" i="78"/>
  <c r="M4" i="78"/>
  <c r="N12" i="78"/>
  <c r="M11" i="78"/>
  <c r="M10" i="78"/>
  <c r="M3" i="78"/>
  <c r="M6" i="78"/>
  <c r="AA12" i="78"/>
  <c r="AA10" i="78"/>
  <c r="AC12" i="78"/>
  <c r="AC10" i="78"/>
  <c r="AE12" i="78"/>
  <c r="AE10" i="78"/>
  <c r="AG12" i="78"/>
  <c r="AG10" i="78"/>
  <c r="E11" i="78"/>
  <c r="E10" i="78"/>
  <c r="N1" i="78"/>
  <c r="H113" i="78"/>
  <c r="F39" i="78"/>
  <c r="I17" i="78"/>
  <c r="G17" i="78"/>
  <c r="C17" i="78"/>
  <c r="F37" i="78"/>
  <c r="F35" i="78"/>
  <c r="F33" i="78"/>
  <c r="J17" i="78"/>
  <c r="E17" i="78"/>
  <c r="C6" i="78"/>
  <c r="F38" i="78"/>
  <c r="F36" i="78"/>
  <c r="F34" i="78"/>
  <c r="H17" i="78"/>
  <c r="M2" i="78"/>
  <c r="S2" i="78"/>
  <c r="B113" i="78"/>
  <c r="M101" i="78"/>
  <c r="K101" i="78"/>
  <c r="I101" i="78"/>
  <c r="G101" i="78"/>
  <c r="E101" i="78"/>
  <c r="C101" i="78"/>
  <c r="L101" i="78"/>
  <c r="H101" i="78"/>
  <c r="D101" i="78"/>
  <c r="N101" i="78"/>
  <c r="J101" i="78"/>
  <c r="F101" i="78"/>
  <c r="H22" i="78"/>
  <c r="F22" i="78"/>
  <c r="J22" i="78"/>
  <c r="E22" i="78"/>
  <c r="AJ11" i="78"/>
  <c r="AH11" i="78"/>
  <c r="AF11" i="78"/>
  <c r="AD11" i="78"/>
  <c r="AB11" i="78"/>
  <c r="Z11" i="78"/>
  <c r="Z7" i="78"/>
  <c r="S7" i="78"/>
  <c r="S4" i="78"/>
  <c r="C23" i="78"/>
  <c r="G22" i="78"/>
  <c r="AI11" i="78"/>
  <c r="AG11" i="78"/>
  <c r="AE11" i="78"/>
  <c r="AC11" i="78"/>
  <c r="AA11" i="78"/>
  <c r="Y11" i="78"/>
  <c r="N3" i="78"/>
  <c r="N4" i="78"/>
  <c r="M5" i="78"/>
  <c r="S6" i="78"/>
  <c r="N7" i="78"/>
  <c r="X7" i="78"/>
  <c r="N8" i="78"/>
  <c r="F70" i="78" s="1"/>
  <c r="N9" i="78"/>
  <c r="Y13" i="78"/>
  <c r="N2" i="78"/>
  <c r="AI12" i="78"/>
  <c r="AI13" i="78" s="1"/>
  <c r="AI10" i="78"/>
  <c r="Z13" i="78"/>
  <c r="E81" i="78"/>
  <c r="B79" i="78" s="1"/>
  <c r="H84" i="78"/>
  <c r="F109" i="78"/>
  <c r="J109" i="78"/>
  <c r="N109" i="78"/>
  <c r="D109" i="78"/>
  <c r="L109" i="78"/>
  <c r="AB13" i="78"/>
  <c r="AD13" i="78"/>
  <c r="AF13" i="78"/>
  <c r="AH13" i="78"/>
  <c r="AJ13" i="78"/>
  <c r="AB10" i="78"/>
  <c r="AD10" i="78"/>
  <c r="AF10" i="78"/>
  <c r="AH10" i="78"/>
  <c r="AJ10" i="78"/>
  <c r="H88" i="78"/>
  <c r="H85" i="78"/>
  <c r="H83" i="78"/>
  <c r="H81" i="78"/>
  <c r="H82" i="78"/>
  <c r="H86" i="78"/>
  <c r="H109" i="78"/>
  <c r="P22" i="78"/>
  <c r="P23" i="78"/>
  <c r="H60" i="78"/>
  <c r="H63" i="78"/>
  <c r="H64" i="78"/>
  <c r="F100" i="78"/>
  <c r="J100" i="78"/>
  <c r="N100" i="78"/>
  <c r="C108" i="78"/>
  <c r="C109" i="78" s="1"/>
  <c r="C100" i="78"/>
  <c r="E108" i="78"/>
  <c r="E109" i="78" s="1"/>
  <c r="E100" i="78"/>
  <c r="G108" i="78"/>
  <c r="G109" i="78" s="1"/>
  <c r="G100" i="78"/>
  <c r="I108" i="78"/>
  <c r="I109" i="78" s="1"/>
  <c r="I100" i="78"/>
  <c r="K108" i="78"/>
  <c r="K109" i="78" s="1"/>
  <c r="K100" i="78"/>
  <c r="M108" i="78"/>
  <c r="M109" i="78" s="1"/>
  <c r="M100" i="78"/>
  <c r="M2" i="77"/>
  <c r="M10" i="77"/>
  <c r="M16" i="77"/>
  <c r="I18" i="77"/>
  <c r="M18" i="77" s="1"/>
  <c r="M6" i="82"/>
  <c r="M9" i="82"/>
  <c r="C14" i="82"/>
  <c r="F16" i="82"/>
  <c r="M23" i="82"/>
  <c r="F26" i="82"/>
  <c r="M27" i="82"/>
  <c r="F37" i="82"/>
  <c r="F8" i="82"/>
  <c r="M22" i="82"/>
  <c r="M24" i="82"/>
  <c r="F40" i="82"/>
  <c r="F43" i="82"/>
  <c r="L48" i="82"/>
  <c r="F6" i="82"/>
  <c r="M8" i="82"/>
  <c r="F13" i="82"/>
  <c r="J15" i="82"/>
  <c r="M26" i="82"/>
  <c r="M29" i="82"/>
  <c r="F36" i="82"/>
  <c r="F38" i="82"/>
  <c r="F7" i="82"/>
  <c r="F9" i="82"/>
  <c r="M28" i="82"/>
  <c r="F42" i="82"/>
  <c r="L47" i="82"/>
  <c r="L48" i="81"/>
  <c r="F43" i="81"/>
  <c r="F40" i="81"/>
  <c r="M24" i="81"/>
  <c r="F8" i="81"/>
  <c r="M6" i="81"/>
  <c r="F13" i="81"/>
  <c r="M26" i="81"/>
  <c r="F36" i="81"/>
  <c r="M9" i="81"/>
  <c r="F16" i="81"/>
  <c r="F26" i="81"/>
  <c r="C76" i="81"/>
  <c r="L47" i="81"/>
  <c r="F42" i="81"/>
  <c r="M28" i="81"/>
  <c r="M22" i="81"/>
  <c r="F9" i="81"/>
  <c r="F7" i="81"/>
  <c r="M8" i="81"/>
  <c r="J15" i="81"/>
  <c r="M29" i="81"/>
  <c r="F38" i="81"/>
  <c r="F6" i="81"/>
  <c r="C14" i="81"/>
  <c r="M23" i="81"/>
  <c r="M27" i="81"/>
  <c r="F37" i="81"/>
  <c r="I54" i="82" l="1"/>
  <c r="J53" i="82"/>
  <c r="Q52" i="82" s="1"/>
  <c r="N59" i="82"/>
  <c r="L58" i="82"/>
  <c r="M59" i="82"/>
  <c r="L59" i="82" s="1"/>
  <c r="F50" i="82"/>
  <c r="M7" i="82"/>
  <c r="F66" i="82"/>
  <c r="F64" i="82"/>
  <c r="C6" i="82"/>
  <c r="L56" i="82"/>
  <c r="J57" i="82"/>
  <c r="J55" i="82" s="1"/>
  <c r="J58" i="82" s="1"/>
  <c r="Q50" i="82" s="1"/>
  <c r="L60" i="82"/>
  <c r="F71" i="82"/>
  <c r="F68" i="82"/>
  <c r="F51" i="82"/>
  <c r="C49" i="82" s="1"/>
  <c r="F65" i="82"/>
  <c r="C27" i="82"/>
  <c r="C18" i="82"/>
  <c r="C15" i="82"/>
  <c r="J6" i="82"/>
  <c r="F1" i="82"/>
  <c r="F65" i="81"/>
  <c r="C18" i="81"/>
  <c r="C15" i="81"/>
  <c r="C6" i="81"/>
  <c r="F66" i="81"/>
  <c r="F50" i="81"/>
  <c r="M7" i="81"/>
  <c r="J6" i="81" s="1"/>
  <c r="N59" i="81"/>
  <c r="L58" i="81"/>
  <c r="M59" i="81"/>
  <c r="L59" i="81" s="1"/>
  <c r="Q71" i="81"/>
  <c r="C27" i="81"/>
  <c r="F64" i="81"/>
  <c r="F51" i="81"/>
  <c r="C49" i="81" s="1"/>
  <c r="F68" i="81"/>
  <c r="F71" i="81"/>
  <c r="L57" i="81"/>
  <c r="L56" i="81"/>
  <c r="J57" i="81"/>
  <c r="J55" i="81" s="1"/>
  <c r="J58" i="81" s="1"/>
  <c r="Q50" i="81" s="1"/>
  <c r="J53" i="81"/>
  <c r="J60" i="81"/>
  <c r="Q48" i="81" s="1"/>
  <c r="L60" i="81"/>
  <c r="J59" i="81"/>
  <c r="I54" i="81"/>
  <c r="H64" i="79"/>
  <c r="H67" i="79"/>
  <c r="H62" i="79"/>
  <c r="H59" i="79"/>
  <c r="H66" i="79"/>
  <c r="H63" i="79"/>
  <c r="H65" i="79"/>
  <c r="H61" i="79"/>
  <c r="H60" i="79"/>
  <c r="C16" i="79"/>
  <c r="C5" i="79" s="1"/>
  <c r="J107" i="79"/>
  <c r="J106" i="79"/>
  <c r="J105" i="79"/>
  <c r="J104" i="79"/>
  <c r="J103" i="79"/>
  <c r="J10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D5" i="79"/>
  <c r="H56" i="79"/>
  <c r="H55" i="79"/>
  <c r="H54" i="79"/>
  <c r="H53" i="79"/>
  <c r="H50" i="79"/>
  <c r="H49" i="79"/>
  <c r="H48" i="79"/>
  <c r="H52" i="79"/>
  <c r="H51" i="79"/>
  <c r="D22" i="79"/>
  <c r="C21" i="79" s="1"/>
  <c r="F107" i="79"/>
  <c r="F106" i="79"/>
  <c r="F105" i="79"/>
  <c r="F104" i="79"/>
  <c r="F103" i="79"/>
  <c r="F102" i="79"/>
  <c r="N107" i="79"/>
  <c r="N106" i="79"/>
  <c r="N105" i="79"/>
  <c r="N104" i="79"/>
  <c r="N103" i="79"/>
  <c r="N102"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I118" i="79"/>
  <c r="J118" i="79" s="1"/>
  <c r="K118" i="79" s="1"/>
  <c r="L118" i="79" s="1"/>
  <c r="M118" i="79" s="1"/>
  <c r="I117" i="79"/>
  <c r="J117" i="79" s="1"/>
  <c r="K117" i="79" s="1"/>
  <c r="L117" i="79" s="1"/>
  <c r="M117" i="79" s="1"/>
  <c r="I116" i="79"/>
  <c r="J116" i="79" s="1"/>
  <c r="K116" i="79" s="1"/>
  <c r="L116" i="79" s="1"/>
  <c r="M116" i="79" s="1"/>
  <c r="I115" i="79"/>
  <c r="J115" i="79" s="1"/>
  <c r="K115" i="79" s="1"/>
  <c r="L115" i="79" s="1"/>
  <c r="M115" i="79" s="1"/>
  <c r="G118" i="79"/>
  <c r="H118" i="79" s="1"/>
  <c r="D22" i="78"/>
  <c r="C21" i="78" s="1"/>
  <c r="F48" i="78"/>
  <c r="H78" i="78"/>
  <c r="H75" i="78"/>
  <c r="H74" i="78"/>
  <c r="H73" i="78"/>
  <c r="H72" i="78"/>
  <c r="H71" i="78"/>
  <c r="H70" i="78"/>
  <c r="H77" i="78"/>
  <c r="H76"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G118" i="78"/>
  <c r="H118" i="78" s="1"/>
  <c r="D1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C16" i="78"/>
  <c r="C5" i="78" s="1"/>
  <c r="AG13" i="78"/>
  <c r="AE13" i="78"/>
  <c r="AC13" i="78"/>
  <c r="AA13" i="78"/>
  <c r="C38" i="39"/>
  <c r="C5" i="39"/>
  <c r="C17" i="82"/>
  <c r="C16" i="82"/>
  <c r="C16" i="81"/>
  <c r="C17" i="81"/>
  <c r="L46" i="81" l="1"/>
  <c r="C19" i="82"/>
  <c r="Q66" i="82"/>
  <c r="Q57" i="82"/>
  <c r="Q60" i="82"/>
  <c r="Q73" i="82"/>
  <c r="Q61" i="82"/>
  <c r="Q74" i="82"/>
  <c r="C19" i="81"/>
  <c r="Q66" i="81"/>
  <c r="Q57" i="81"/>
  <c r="F1" i="81"/>
  <c r="Q52" i="81"/>
  <c r="Q61" i="81"/>
  <c r="Q74" i="81"/>
  <c r="Q60" i="81"/>
  <c r="Q73" i="81"/>
  <c r="M52" i="79"/>
  <c r="N52" i="79" s="1"/>
  <c r="K52" i="79"/>
  <c r="K49" i="79"/>
  <c r="M49" i="79"/>
  <c r="N49" i="79" s="1"/>
  <c r="K53" i="79"/>
  <c r="M53" i="79"/>
  <c r="N53" i="79" s="1"/>
  <c r="M51" i="79"/>
  <c r="N51" i="79" s="1"/>
  <c r="K51" i="79"/>
  <c r="K48" i="79"/>
  <c r="J48" i="79" s="1"/>
  <c r="M48" i="79"/>
  <c r="N48" i="79" s="1"/>
  <c r="K50" i="79"/>
  <c r="M50" i="79"/>
  <c r="N50" i="79" s="1"/>
  <c r="K54" i="79"/>
  <c r="J54" i="79" s="1"/>
  <c r="M54" i="79"/>
  <c r="N54" i="79" s="1"/>
  <c r="K56" i="79"/>
  <c r="J56" i="79" s="1"/>
  <c r="M56" i="79"/>
  <c r="N56" i="79" s="1"/>
  <c r="K55" i="79"/>
  <c r="J55" i="79" s="1"/>
  <c r="D55" i="79" s="1"/>
  <c r="M55" i="79"/>
  <c r="N55" i="79" s="1"/>
  <c r="D113" i="79"/>
  <c r="H55" i="78"/>
  <c r="H54" i="78"/>
  <c r="H50" i="78"/>
  <c r="H56" i="78"/>
  <c r="H51" i="78"/>
  <c r="H48" i="78"/>
  <c r="H49" i="78"/>
  <c r="H53" i="78"/>
  <c r="H52" i="78"/>
  <c r="D5" i="78"/>
  <c r="K70" i="78"/>
  <c r="M70" i="78"/>
  <c r="N70" i="78" s="1"/>
  <c r="K72" i="78"/>
  <c r="M72" i="78"/>
  <c r="N72" i="78" s="1"/>
  <c r="K74" i="78"/>
  <c r="J74" i="78" s="1"/>
  <c r="M74" i="78"/>
  <c r="N74" i="78" s="1"/>
  <c r="K78" i="78"/>
  <c r="J78" i="78" s="1"/>
  <c r="M78" i="78"/>
  <c r="N78" i="78" s="1"/>
  <c r="M77" i="78"/>
  <c r="N77" i="78" s="1"/>
  <c r="K77" i="78"/>
  <c r="J77" i="78" s="1"/>
  <c r="K71" i="78"/>
  <c r="M71" i="78"/>
  <c r="N71" i="78" s="1"/>
  <c r="K73" i="78"/>
  <c r="M73" i="78"/>
  <c r="N73" i="78" s="1"/>
  <c r="K75" i="78"/>
  <c r="J75" i="78" s="1"/>
  <c r="D75" i="78" s="1"/>
  <c r="M75" i="78"/>
  <c r="N75" i="78" s="1"/>
  <c r="M76" i="78"/>
  <c r="N76" i="78" s="1"/>
  <c r="K76" i="78"/>
  <c r="L3" i="71"/>
  <c r="K3" i="71"/>
  <c r="I3" i="71"/>
  <c r="C20" i="82" l="1"/>
  <c r="C26" i="82" s="1"/>
  <c r="C20" i="81"/>
  <c r="C26" i="81" s="1"/>
  <c r="D50" i="79"/>
  <c r="J50" i="79"/>
  <c r="D53" i="79"/>
  <c r="J53" i="79"/>
  <c r="D49" i="79"/>
  <c r="E48" i="79" s="1"/>
  <c r="B46" i="79" s="1"/>
  <c r="C24" i="79" s="1"/>
  <c r="J49" i="79"/>
  <c r="J51" i="79"/>
  <c r="D51" i="79"/>
  <c r="J52" i="79"/>
  <c r="D52" i="79"/>
  <c r="J76" i="78"/>
  <c r="D76" i="78"/>
  <c r="D73" i="78"/>
  <c r="J73" i="78"/>
  <c r="D71" i="78"/>
  <c r="J71" i="78"/>
  <c r="D72" i="78"/>
  <c r="J72" i="78"/>
  <c r="D70" i="78"/>
  <c r="J70" i="78"/>
  <c r="J3" i="71"/>
  <c r="E70" i="78" l="1"/>
  <c r="B68" i="78" s="1"/>
  <c r="C24" i="78" s="1"/>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B7" i="76"/>
  <c r="E7" i="76"/>
  <c r="E9" i="76"/>
  <c r="E11" i="76"/>
  <c r="E8" i="76"/>
  <c r="E12" i="76"/>
  <c r="B11" i="76"/>
  <c r="B10" i="76"/>
  <c r="E13" i="76"/>
  <c r="B13" i="76"/>
  <c r="B8" i="76"/>
  <c r="B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5" i="73"/>
  <c r="F3" i="73"/>
  <c r="F4" i="73"/>
  <c r="F6" i="73"/>
  <c r="I1" i="73" l="1"/>
  <c r="B39" i="1" s="1"/>
  <c r="D7" i="73"/>
  <c r="D4" i="73"/>
  <c r="D5" i="73"/>
  <c r="D3" i="73"/>
  <c r="F11" i="82" l="1"/>
  <c r="M11" i="82"/>
  <c r="J10" i="82" s="1"/>
  <c r="J5" i="82" s="1"/>
  <c r="F11" i="81"/>
  <c r="M11" i="81"/>
  <c r="J10" i="81" s="1"/>
  <c r="J5" i="81" s="1"/>
  <c r="F11" i="80"/>
  <c r="M11" i="80"/>
  <c r="E20" i="79"/>
  <c r="E20"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2" l="1"/>
  <c r="J24" i="82"/>
  <c r="J18" i="82"/>
  <c r="C53" i="82"/>
  <c r="C48" i="82" s="1"/>
  <c r="C10" i="82"/>
  <c r="C5" i="82" s="1"/>
  <c r="J26" i="81"/>
  <c r="J24" i="81"/>
  <c r="J18" i="81"/>
  <c r="C53" i="81"/>
  <c r="C48" i="81" s="1"/>
  <c r="C10" i="81"/>
  <c r="C5" i="81" s="1"/>
  <c r="C53" i="80"/>
  <c r="P17" i="79"/>
  <c r="N17" i="79"/>
  <c r="M17" i="79"/>
  <c r="O17" i="79"/>
  <c r="O17" i="78"/>
  <c r="M17" i="78"/>
  <c r="P17" i="78"/>
  <c r="N17" i="78"/>
  <c r="AA10" i="43"/>
  <c r="AC10" i="43"/>
  <c r="AE10" i="43"/>
  <c r="AG10" i="43"/>
  <c r="AI10" i="43"/>
  <c r="Z10" i="43"/>
  <c r="AB10" i="43"/>
  <c r="AD10" i="43"/>
  <c r="AF10" i="43"/>
  <c r="AH10" i="43"/>
  <c r="AJ10" i="43"/>
  <c r="C38" i="82" l="1"/>
  <c r="C66" i="82"/>
  <c r="C60" i="82"/>
  <c r="C38" i="81"/>
  <c r="C33" i="81"/>
  <c r="C32" i="81"/>
  <c r="C66" i="81"/>
  <c r="C60" i="81"/>
  <c r="G20" i="78"/>
  <c r="C20" i="78" s="1"/>
  <c r="C36" i="78" s="1"/>
  <c r="G20" i="79"/>
  <c r="C20" i="79" s="1"/>
  <c r="C39" i="79" s="1"/>
  <c r="K49" i="9"/>
  <c r="E107" i="9"/>
  <c r="A122" i="9" s="1"/>
  <c r="A8" i="52" s="1"/>
  <c r="E111" i="9"/>
  <c r="A126" i="9" s="1"/>
  <c r="E109" i="9"/>
  <c r="A124" i="9" s="1"/>
  <c r="C29" i="79" l="1"/>
  <c r="E29" i="79" s="1"/>
  <c r="T7" i="78"/>
  <c r="V7" i="78" s="1"/>
  <c r="T7" i="79"/>
  <c r="V7" i="79" s="1"/>
  <c r="T13" i="78"/>
  <c r="V13" i="78" s="1"/>
  <c r="T4" i="79"/>
  <c r="V4" i="79" s="1"/>
  <c r="C33" i="79"/>
  <c r="E33" i="79" s="1"/>
  <c r="T12" i="79"/>
  <c r="V12" i="79" s="1"/>
  <c r="T12" i="78"/>
  <c r="V12" i="78" s="1"/>
  <c r="T6" i="78"/>
  <c r="V6" i="78" s="1"/>
  <c r="T2" i="78"/>
  <c r="V2" i="78" s="1"/>
  <c r="T5" i="78"/>
  <c r="V5" i="78" s="1"/>
  <c r="C29" i="78"/>
  <c r="C30" i="78" s="1"/>
  <c r="E30" i="78" s="1"/>
  <c r="T15" i="78"/>
  <c r="V15" i="78" s="1"/>
  <c r="C34" i="78"/>
  <c r="E34" i="78" s="1"/>
  <c r="C36" i="79"/>
  <c r="E36" i="79" s="1"/>
  <c r="T3" i="79"/>
  <c r="V3" i="79" s="1"/>
  <c r="T15" i="79"/>
  <c r="V15" i="79" s="1"/>
  <c r="T6" i="79"/>
  <c r="V6" i="79" s="1"/>
  <c r="T5" i="79"/>
  <c r="V5" i="79" s="1"/>
  <c r="C37" i="79"/>
  <c r="E37" i="79" s="1"/>
  <c r="T4" i="78"/>
  <c r="V4" i="78" s="1"/>
  <c r="T10" i="78"/>
  <c r="V10" i="78" s="1"/>
  <c r="C37" i="78"/>
  <c r="E37" i="78" s="1"/>
  <c r="T8" i="78"/>
  <c r="V8" i="78" s="1"/>
  <c r="C38" i="78"/>
  <c r="E38" i="78" s="1"/>
  <c r="T3" i="78"/>
  <c r="V3" i="78" s="1"/>
  <c r="T11" i="78"/>
  <c r="V11" i="78" s="1"/>
  <c r="C39" i="78"/>
  <c r="E39" i="78" s="1"/>
  <c r="T14" i="78"/>
  <c r="V14" i="78" s="1"/>
  <c r="C33" i="78"/>
  <c r="G33" i="78" s="1"/>
  <c r="I33" i="78" s="1"/>
  <c r="T9" i="78"/>
  <c r="V9" i="78" s="1"/>
  <c r="T16" i="78"/>
  <c r="V16" i="78" s="1"/>
  <c r="C35" i="78"/>
  <c r="G35" i="78" s="1"/>
  <c r="I35" i="78" s="1"/>
  <c r="C34" i="79"/>
  <c r="E34" i="79" s="1"/>
  <c r="T8" i="79"/>
  <c r="V8" i="79" s="1"/>
  <c r="T10" i="79"/>
  <c r="V10" i="79" s="1"/>
  <c r="T9" i="79"/>
  <c r="V9" i="79" s="1"/>
  <c r="T13" i="79"/>
  <c r="V13" i="79" s="1"/>
  <c r="C38" i="79"/>
  <c r="G38" i="79" s="1"/>
  <c r="I38" i="79" s="1"/>
  <c r="C35" i="79"/>
  <c r="E35" i="79" s="1"/>
  <c r="T2" i="79"/>
  <c r="V2" i="79" s="1"/>
  <c r="T11" i="79"/>
  <c r="V11" i="79" s="1"/>
  <c r="T16" i="79"/>
  <c r="V16" i="79" s="1"/>
  <c r="T14" i="79"/>
  <c r="V14" i="79" s="1"/>
  <c r="C30" i="79"/>
  <c r="E30" i="79" s="1"/>
  <c r="E39" i="79"/>
  <c r="G39" i="79"/>
  <c r="I39" i="79" s="1"/>
  <c r="E33" i="78"/>
  <c r="G36" i="78"/>
  <c r="I36" i="78" s="1"/>
  <c r="E36" i="78"/>
  <c r="B44" i="72"/>
  <c r="B42" i="72"/>
  <c r="B69" i="72"/>
  <c r="B68" i="72"/>
  <c r="B63" i="72"/>
  <c r="B62" i="72"/>
  <c r="B16" i="72"/>
  <c r="G39" i="78" l="1"/>
  <c r="I39" i="78" s="1"/>
  <c r="G37" i="78"/>
  <c r="I37" i="78" s="1"/>
  <c r="E29" i="78"/>
  <c r="G34" i="78"/>
  <c r="I34" i="78" s="1"/>
  <c r="G33" i="79"/>
  <c r="I33" i="79" s="1"/>
  <c r="G37" i="79"/>
  <c r="I37" i="79" s="1"/>
  <c r="G35" i="79"/>
  <c r="I35" i="79" s="1"/>
  <c r="G34" i="79"/>
  <c r="I34" i="79" s="1"/>
  <c r="E35" i="78"/>
  <c r="C26" i="78" s="1"/>
  <c r="B2" i="78" s="1"/>
  <c r="B3" i="78" s="1"/>
  <c r="G38" i="78"/>
  <c r="I38" i="78" s="1"/>
  <c r="E38" i="79"/>
  <c r="C26" i="79" s="1"/>
  <c r="B2" i="79" s="1"/>
  <c r="B3" i="79" s="1"/>
  <c r="G36" i="79"/>
  <c r="I36" i="79" s="1"/>
  <c r="B65" i="72"/>
  <c r="B60" i="72"/>
  <c r="B59" i="72"/>
  <c r="B58" i="72"/>
  <c r="B67" i="72"/>
  <c r="B66" i="72"/>
  <c r="C27" i="78" l="1"/>
  <c r="C27" i="79"/>
  <c r="B12" i="72"/>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5" i="71" l="1"/>
  <c r="Y16" i="71"/>
  <c r="Z16" i="71" s="1"/>
  <c r="AB16" i="71"/>
  <c r="Y17" i="71"/>
  <c r="Z17" i="71" s="1"/>
  <c r="AB17" i="71"/>
  <c r="B36" i="71"/>
  <c r="B37" i="71" s="1"/>
  <c r="S37"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G1" i="80" s="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C10" i="39"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H5"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A494" i="3" s="1"/>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U26" i="37"/>
  <c r="W37" i="34"/>
  <c r="AC36" i="34"/>
  <c r="AA13" i="33"/>
  <c r="AC31" i="33"/>
  <c r="AC45" i="33"/>
  <c r="W44" i="33"/>
  <c r="U11" i="33"/>
  <c r="U19" i="21"/>
  <c r="W44" i="21"/>
  <c r="U26" i="21"/>
  <c r="AC46" i="21"/>
  <c r="U12"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S42"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44" i="3"/>
  <c r="AZ176" i="3"/>
  <c r="AZ192" i="3"/>
  <c r="AZ200" i="3"/>
  <c r="AZ85" i="3"/>
  <c r="AZ89" i="3"/>
  <c r="AZ97" i="3"/>
  <c r="AZ105" i="3"/>
  <c r="AZ128" i="3"/>
  <c r="G530" i="3"/>
  <c r="G516" i="3"/>
  <c r="G506" i="3"/>
  <c r="G494"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4" i="3"/>
  <c r="AZ182" i="3"/>
  <c r="AZ190" i="3"/>
  <c r="AZ198"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37"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G548" i="3"/>
  <c r="G520" i="3"/>
  <c r="BS5" i="3"/>
  <c r="BN5" i="3"/>
  <c r="BK5" i="3"/>
  <c r="BG5" i="3"/>
  <c r="BC5" i="3"/>
  <c r="G17" i="3"/>
  <c r="BA17" i="3"/>
  <c r="AZ356" i="3"/>
  <c r="AZ364" i="3"/>
  <c r="BA15" i="3"/>
  <c r="BR5" i="3"/>
  <c r="AZ384" i="3"/>
  <c r="AZ396" i="3"/>
  <c r="AZ394" i="3"/>
  <c r="G509" i="3"/>
  <c r="AZ390" i="3"/>
  <c r="N4" i="43"/>
  <c r="F36" i="43"/>
  <c r="F81" i="43"/>
  <c r="H83" i="43" s="1"/>
  <c r="H113" i="43"/>
  <c r="F48" i="43"/>
  <c r="H52" i="43" s="1"/>
  <c r="N7" i="43"/>
  <c r="M6" i="43"/>
  <c r="M11" i="43"/>
  <c r="E17" i="43"/>
  <c r="F39" i="43"/>
  <c r="I17" i="43"/>
  <c r="F35" i="43"/>
  <c r="J17" i="43"/>
  <c r="F6" i="1"/>
  <c r="U17" i="39"/>
  <c r="S14" i="35"/>
  <c r="U43" i="21"/>
  <c r="U35" i="21"/>
  <c r="U10" i="21"/>
  <c r="G8" i="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5" i="3"/>
  <c r="AZ248" i="3"/>
  <c r="AZ251" i="3"/>
  <c r="AZ268" i="3"/>
  <c r="AZ271" i="3"/>
  <c r="AZ288" i="3"/>
  <c r="AZ117" i="3"/>
  <c r="AZ133" i="3"/>
  <c r="AZ29" i="3"/>
  <c r="AZ31" i="3"/>
  <c r="AZ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L47" i="80"/>
  <c r="F42" i="80"/>
  <c r="M28" i="80"/>
  <c r="F8" i="80"/>
  <c r="F37" i="80"/>
  <c r="M27" i="80"/>
  <c r="F26" i="80"/>
  <c r="J15" i="80"/>
  <c r="F13" i="80"/>
  <c r="M8" i="80"/>
  <c r="F6" i="80"/>
  <c r="L48" i="80"/>
  <c r="F40" i="80"/>
  <c r="M24" i="80"/>
  <c r="M22" i="80"/>
  <c r="F9" i="80"/>
  <c r="F38" i="80"/>
  <c r="F36" i="80"/>
  <c r="M26" i="80"/>
  <c r="M23" i="80"/>
  <c r="F16" i="80"/>
  <c r="M9" i="80"/>
  <c r="M6" i="80"/>
  <c r="C76" i="80"/>
  <c r="AE9" i="1"/>
  <c r="Q71" i="80" l="1"/>
  <c r="F64" i="80"/>
  <c r="F66" i="80"/>
  <c r="F68" i="80"/>
  <c r="L56" i="80"/>
  <c r="L60" i="80"/>
  <c r="J57" i="80"/>
  <c r="J55" i="80" s="1"/>
  <c r="J58" i="80" s="1"/>
  <c r="Q50" i="80" s="1"/>
  <c r="L57" i="80"/>
  <c r="I54" i="80"/>
  <c r="J53" i="80"/>
  <c r="C27" i="80"/>
  <c r="F65" i="80"/>
  <c r="F51" i="80"/>
  <c r="M59" i="80"/>
  <c r="L59" i="80" s="1"/>
  <c r="N59" i="80"/>
  <c r="L58" i="80"/>
  <c r="M8" i="1"/>
  <c r="O8" i="1" s="1"/>
  <c r="P8" i="1" s="1"/>
  <c r="M9" i="1"/>
  <c r="O9" i="1" s="1"/>
  <c r="P9" i="1" s="1"/>
  <c r="G20" i="43"/>
  <c r="C20" i="43" s="1"/>
  <c r="G16" i="3"/>
  <c r="G3" i="43"/>
  <c r="C11" i="39"/>
  <c r="J51" i="15"/>
  <c r="W9" i="39"/>
  <c r="W14" i="39"/>
  <c r="W23" i="39"/>
  <c r="W35" i="39"/>
  <c r="F29" i="6"/>
  <c r="H49" i="43"/>
  <c r="A15" i="62"/>
  <c r="B61" i="72" s="1"/>
  <c r="G13" i="1"/>
  <c r="AZ557" i="3"/>
  <c r="AZ512" i="3"/>
  <c r="AZ494" i="3"/>
  <c r="AZ362" i="3"/>
  <c r="S41" i="34"/>
  <c r="AA41" i="34"/>
  <c r="AZ520" i="3"/>
  <c r="AZ567" i="3"/>
  <c r="AZ510" i="3"/>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B74" i="43"/>
  <c r="C27" i="39"/>
  <c r="AB8" i="35"/>
  <c r="U8" i="35"/>
  <c r="AC28" i="36"/>
  <c r="W28" i="36"/>
  <c r="AB40" i="40"/>
  <c r="U40" i="40"/>
  <c r="J31" i="40"/>
  <c r="H31" i="40"/>
  <c r="U31" i="40" s="1"/>
  <c r="J33" i="40"/>
  <c r="F33" i="40"/>
  <c r="AA33" i="40" s="1"/>
  <c r="BA569" i="3"/>
  <c r="BA568" i="3"/>
  <c r="AZ568" i="3" s="1"/>
  <c r="BL566" i="3"/>
  <c r="BA566" i="3"/>
  <c r="BL564" i="3"/>
  <c r="BA564" i="3"/>
  <c r="BL561" i="3"/>
  <c r="AZ561" i="3" s="1"/>
  <c r="BA561" i="3"/>
  <c r="BA541" i="3"/>
  <c r="BA537" i="3"/>
  <c r="BL532" i="3"/>
  <c r="AZ532" i="3" s="1"/>
  <c r="BA530" i="3"/>
  <c r="AZ530" i="3" s="1"/>
  <c r="BL528" i="3"/>
  <c r="BL526" i="3"/>
  <c r="AZ526" i="3" s="1"/>
  <c r="BL524" i="3"/>
  <c r="AZ524" i="3" s="1"/>
  <c r="BA522" i="3"/>
  <c r="AZ522" i="3" s="1"/>
  <c r="BA521" i="3"/>
  <c r="BL516" i="3"/>
  <c r="BL514" i="3"/>
  <c r="BA514" i="3"/>
  <c r="BL506" i="3"/>
  <c r="BA506" i="3"/>
  <c r="BL504" i="3"/>
  <c r="BA500" i="3"/>
  <c r="AZ500" i="3" s="1"/>
  <c r="BL498" i="3"/>
  <c r="AZ498" i="3" s="1"/>
  <c r="BL496" i="3"/>
  <c r="AZ496" i="3" s="1"/>
  <c r="BA493" i="3"/>
  <c r="H82" i="43"/>
  <c r="H48" i="43"/>
  <c r="H50" i="43"/>
  <c r="AC35" i="21"/>
  <c r="U36" i="40"/>
  <c r="BL493" i="3"/>
  <c r="BB5" i="3"/>
  <c r="E8" i="6" s="1"/>
  <c r="AZ327" i="3"/>
  <c r="AZ310" i="3"/>
  <c r="AZ371" i="3"/>
  <c r="AZ336" i="3"/>
  <c r="AZ329" i="3"/>
  <c r="AZ321" i="3"/>
  <c r="AZ304" i="3"/>
  <c r="U40" i="39"/>
  <c r="AA25" i="21"/>
  <c r="AB38" i="21"/>
  <c r="AB37" i="34"/>
  <c r="W26" i="37"/>
  <c r="AB43" i="33"/>
  <c r="U43" i="33"/>
  <c r="BL503" i="3"/>
  <c r="AZ503" i="3" s="1"/>
  <c r="BL523" i="3"/>
  <c r="AZ523" i="3" s="1"/>
  <c r="BL527" i="3"/>
  <c r="AZ527" i="3" s="1"/>
  <c r="BL531" i="3"/>
  <c r="AZ531" i="3" s="1"/>
  <c r="BL535" i="3"/>
  <c r="AZ535" i="3" s="1"/>
  <c r="BL539" i="3"/>
  <c r="AZ539" i="3" s="1"/>
  <c r="AZ543" i="3"/>
  <c r="AC13" i="36"/>
  <c r="AA14" i="33"/>
  <c r="H13" i="37"/>
  <c r="S13" i="35"/>
  <c r="AA13" i="35"/>
  <c r="AB46" i="33"/>
  <c r="U46" i="33"/>
  <c r="F13" i="36"/>
  <c r="S13"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G28" i="6"/>
  <c r="AZ559" i="3"/>
  <c r="AZ569" i="3"/>
  <c r="AZ587" i="3"/>
  <c r="AZ504" i="3"/>
  <c r="AZ516" i="3"/>
  <c r="AZ528" i="3"/>
  <c r="AC14" i="37"/>
  <c r="W14" i="37"/>
  <c r="U11" i="36"/>
  <c r="AB11" i="36"/>
  <c r="AB32" i="33"/>
  <c r="U32" i="33"/>
  <c r="W45" i="39"/>
  <c r="AC45" i="39"/>
  <c r="AB35" i="33"/>
  <c r="U35" i="33"/>
  <c r="W16" i="36"/>
  <c r="AC16" i="36"/>
  <c r="J25" i="36"/>
  <c r="W25" i="36" s="1"/>
  <c r="H25" i="36"/>
  <c r="AB25" i="36" s="1"/>
  <c r="F32" i="36"/>
  <c r="J32" i="36"/>
  <c r="S31" i="36"/>
  <c r="AA31" i="36"/>
  <c r="H27" i="37"/>
  <c r="F27" i="37"/>
  <c r="AA27" i="37" s="1"/>
  <c r="J27" i="37"/>
  <c r="AC27" i="37" s="1"/>
  <c r="J39" i="37"/>
  <c r="AC39" i="37" s="1"/>
  <c r="F39" i="37"/>
  <c r="H39" i="37"/>
  <c r="F38" i="40"/>
  <c r="H38" i="40"/>
  <c r="J40" i="40"/>
  <c r="F40" i="40"/>
  <c r="BA565" i="3"/>
  <c r="BL563" i="3"/>
  <c r="AZ563" i="3" s="1"/>
  <c r="BA562" i="3"/>
  <c r="AZ562" i="3" s="1"/>
  <c r="BA560" i="3"/>
  <c r="AZ560" i="3" s="1"/>
  <c r="BL558" i="3"/>
  <c r="AZ558" i="3" s="1"/>
  <c r="BL556" i="3"/>
  <c r="BA556" i="3"/>
  <c r="AZ556" i="3" s="1"/>
  <c r="BA538" i="3"/>
  <c r="AZ538" i="3" s="1"/>
  <c r="BL536" i="3"/>
  <c r="AZ536" i="3" s="1"/>
  <c r="BL534" i="3"/>
  <c r="BA534" i="3"/>
  <c r="AZ534" i="3" s="1"/>
  <c r="BA533" i="3"/>
  <c r="BA529" i="3"/>
  <c r="BA525" i="3"/>
  <c r="BL521" i="3"/>
  <c r="BL519" i="3"/>
  <c r="BA519" i="3"/>
  <c r="BA518" i="3"/>
  <c r="AZ518" i="3" s="1"/>
  <c r="BA515" i="3"/>
  <c r="AZ515" i="3" s="1"/>
  <c r="BL511" i="3"/>
  <c r="BA511" i="3"/>
  <c r="BL509" i="3"/>
  <c r="AZ509" i="3" s="1"/>
  <c r="BL505" i="3"/>
  <c r="AZ505" i="3" s="1"/>
  <c r="BA505" i="3"/>
  <c r="BA501" i="3"/>
  <c r="AZ501" i="3" s="1"/>
  <c r="BA497" i="3"/>
  <c r="AZ497" i="3" s="1"/>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BL15" i="3"/>
  <c r="AZ15" i="3" s="1"/>
  <c r="AZ399" i="3"/>
  <c r="AZ403" i="3"/>
  <c r="AZ405" i="3"/>
  <c r="AZ406" i="3"/>
  <c r="AZ415" i="3"/>
  <c r="AZ419" i="3"/>
  <c r="AZ421" i="3"/>
  <c r="AZ422" i="3"/>
  <c r="AZ425" i="3"/>
  <c r="AZ431" i="3"/>
  <c r="AZ435" i="3"/>
  <c r="AZ438" i="3"/>
  <c r="AZ443" i="3"/>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AZ445" i="3"/>
  <c r="AZ446" i="3"/>
  <c r="AZ449" i="3"/>
  <c r="AZ450" i="3"/>
  <c r="AZ459" i="3"/>
  <c r="AZ461" i="3"/>
  <c r="AZ462" i="3"/>
  <c r="AZ476" i="3"/>
  <c r="AZ477" i="3"/>
  <c r="AZ480" i="3"/>
  <c r="AZ481" i="3"/>
  <c r="AZ316" i="3"/>
  <c r="AZ332" i="3"/>
  <c r="AZ395" i="3"/>
  <c r="AZ208" i="3"/>
  <c r="AZ211" i="3"/>
  <c r="AZ217" i="3"/>
  <c r="AZ220" i="3"/>
  <c r="AZ226" i="3"/>
  <c r="AZ230" i="3"/>
  <c r="BA172" i="3"/>
  <c r="AZ172" i="3" s="1"/>
  <c r="BL173" i="3"/>
  <c r="G176" i="3"/>
  <c r="BL178" i="3"/>
  <c r="AZ178" i="3" s="1"/>
  <c r="BA180" i="3"/>
  <c r="AZ180" i="3" s="1"/>
  <c r="BL181" i="3"/>
  <c r="G184" i="3"/>
  <c r="BL186" i="3"/>
  <c r="AZ186" i="3" s="1"/>
  <c r="BA188" i="3"/>
  <c r="AZ188" i="3" s="1"/>
  <c r="BL189" i="3"/>
  <c r="G192" i="3"/>
  <c r="BL194" i="3"/>
  <c r="AZ194" i="3" s="1"/>
  <c r="BA196" i="3"/>
  <c r="AZ196" i="3" s="1"/>
  <c r="BL197"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70" i="43" s="1"/>
  <c r="H78" i="43" s="1"/>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E28" i="6"/>
  <c r="J107" i="43"/>
  <c r="F107" i="43"/>
  <c r="F106" i="43"/>
  <c r="C105" i="43"/>
  <c r="K104"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F103" i="43"/>
  <c r="T12" i="1"/>
  <c r="AR10" i="1"/>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4" i="43" s="1"/>
  <c r="F100" i="43"/>
  <c r="H17" i="43"/>
  <c r="D9" i="53"/>
  <c r="B25" i="72" s="1"/>
  <c r="B24" i="72"/>
  <c r="G6" i="1"/>
  <c r="H85" i="43"/>
  <c r="H81" i="43"/>
  <c r="H84" i="43"/>
  <c r="H88" i="43"/>
  <c r="H53" i="43"/>
  <c r="H54"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80"/>
  <c r="F7" i="80"/>
  <c r="F43" i="80"/>
  <c r="J15" i="67"/>
  <c r="F40" i="15"/>
  <c r="F26" i="15"/>
  <c r="F43" i="67"/>
  <c r="F26" i="67"/>
  <c r="F36" i="15"/>
  <c r="L47" i="15"/>
  <c r="F13" i="67"/>
  <c r="F37" i="15"/>
  <c r="F38" i="15"/>
  <c r="F37" i="67"/>
  <c r="M22" i="67"/>
  <c r="L47" i="67"/>
  <c r="M24" i="15"/>
  <c r="M29" i="67"/>
  <c r="F13" i="15"/>
  <c r="M9" i="67"/>
  <c r="M26" i="67"/>
  <c r="J15" i="15"/>
  <c r="F43" i="15"/>
  <c r="M22" i="15"/>
  <c r="M8" i="67"/>
  <c r="M8" i="15"/>
  <c r="F16" i="67"/>
  <c r="F6" i="15"/>
  <c r="F9" i="67"/>
  <c r="G1" i="73"/>
  <c r="M6" i="15"/>
  <c r="L48" i="15"/>
  <c r="F9" i="15"/>
  <c r="F8" i="67"/>
  <c r="M9" i="15"/>
  <c r="F40" i="67"/>
  <c r="M23" i="67"/>
  <c r="M28" i="67"/>
  <c r="M24" i="67"/>
  <c r="L48" i="67"/>
  <c r="F36" i="67"/>
  <c r="M29" i="15"/>
  <c r="F16" i="15"/>
  <c r="F7" i="15"/>
  <c r="F6" i="67"/>
  <c r="F7" i="67"/>
  <c r="M6" i="67"/>
  <c r="C76" i="15"/>
  <c r="M23" i="15"/>
  <c r="M28" i="15"/>
  <c r="M26" i="15"/>
  <c r="F8" i="15"/>
  <c r="F38" i="67"/>
  <c r="C76" i="67"/>
  <c r="F42" i="15"/>
  <c r="F42" i="67"/>
  <c r="F71" i="80" l="1"/>
  <c r="M7" i="80"/>
  <c r="F50" i="80"/>
  <c r="C49" i="80" s="1"/>
  <c r="C48" i="80" s="1"/>
  <c r="C6" i="80"/>
  <c r="C10" i="80"/>
  <c r="Q61" i="80"/>
  <c r="Q74" i="80"/>
  <c r="F1" i="80"/>
  <c r="Q52" i="80"/>
  <c r="Q66" i="80"/>
  <c r="Q57" i="80"/>
  <c r="Q73" i="80"/>
  <c r="Q60" i="80"/>
  <c r="H70" i="43"/>
  <c r="H71" i="43"/>
  <c r="H73" i="43"/>
  <c r="H74" i="43"/>
  <c r="H75" i="43"/>
  <c r="D22" i="43"/>
  <c r="N109" i="43"/>
  <c r="AR12" i="1"/>
  <c r="G102" i="43"/>
  <c r="J105" i="43"/>
  <c r="K109" i="43"/>
  <c r="J109" i="43"/>
  <c r="N104" i="43"/>
  <c r="K106" i="43"/>
  <c r="G103" i="43"/>
  <c r="K107" i="43"/>
  <c r="J102" i="43"/>
  <c r="N105" i="43"/>
  <c r="G109" i="43"/>
  <c r="N107" i="43"/>
  <c r="J106" i="43"/>
  <c r="K105" i="43"/>
  <c r="G106" i="43"/>
  <c r="G104" i="43"/>
  <c r="G107" i="43"/>
  <c r="K102" i="43"/>
  <c r="J103" i="43"/>
  <c r="N106" i="43"/>
  <c r="N103" i="43"/>
  <c r="G5" i="3"/>
  <c r="B3" i="3" s="1"/>
  <c r="AT6" i="3" s="1"/>
  <c r="T10" i="1"/>
  <c r="E56" i="40"/>
  <c r="H11" i="39"/>
  <c r="J11" i="39"/>
  <c r="F11" i="39"/>
  <c r="F109" i="43"/>
  <c r="F105" i="43"/>
  <c r="C102" i="43"/>
  <c r="D115" i="43"/>
  <c r="E115" i="43" s="1"/>
  <c r="F115" i="43" s="1"/>
  <c r="G115" i="43" s="1"/>
  <c r="H115" i="43" s="1"/>
  <c r="B117" i="43"/>
  <c r="C117" i="43" s="1"/>
  <c r="B118" i="43"/>
  <c r="C118" i="43" s="1"/>
  <c r="G118" i="43"/>
  <c r="H118" i="43" s="1"/>
  <c r="D116" i="43"/>
  <c r="E116" i="43" s="1"/>
  <c r="F116" i="43" s="1"/>
  <c r="G116" i="43" s="1"/>
  <c r="H116" i="43" s="1"/>
  <c r="C103" i="43"/>
  <c r="C107" i="43"/>
  <c r="F102" i="43"/>
  <c r="F27" i="6"/>
  <c r="F31" i="6" s="1"/>
  <c r="E51" i="40"/>
  <c r="E56" i="39"/>
  <c r="E12" i="6"/>
  <c r="E4" i="4"/>
  <c r="C4" i="4"/>
  <c r="B4" i="62" s="1"/>
  <c r="B71" i="72" s="1"/>
  <c r="W40" i="40"/>
  <c r="AC40" i="40"/>
  <c r="AA38" i="40"/>
  <c r="S38" i="40"/>
  <c r="S39" i="37"/>
  <c r="AA39" i="37"/>
  <c r="U27" i="37"/>
  <c r="AB27" i="37"/>
  <c r="AC25" i="37"/>
  <c r="W25" i="37"/>
  <c r="AC47" i="34"/>
  <c r="W47" i="34"/>
  <c r="S44" i="33"/>
  <c r="AA44" i="33"/>
  <c r="U12" i="33"/>
  <c r="AB12" i="33"/>
  <c r="AB13" i="37"/>
  <c r="U13" i="37"/>
  <c r="AZ506" i="3"/>
  <c r="AZ514" i="3"/>
  <c r="AZ564" i="3"/>
  <c r="AZ566" i="3"/>
  <c r="AZ511" i="3"/>
  <c r="AZ519" i="3"/>
  <c r="AA40" i="40"/>
  <c r="S40" i="40"/>
  <c r="AB38" i="40"/>
  <c r="U38" i="40"/>
  <c r="AB39" i="37"/>
  <c r="U39" i="37"/>
  <c r="W32" i="36"/>
  <c r="AC32" i="36"/>
  <c r="AZ572" i="3"/>
  <c r="AC32" i="40"/>
  <c r="W32" i="40"/>
  <c r="AA31" i="39"/>
  <c r="S31" i="39"/>
  <c r="U25" i="37"/>
  <c r="AB25" i="37"/>
  <c r="AC31" i="34"/>
  <c r="W31" i="34"/>
  <c r="U13" i="34"/>
  <c r="AB13" i="34"/>
  <c r="AZ493" i="3"/>
  <c r="AZ521" i="3"/>
  <c r="W33" i="40"/>
  <c r="AC33" i="40"/>
  <c r="AC31" i="40"/>
  <c r="W31"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D9" i="68"/>
  <c r="M17" i="67"/>
  <c r="M17" i="15"/>
  <c r="F31" i="15"/>
  <c r="F59" i="67"/>
  <c r="F31" i="67"/>
  <c r="F59" i="15"/>
  <c r="C16" i="80"/>
  <c r="C16" i="67"/>
  <c r="C16" i="15"/>
  <c r="C24" i="82" l="1"/>
  <c r="C23" i="82"/>
  <c r="F24" i="80"/>
  <c r="C24" i="80" s="1"/>
  <c r="F24" i="81"/>
  <c r="C5" i="80"/>
  <c r="C38" i="80" s="1"/>
  <c r="C66" i="80"/>
  <c r="C60" i="80"/>
  <c r="O7" i="1"/>
  <c r="J10" i="80"/>
  <c r="J6" i="80"/>
  <c r="C33" i="80"/>
  <c r="K16" i="1"/>
  <c r="E27" i="6"/>
  <c r="E31" i="6" s="1"/>
  <c r="W11" i="39"/>
  <c r="AC11" i="39"/>
  <c r="AA11" i="39"/>
  <c r="S11" i="39"/>
  <c r="U11" i="39"/>
  <c r="AB11" i="39"/>
  <c r="K4" i="4"/>
  <c r="B46" i="48" s="1"/>
  <c r="B4" i="72" s="1"/>
  <c r="B5" i="62"/>
  <c r="B73" i="72" s="1"/>
  <c r="C9" i="68"/>
  <c r="S6" i="43"/>
  <c r="S3" i="43"/>
  <c r="C23" i="43"/>
  <c r="C21" i="43" s="1"/>
  <c r="C29" i="43" s="1"/>
  <c r="S7" i="43"/>
  <c r="T7" i="43" s="1"/>
  <c r="V7" i="43" s="1"/>
  <c r="S4" i="43"/>
  <c r="T4" i="43" s="1"/>
  <c r="V4" i="43" s="1"/>
  <c r="S2" i="43"/>
  <c r="S5" i="43"/>
  <c r="T5" i="43" s="1"/>
  <c r="V5" i="43" s="1"/>
  <c r="K25" i="6"/>
  <c r="M25" i="6" s="1"/>
  <c r="I25" i="6" s="1"/>
  <c r="S25" i="6" s="1"/>
  <c r="K21" i="6"/>
  <c r="E57" i="40"/>
  <c r="E62" i="39"/>
  <c r="E66" i="39"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27" i="68"/>
  <c r="C29" i="82" l="1"/>
  <c r="C36" i="82" s="1"/>
  <c r="C24" i="81"/>
  <c r="C23" i="81"/>
  <c r="C32" i="80"/>
  <c r="J5" i="80"/>
  <c r="G39" i="43"/>
  <c r="I39" i="43" s="1"/>
  <c r="M21" i="6"/>
  <c r="I21" i="6" s="1"/>
  <c r="S21" i="6" s="1"/>
  <c r="S8" i="1"/>
  <c r="E8" i="70" s="1"/>
  <c r="K22" i="6"/>
  <c r="K26" i="6"/>
  <c r="M26" i="6" s="1"/>
  <c r="I26" i="6" s="1"/>
  <c r="S26" i="6" s="1"/>
  <c r="K23" i="6"/>
  <c r="M23" i="6" s="1"/>
  <c r="I23" i="6" s="1"/>
  <c r="S23" i="6" s="1"/>
  <c r="K20" i="6"/>
  <c r="K24" i="6"/>
  <c r="M24" i="6" s="1"/>
  <c r="I24" i="6" s="1"/>
  <c r="S24" i="6" s="1"/>
  <c r="K19" i="6"/>
  <c r="K27" i="6" s="1"/>
  <c r="C29" i="68"/>
  <c r="D27" i="68"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1" i="6"/>
  <c r="H26"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D10" i="68"/>
  <c r="J14" i="82" l="1"/>
  <c r="J22" i="82" s="1"/>
  <c r="Q49" i="82"/>
  <c r="C57" i="82"/>
  <c r="C61" i="82" s="1"/>
  <c r="J59" i="82"/>
  <c r="J60" i="82" s="1"/>
  <c r="C13" i="82"/>
  <c r="Q70" i="82" s="1"/>
  <c r="J19" i="82"/>
  <c r="J13" i="82"/>
  <c r="J23" i="82" s="1"/>
  <c r="C29" i="81"/>
  <c r="J24" i="80"/>
  <c r="J26" i="80"/>
  <c r="J18" i="80"/>
  <c r="AQ8" i="1"/>
  <c r="AR8" i="1"/>
  <c r="T8" i="1"/>
  <c r="M22" i="6"/>
  <c r="I22" i="6" s="1"/>
  <c r="S9" i="1"/>
  <c r="E9" i="70" s="1"/>
  <c r="H24" i="6"/>
  <c r="H23" i="6"/>
  <c r="R23" i="6" s="1"/>
  <c r="S6" i="1"/>
  <c r="M19" i="6"/>
  <c r="S7" i="1"/>
  <c r="M20" i="6"/>
  <c r="I20" i="6" s="1"/>
  <c r="C34" i="11"/>
  <c r="C35" i="11" s="1"/>
  <c r="C36" i="11"/>
  <c r="J24" i="67"/>
  <c r="J18" i="67"/>
  <c r="J24" i="15"/>
  <c r="J18" i="15"/>
  <c r="G36" i="36"/>
  <c r="R37" i="36"/>
  <c r="AB7" i="34"/>
  <c r="T49" i="34" s="1"/>
  <c r="G49" i="34" s="1"/>
  <c r="G53" i="34" s="1"/>
  <c r="H53" i="34" s="1"/>
  <c r="W7" i="21"/>
  <c r="AA7" i="21"/>
  <c r="R48" i="21" s="1"/>
  <c r="E48" i="21" s="1"/>
  <c r="E52" i="21" s="1"/>
  <c r="F52" i="21" s="1"/>
  <c r="R26" i="6"/>
  <c r="R24" i="6"/>
  <c r="R21" i="6"/>
  <c r="R8" i="1" s="1"/>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34" i="68"/>
  <c r="C17" i="80"/>
  <c r="C17" i="15"/>
  <c r="E6" i="76"/>
  <c r="C64" i="82" l="1"/>
  <c r="C75" i="82"/>
  <c r="C37" i="82"/>
  <c r="C30" i="82" s="1"/>
  <c r="C39" i="82" s="1"/>
  <c r="Q48" i="82"/>
  <c r="L46" i="82"/>
  <c r="C56" i="82"/>
  <c r="C65" i="82" s="1"/>
  <c r="Q69" i="82"/>
  <c r="Q68" i="82" s="1"/>
  <c r="C57" i="81"/>
  <c r="C36" i="81"/>
  <c r="J19" i="81"/>
  <c r="J14" i="81"/>
  <c r="C13" i="81"/>
  <c r="Q49" i="81"/>
  <c r="B29" i="1"/>
  <c r="C18" i="12" s="1"/>
  <c r="S22" i="6"/>
  <c r="H22" i="6"/>
  <c r="R22" i="6" s="1"/>
  <c r="R9" i="1" s="1"/>
  <c r="AR9" i="1"/>
  <c r="AQ9" i="1"/>
  <c r="T9" i="1"/>
  <c r="C38" i="11"/>
  <c r="S20" i="6"/>
  <c r="H20" i="6"/>
  <c r="R20" i="6" s="1"/>
  <c r="R7" i="1" s="1"/>
  <c r="I19" i="6"/>
  <c r="M27" i="6"/>
  <c r="E7" i="70"/>
  <c r="T7" i="1"/>
  <c r="AQ7" i="1"/>
  <c r="AR7" i="1"/>
  <c r="AQ6" i="1"/>
  <c r="E6" i="70"/>
  <c r="AR6" i="1"/>
  <c r="T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L51" i="82"/>
  <c r="F35" i="81"/>
  <c r="M21" i="81"/>
  <c r="C14" i="80"/>
  <c r="F35" i="80"/>
  <c r="M21" i="80"/>
  <c r="F35" i="67"/>
  <c r="M21" i="67"/>
  <c r="B6" i="76"/>
  <c r="C80" i="82" l="1"/>
  <c r="C79" i="82" s="1"/>
  <c r="Q67" i="82"/>
  <c r="L57" i="82"/>
  <c r="J20" i="81"/>
  <c r="J17" i="81" s="1"/>
  <c r="F63" i="81"/>
  <c r="C62" i="81" s="1"/>
  <c r="C34" i="81"/>
  <c r="C31" i="81" s="1"/>
  <c r="C75" i="81"/>
  <c r="Q70" i="81"/>
  <c r="C37" i="81"/>
  <c r="C56" i="81"/>
  <c r="C65" i="81" s="1"/>
  <c r="C64" i="81"/>
  <c r="C61" i="81"/>
  <c r="J13" i="81"/>
  <c r="J23" i="81" s="1"/>
  <c r="J22" i="81"/>
  <c r="C15" i="80"/>
  <c r="C18" i="80"/>
  <c r="J20" i="80"/>
  <c r="F63" i="80"/>
  <c r="C62" i="80" s="1"/>
  <c r="C34" i="80"/>
  <c r="C31" i="80" s="1"/>
  <c r="C8" i="68"/>
  <c r="S19" i="6"/>
  <c r="S27" i="6" s="1"/>
  <c r="H19" i="6"/>
  <c r="I27" i="6"/>
  <c r="I5" i="6"/>
  <c r="B2" i="76"/>
  <c r="B3" i="76" s="1"/>
  <c r="B3" i="43"/>
  <c r="C49" i="21"/>
  <c r="F63" i="67"/>
  <c r="C62" i="67" s="1"/>
  <c r="C34" i="67"/>
  <c r="J20" i="67"/>
  <c r="C24" i="68"/>
  <c r="C22" i="12"/>
  <c r="C33" i="68"/>
  <c r="I63" i="40"/>
  <c r="H65" i="40"/>
  <c r="C39" i="11"/>
  <c r="C43" i="11" s="1"/>
  <c r="C41" i="11" s="1"/>
  <c r="I70" i="39"/>
  <c r="C59" i="81" l="1"/>
  <c r="C58" i="81" s="1"/>
  <c r="C67" i="81" s="1"/>
  <c r="J16" i="81"/>
  <c r="J25" i="81" s="1"/>
  <c r="C30" i="81"/>
  <c r="C39" i="81" s="1"/>
  <c r="C80" i="81" s="1"/>
  <c r="C79" i="81" s="1"/>
  <c r="C19" i="80"/>
  <c r="C20" i="80" s="1"/>
  <c r="C26" i="80" s="1"/>
  <c r="R19" i="6"/>
  <c r="H27" i="6"/>
  <c r="C39" i="68"/>
  <c r="C43" i="68" s="1"/>
  <c r="C42" i="68"/>
  <c r="J63" i="40"/>
  <c r="I65" i="40"/>
  <c r="C46" i="11"/>
  <c r="C45" i="11" s="1"/>
  <c r="C49" i="11" s="1"/>
  <c r="C51" i="11" s="1"/>
  <c r="C52" i="11" s="1"/>
  <c r="B2" i="11" s="1"/>
  <c r="B3" i="11" s="1"/>
  <c r="J70" i="39"/>
  <c r="Q69" i="81" l="1"/>
  <c r="Q68" i="81" s="1"/>
  <c r="C23" i="80"/>
  <c r="C29" i="80" s="1"/>
  <c r="R6" i="1"/>
  <c r="R27" i="6"/>
  <c r="C41" i="68"/>
  <c r="C46" i="68"/>
  <c r="C45" i="68" s="1"/>
  <c r="K63" i="40"/>
  <c r="J65" i="40"/>
  <c r="K70" i="39"/>
  <c r="C56" i="11"/>
  <c r="C57" i="11" s="1"/>
  <c r="M21" i="82"/>
  <c r="F35" i="82"/>
  <c r="L51" i="81"/>
  <c r="F35" i="15"/>
  <c r="M21" i="15"/>
  <c r="F63" i="82" l="1"/>
  <c r="C62" i="82" s="1"/>
  <c r="C59" i="82" s="1"/>
  <c r="C58" i="82" s="1"/>
  <c r="C67" i="82" s="1"/>
  <c r="J20" i="82"/>
  <c r="J17" i="82" s="1"/>
  <c r="J16" i="82" s="1"/>
  <c r="J25" i="82" s="1"/>
  <c r="Q67" i="81"/>
  <c r="C57" i="80"/>
  <c r="Q49" i="80"/>
  <c r="J59" i="80"/>
  <c r="J60" i="80" s="1"/>
  <c r="J19" i="80"/>
  <c r="J17" i="80" s="1"/>
  <c r="J14" i="80"/>
  <c r="C36" i="80"/>
  <c r="C13" i="80"/>
  <c r="J20" i="15"/>
  <c r="F63" i="15"/>
  <c r="C62" i="15" s="1"/>
  <c r="R16" i="1"/>
  <c r="C49" i="68"/>
  <c r="C51" i="68" s="1"/>
  <c r="L63" i="40"/>
  <c r="K65" i="40"/>
  <c r="L70" i="39"/>
  <c r="E2" i="70"/>
  <c r="C34" i="69"/>
  <c r="C17" i="67"/>
  <c r="Q48" i="80" l="1"/>
  <c r="L46" i="80"/>
  <c r="C64" i="80"/>
  <c r="C61" i="80"/>
  <c r="C59" i="80" s="1"/>
  <c r="Q70" i="80"/>
  <c r="C75" i="80"/>
  <c r="C37" i="80"/>
  <c r="C30" i="80" s="1"/>
  <c r="C39" i="80" s="1"/>
  <c r="C56" i="80"/>
  <c r="C65" i="80" s="1"/>
  <c r="J22" i="80"/>
  <c r="J13" i="80"/>
  <c r="J23" i="80" s="1"/>
  <c r="M63" i="40"/>
  <c r="L65" i="40"/>
  <c r="M70" i="39"/>
  <c r="C35" i="69"/>
  <c r="C38" i="69"/>
  <c r="D10" i="69"/>
  <c r="L51" i="80"/>
  <c r="J16" i="80" l="1"/>
  <c r="J25" i="80" s="1"/>
  <c r="Q67" i="80"/>
  <c r="Q69" i="80"/>
  <c r="Q68" i="80" s="1"/>
  <c r="C80" i="80"/>
  <c r="C79" i="80" s="1"/>
  <c r="C58" i="80"/>
  <c r="C67" i="80"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F41" i="80"/>
  <c r="F69" i="80" l="1"/>
  <c r="C68" i="80" s="1"/>
  <c r="J29" i="80"/>
  <c r="C40" i="80"/>
  <c r="L57" i="67"/>
  <c r="L60" i="67" s="1"/>
  <c r="L46" i="67" s="1"/>
  <c r="C80" i="67"/>
  <c r="C79" i="67" s="1"/>
  <c r="Q69" i="67"/>
  <c r="Q68" i="67" s="1"/>
  <c r="Q67" i="67"/>
  <c r="C59" i="67"/>
  <c r="C66" i="67"/>
  <c r="T16" i="1"/>
  <c r="C18" i="15"/>
  <c r="C15" i="15"/>
  <c r="Q47" i="80" l="1"/>
  <c r="Q53" i="80" s="1"/>
  <c r="B2" i="80"/>
  <c r="Q65" i="80"/>
  <c r="Q75" i="80" s="1"/>
  <c r="Q56" i="80"/>
  <c r="Q62" i="80" s="1"/>
  <c r="C43" i="80"/>
  <c r="C83" i="80"/>
  <c r="C82" i="80" s="1"/>
  <c r="C71" i="80"/>
  <c r="C46" i="80"/>
  <c r="Q66" i="67"/>
  <c r="Q57" i="67"/>
  <c r="C58" i="67"/>
  <c r="C67" i="67" s="1"/>
  <c r="C19" i="15"/>
  <c r="B3" i="80" l="1"/>
  <c r="D6" i="12" s="1"/>
  <c r="D8" i="12"/>
  <c r="C20" i="15"/>
  <c r="C26" i="15" s="1"/>
  <c r="C23" i="15" l="1"/>
  <c r="C29" i="15" s="1"/>
  <c r="J59" i="15" s="1"/>
  <c r="J60" i="15" s="1"/>
  <c r="Q48" i="15" s="1"/>
  <c r="J19" i="15" l="1"/>
  <c r="J17" i="15" s="1"/>
  <c r="Q49" i="15"/>
  <c r="C57" i="15"/>
  <c r="C61" i="15" s="1"/>
  <c r="C13" i="15"/>
  <c r="C37" i="15" s="1"/>
  <c r="C36" i="15"/>
  <c r="J14" i="15"/>
  <c r="J22" i="15" s="1"/>
  <c r="C30" i="15" l="1"/>
  <c r="C39" i="15" s="1"/>
  <c r="Q69" i="15" s="1"/>
  <c r="C56" i="15"/>
  <c r="C48" i="15" s="1"/>
  <c r="C64" i="15"/>
  <c r="Q70" i="15"/>
  <c r="C75" i="15"/>
  <c r="J13" i="15"/>
  <c r="J23" i="15" s="1"/>
  <c r="J16" i="15" s="1"/>
  <c r="J25" i="15" s="1"/>
  <c r="AE8" i="1"/>
  <c r="F41" i="81" s="1"/>
  <c r="L51" i="15"/>
  <c r="AE6" i="1"/>
  <c r="F41" i="82" s="1"/>
  <c r="F69" i="82" l="1"/>
  <c r="C68" i="82" s="1"/>
  <c r="J29" i="82"/>
  <c r="C40" i="82"/>
  <c r="J29" i="81"/>
  <c r="F69" i="81"/>
  <c r="C68" i="81" s="1"/>
  <c r="C40" i="81"/>
  <c r="C66" i="15"/>
  <c r="C60" i="15"/>
  <c r="C59" i="15" s="1"/>
  <c r="AG6" i="1"/>
  <c r="C80" i="15"/>
  <c r="C79" i="15" s="1"/>
  <c r="C65" i="15"/>
  <c r="Q68" i="15"/>
  <c r="L57" i="15"/>
  <c r="L60" i="15" s="1"/>
  <c r="Q67" i="15"/>
  <c r="M27" i="15"/>
  <c r="F41" i="15"/>
  <c r="F41" i="67"/>
  <c r="M27" i="67"/>
  <c r="Q47" i="82" l="1"/>
  <c r="Q53" i="82" s="1"/>
  <c r="B2" i="82"/>
  <c r="F8" i="12" s="1"/>
  <c r="Q65" i="82"/>
  <c r="Q75" i="82" s="1"/>
  <c r="Q56" i="82"/>
  <c r="Q62" i="82" s="1"/>
  <c r="C43" i="82"/>
  <c r="C83" i="82"/>
  <c r="C82" i="82" s="1"/>
  <c r="C71" i="82"/>
  <c r="C46" i="82"/>
  <c r="C46" i="81"/>
  <c r="C71" i="81"/>
  <c r="B2" i="81"/>
  <c r="C43" i="81"/>
  <c r="C83" i="81"/>
  <c r="C82" i="81" s="1"/>
  <c r="Q47" i="81"/>
  <c r="Q53" i="81" s="1"/>
  <c r="Q56" i="81"/>
  <c r="Q62" i="81" s="1"/>
  <c r="Q65" i="81"/>
  <c r="Q75" i="81" s="1"/>
  <c r="J26" i="15"/>
  <c r="J29" i="15" s="1"/>
  <c r="J26" i="67"/>
  <c r="J29" i="67" s="1"/>
  <c r="C58" i="15"/>
  <c r="C67" i="15" s="1"/>
  <c r="F69" i="15"/>
  <c r="C40" i="15"/>
  <c r="C43" i="15" s="1"/>
  <c r="L46" i="15"/>
  <c r="Q57" i="15"/>
  <c r="Q66" i="15"/>
  <c r="F69" i="67"/>
  <c r="C68" i="67" s="1"/>
  <c r="C71" i="67" s="1"/>
  <c r="C40" i="67"/>
  <c r="C83" i="67" s="1"/>
  <c r="C82" i="67" s="1"/>
  <c r="AO9" i="1"/>
  <c r="B3" i="81" l="1"/>
  <c r="E6" i="12" s="1"/>
  <c r="E8" i="12"/>
  <c r="B9" i="70"/>
  <c r="B3" i="82"/>
  <c r="F6" i="12" s="1"/>
  <c r="C68" i="15"/>
  <c r="C71" i="15" s="1"/>
  <c r="C83" i="15"/>
  <c r="C82" i="15" s="1"/>
  <c r="Q65" i="15"/>
  <c r="Q75" i="15" s="1"/>
  <c r="Q47" i="15"/>
  <c r="Q53" i="15" s="1"/>
  <c r="Q56" i="15"/>
  <c r="Q62" i="15" s="1"/>
  <c r="B2" i="15"/>
  <c r="C8" i="12" s="1"/>
  <c r="C4" i="12" s="1"/>
  <c r="C43" i="67"/>
  <c r="C45" i="67"/>
  <c r="C46" i="67" s="1"/>
  <c r="Q65" i="67"/>
  <c r="Q75" i="67" s="1"/>
  <c r="Q56" i="67"/>
  <c r="Q62" i="67" s="1"/>
  <c r="Q47" i="67"/>
  <c r="Q53" i="67" s="1"/>
  <c r="D2" i="67"/>
  <c r="B2" i="67" s="1"/>
  <c r="AO8" i="1"/>
  <c r="AO7" i="1"/>
  <c r="AO6" i="1"/>
  <c r="E2" i="69"/>
  <c r="C31" i="12" l="1"/>
  <c r="C23" i="12"/>
  <c r="B3" i="15"/>
  <c r="C6" i="12" s="1"/>
  <c r="B8" i="70"/>
  <c r="B7" i="70"/>
  <c r="B6" i="70"/>
  <c r="C46" i="15"/>
  <c r="B2" i="69"/>
  <c r="B3" i="69" s="1"/>
  <c r="B3" i="67"/>
  <c r="E2" i="68"/>
  <c r="F20" i="31"/>
  <c r="D2" i="35"/>
  <c r="D2" i="21"/>
  <c r="D2" i="33"/>
  <c r="D2" i="37"/>
  <c r="D2" i="36"/>
  <c r="D2" i="34"/>
  <c r="C27" i="12" l="1"/>
  <c r="C25" i="12" s="1"/>
  <c r="C30" i="12"/>
  <c r="C28" i="12" s="1"/>
  <c r="B20" i="31"/>
  <c r="B2" i="36"/>
  <c r="B3" i="36" s="1"/>
  <c r="B2" i="35"/>
  <c r="B3" i="35" s="1"/>
  <c r="B2" i="37"/>
  <c r="B3" i="37" s="1"/>
  <c r="B2" i="34"/>
  <c r="B3" i="34" s="1"/>
  <c r="B2" i="21"/>
  <c r="B3" i="21" s="1"/>
  <c r="B2" i="70"/>
  <c r="B3" i="70"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7" i="68" l="1"/>
  <c r="C5" i="68" s="1"/>
  <c r="C23" i="68" l="1"/>
  <c r="C20" i="68"/>
  <c r="H112" i="9"/>
  <c r="D21" i="53" s="1"/>
  <c r="B39" i="72" s="1"/>
  <c r="H111" i="9"/>
  <c r="D126" i="9" s="1"/>
  <c r="D59" i="9"/>
  <c r="M55" i="9" s="1"/>
  <c r="C28" i="68" l="1"/>
  <c r="C27" i="68" s="1"/>
  <c r="C25" i="68"/>
  <c r="C22" i="68" s="1"/>
  <c r="D19" i="53"/>
  <c r="B38" i="72" s="1"/>
  <c r="I14" i="74"/>
  <c r="B8" i="74" s="1"/>
  <c r="D127" i="9"/>
  <c r="D13" i="52" s="1"/>
  <c r="D12" i="52"/>
  <c r="D20" i="53" l="1"/>
  <c r="B40" i="72" s="1"/>
  <c r="C31" i="68"/>
  <c r="C52" i="68" s="1"/>
  <c r="D8" i="74"/>
  <c r="C8" i="74"/>
  <c r="C57" i="68" l="1"/>
  <c r="C56" i="68" s="1"/>
  <c r="B2" i="68"/>
  <c r="C19" i="9"/>
  <c r="B3" i="68" l="1"/>
  <c r="C102" i="9"/>
  <c r="C21" i="9"/>
  <c r="G19" i="9"/>
  <c r="L6" i="9" s="1"/>
  <c r="L7" i="9" s="1"/>
  <c r="L8" i="9" s="1"/>
  <c r="D22" i="9"/>
  <c r="C20" i="9"/>
  <c r="D34" i="9"/>
  <c r="D35" i="9"/>
  <c r="G20" i="9" l="1"/>
  <c r="C103" i="9"/>
  <c r="G21" i="9"/>
  <c r="C32" i="9"/>
  <c r="C35" i="9" l="1"/>
  <c r="F118" i="9" s="1"/>
  <c r="H118" i="9"/>
  <c r="G118" i="9" l="1"/>
  <c r="G4" i="52" s="1"/>
  <c r="B52" i="72" s="1"/>
  <c r="F119" i="9"/>
  <c r="F5" i="52" s="1"/>
  <c r="B53" i="72" s="1"/>
  <c r="F4" i="52"/>
  <c r="B51" i="72" s="1"/>
  <c r="C34" i="9"/>
  <c r="D118" i="9" s="1"/>
  <c r="C104" i="9"/>
  <c r="H101" i="9"/>
  <c r="H119" i="9"/>
  <c r="H5" i="52" s="1"/>
  <c r="H4" i="52"/>
  <c r="I118" i="9"/>
  <c r="D14" i="74"/>
  <c r="B5" i="74" l="1"/>
  <c r="E14" i="74"/>
  <c r="F14" i="74"/>
  <c r="M48" i="9"/>
  <c r="H107" i="9"/>
  <c r="D45" i="9"/>
  <c r="D5" i="53"/>
  <c r="D119" i="9"/>
  <c r="D5" i="52" s="1"/>
  <c r="B49" i="72" s="1"/>
  <c r="D4" i="52"/>
  <c r="B47" i="72" s="1"/>
  <c r="C105" i="9"/>
  <c r="E118" i="9"/>
  <c r="E4" i="52" s="1"/>
  <c r="B48" i="72" s="1"/>
  <c r="I4" i="52"/>
  <c r="H102" i="9"/>
  <c r="D7" i="53" s="1"/>
  <c r="B21" i="72" s="1"/>
  <c r="AD3" i="71"/>
  <c r="P21" i="43"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P22" i="43"/>
  <c r="P23" i="43"/>
  <c r="B71" i="39" s="1"/>
  <c r="P24" i="43"/>
  <c r="B66" i="40" s="1"/>
  <c r="P25" i="43"/>
  <c r="C79" i="9" l="1"/>
  <c r="G14" i="74"/>
  <c r="B6" i="74" s="1"/>
  <c r="D8" i="52"/>
  <c r="D123" i="9"/>
  <c r="D9" i="52" s="1"/>
  <c r="B30" i="72"/>
  <c r="D14" i="53"/>
  <c r="B32" i="72" s="1"/>
  <c r="L68" i="9"/>
  <c r="M68" i="9" s="1"/>
  <c r="L67" i="9"/>
  <c r="M67" i="9" s="1"/>
  <c r="L66" i="9"/>
  <c r="M66" i="9" s="1"/>
  <c r="L64" i="9"/>
  <c r="M64" i="9" s="1"/>
  <c r="L63" i="9"/>
  <c r="M63" i="9" s="1"/>
  <c r="L65" i="9"/>
  <c r="M65" i="9" s="1"/>
  <c r="C80" i="9"/>
  <c r="E80" i="9" s="1"/>
  <c r="E81" i="9" s="1"/>
  <c r="C95" i="9"/>
  <c r="C81" i="9" l="1"/>
  <c r="M69" i="9"/>
  <c r="N69" i="9" s="1"/>
  <c r="C96" i="9"/>
  <c r="E96" i="9" s="1"/>
  <c r="E97" i="9" s="1"/>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<sst xmlns="http://schemas.openxmlformats.org/spreadsheetml/2006/main" count="9315" uniqueCount="3150">
  <si>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</si>
  <si>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</si>
  <si>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</si>
  <si>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</si>
  <si>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</si>
  <si>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</si>
  <si>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</si>
  <si>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</si>
  <si>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</si>
  <si>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</si>
  <si>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</si>
  <si>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</si>
  <si>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</si>
  <si>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</si>
  <si>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</si>
  <si>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</si>
  <si>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</si>
  <si>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</si>
  <si>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</si>
  <si>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</si>
  <si>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</si>
  <si>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</si>
  <si>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</si>
  <si>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</si>
  <si>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</si>
  <si>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</si>
  <si>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</si>
  <si>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</si>
  <si>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</si>
  <si>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</si>
  <si>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</si>
  <si>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</si>
  <si>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</si>
  <si>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</si>
  <si>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</si>
  <si>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</si>
  <si>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</si>
  <si>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</si>
  <si>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</si>
  <si>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</si>
  <si>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</si>
  <si>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</si>
  <si>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</si>
  <si>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</si>
  <si>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</si>
  <si>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</si>
  <si>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</si>
  <si>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</si>
  <si>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</si>
  <si>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</si>
  <si>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</si>
  <si>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</si>
  <si>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</si>
  <si>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</si>
  <si>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</si>
  <si>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</si>
  <si>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</si>
  <si>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</si>
  <si>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</si>
  <si>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</si>
  <si>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</si>
  <si>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</si>
  <si>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</si>
  <si>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</si>
  <si>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</si>
  <si>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</si>
  <si>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</si>
  <si>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</si>
  <si>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</si>
  <si>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</si>
  <si>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</si>
  <si>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</si>
  <si>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</si>
  <si>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</si>
  <si>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</si>
  <si>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</si>
  <si>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</si>
  <si>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</si>
  <si>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</si>
  <si>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</si>
  <si>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</si>
  <si>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</si>
  <si>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</si>
  <si>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</si>
  <si>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</si>
  <si>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</si>
  <si>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</si>
  <si>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</si>
  <si>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</si>
  <si>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</si>
  <si>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</si>
  <si>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</si>
  <si>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</si>
  <si>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</si>
  <si>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</si>
  <si>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</si>
  <si>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</si>
  <si>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</si>
  <si>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</si>
  <si>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</si>
  <si>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</si>
  <si>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</si>
  <si>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</si>
  <si>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</si>
  <si>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</si>
  <si>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</si>
  <si>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</si>
  <si>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</si>
  <si>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</si>
  <si>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</si>
  <si>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</si>
  <si>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</si>
  <si>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</si>
  <si>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</si>
  <si>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</si>
  <si>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</si>
  <si>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</si>
  <si>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</si>
  <si>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</si>
  <si>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</si>
  <si>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</si>
  <si>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</si>
  <si>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</si>
  <si>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</si>
  <si>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</si>
  <si>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</si>
  <si>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</si>
  <si>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</si>
  <si>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</si>
  <si>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</si>
  <si>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</si>
  <si>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</si>
  <si>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</si>
  <si>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</si>
  <si>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</si>
  <si>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</si>
  <si>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</si>
  <si>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</si>
  <si>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</si>
  <si>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</si>
  <si>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</si>
  <si>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</si>
  <si>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</si>
  <si>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</si>
  <si>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</si>
  <si>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</si>
  <si>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</si>
  <si>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</si>
  <si>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</si>
  <si>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</si>
  <si>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</si>
  <si>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</si>
  <si>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</si>
  <si>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</si>
  <si>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</si>
  <si>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</si>
  <si>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</si>
  <si>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</si>
  <si>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</si>
  <si>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</si>
  <si>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</si>
  <si>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</si>
  <si>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</si>
  <si>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</si>
  <si>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</si>
  <si>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</si>
  <si>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</si>
  <si>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</si>
  <si>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</si>
  <si>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</si>
  <si>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</si>
  <si>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</si>
  <si>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</si>
  <si>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</si>
  <si>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</si>
  <si>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</si>
  <si>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</si>
  <si>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</si>
  <si>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</si>
  <si>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</si>
  <si>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</si>
  <si>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</si>
  <si>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</si>
  <si>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</si>
  <si>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</si>
  <si>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</si>
  <si>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</si>
  <si>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</si>
  <si>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</si>
  <si>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</si>
  <si>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</si>
  <si>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</si>
  <si>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</si>
  <si>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</si>
  <si>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</si>
  <si>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</si>
  <si>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</si>
  <si>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</si>
  <si>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</si>
  <si>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</si>
  <si>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</si>
  <si>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</si>
  <si>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</si>
  <si>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</si>
  <si>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</si>
  <si>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</si>
  <si>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</si>
  <si>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</si>
  <si>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</si>
  <si>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</si>
  <si>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</si>
  <si>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</si>
  <si>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</si>
  <si>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</si>
  <si>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</si>
  <si>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</si>
  <si>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</si>
  <si>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</si>
  <si>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</si>
  <si>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</si>
  <si>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</si>
  <si>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</si>
  <si>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</si>
  <si>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</si>
  <si>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</si>
  <si>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</si>
  <si>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</si>
  <si>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</si>
  <si>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</si>
  <si>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</si>
  <si>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</si>
  <si>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</si>
  <si>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</si>
  <si>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</si>
  <si>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</si>
  <si>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</si>
  <si>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</si>
  <si>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</si>
  <si>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</si>
  <si>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</si>
  <si>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</si>
  <si>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</si>
  <si>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</si>
  <si>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</si>
  <si>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</si>
  <si>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</si>
  <si>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</si>
  <si>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</si>
  <si>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</si>
  <si>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</si>
  <si>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</si>
  <si>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</si>
  <si>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</si>
  <si>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</si>
  <si>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</si>
  <si>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</si>
  <si>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</si>
  <si>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</si>
  <si>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</si>
  <si>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</si>
  <si>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</si>
  <si>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</si>
  <si>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</si>
  <si>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</si>
  <si>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</si>
  <si>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</si>
  <si>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</si>
  <si>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</si>
  <si>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</si>
  <si>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</si>
  <si>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</si>
  <si>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</si>
  <si>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</si>
  <si>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</si>
  <si>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</si>
  <si>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</si>
  <si>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</si>
  <si>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</si>
  <si>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</si>
  <si>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</si>
  <si>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</si>
  <si>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</si>
  <si>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</si>
  <si>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</si>
  <si>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</si>
  <si>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</si>
  <si>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</si>
  <si>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</si>
  <si>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</si>
  <si>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</si>
  <si>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</si>
  <si>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</si>
  <si>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</si>
  <si>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</si>
  <si>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</si>
  <si>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</si>
  <si>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</si>
  <si>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</si>
  <si>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</si>
  <si>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</si>
  <si>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</si>
  <si>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</si>
  <si>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</si>
  <si>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</si>
  <si>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</si>
  <si>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</si>
  <si>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</si>
  <si>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</si>
  <si>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</si>
  <si>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</si>
  <si>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</si>
  <si>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</si>
  <si>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</si>
  <si>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</si>
  <si>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</si>
  <si>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</si>
  <si>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</si>
  <si>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</si>
  <si>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</si>
  <si>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</si>
  <si>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</si>
  <si>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</si>
  <si>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</si>
  <si>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</si>
  <si>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</si>
  <si>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</si>
  <si>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</si>
  <si>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</si>
  <si>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</si>
  <si>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</si>
  <si>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</si>
  <si>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</si>
  <si>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</si>
  <si>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</si>
  <si>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</si>
  <si>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</si>
  <si>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</si>
  <si>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</si>
  <si>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</si>
  <si>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</si>
  <si>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</si>
  <si>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</si>
  <si>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</si>
  <si>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</si>
  <si>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</si>
  <si>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</si>
  <si>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</si>
  <si>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</si>
  <si>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</si>
  <si>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</si>
  <si>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</si>
  <si>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</si>
  <si>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</si>
  <si>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</si>
  <si>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</si>
  <si>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</si>
  <si>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</si>
  <si>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</si>
  <si>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</si>
  <si>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</si>
  <si>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</si>
  <si>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</si>
  <si>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</si>
  <si>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</si>
  <si>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</si>
  <si>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</si>
  <si>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</si>
  <si>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</si>
  <si>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</si>
  <si>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</si>
  <si>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</si>
  <si>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</si>
  <si>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</si>
  <si>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</si>
  <si>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</si>
  <si>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</si>
  <si>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</si>
  <si>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</si>
  <si>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</si>
  <si>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</si>
  <si>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</si>
  <si>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</si>
  <si>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</si>
  <si>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</si>
  <si>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</si>
  <si>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</si>
  <si>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</si>
  <si>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</si>
  <si>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</si>
  <si>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</si>
  <si>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</si>
  <si>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</si>
  <si>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</si>
  <si>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</si>
  <si>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</si>
  <si>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</si>
  <si>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</si>
  <si>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</si>
  <si>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</si>
  <si>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</si>
  <si>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</si>
  <si>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</si>
  <si>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</si>
  <si>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</si>
  <si>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</si>
  <si>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</si>
  <si>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</si>
  <si>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</si>
  <si>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</si>
  <si>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</si>
  <si>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</si>
  <si>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</si>
  <si>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</si>
  <si>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</si>
  <si>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</si>
  <si>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</si>
  <si>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</si>
  <si>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</si>
  <si>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</si>
  <si>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</si>
  <si>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</si>
  <si>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</si>
  <si>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</si>
  <si>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</si>
  <si>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</si>
  <si>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</si>
  <si>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</si>
  <si>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</si>
  <si>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</si>
  <si>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</si>
  <si>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</si>
  <si>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</si>
  <si>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</si>
  <si>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</si>
  <si>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</si>
  <si>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</si>
  <si>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</si>
  <si>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</si>
  <si>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</si>
  <si>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</si>
  <si>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</si>
  <si>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</si>
  <si>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</si>
  <si>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</si>
  <si>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</si>
  <si>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</si>
  <si>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</si>
  <si>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</si>
  <si>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</si>
  <si>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</si>
  <si>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</si>
  <si>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</si>
  <si>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</si>
  <si>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</si>
  <si>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</si>
  <si>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</si>
  <si>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</si>
  <si>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</si>
  <si>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</si>
  <si>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</si>
  <si>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</si>
  <si>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</si>
  <si>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</si>
  <si>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</si>
  <si>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</si>
  <si>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</si>
  <si>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</si>
  <si>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</si>
  <si>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</si>
  <si>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</si>
  <si>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</si>
  <si>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</si>
  <si>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</si>
  <si>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</si>
  <si>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</si>
  <si>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</si>
  <si>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</si>
  <si>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</si>
  <si>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</si>
  <si>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</si>
  <si>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</si>
  <si>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</si>
  <si>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</si>
  <si>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</si>
  <si>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</si>
  <si>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</si>
  <si>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</si>
  <si>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</si>
  <si>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</si>
  <si>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</si>
  <si>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</si>
  <si>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</si>
  <si>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</si>
  <si>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</si>
  <si>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</si>
  <si>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</si>
  <si>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</si>
  <si>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</si>
  <si>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</si>
  <si>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</si>
  <si>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</si>
  <si>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</si>
  <si>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</si>
  <si>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</si>
  <si>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</si>
  <si>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</si>
  <si>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</si>
  <si>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</si>
  <si>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</si>
  <si>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</si>
  <si>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</si>
  <si>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</si>
  <si>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</si>
  <si>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</si>
  <si>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</si>
  <si>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</si>
  <si>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</si>
  <si>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</si>
  <si>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</si>
  <si>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</si>
  <si>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</si>
  <si>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</si>
  <si>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</si>
  <si>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</si>
  <si>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</si>
  <si>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</si>
  <si>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</si>
  <si>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</si>
  <si>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</si>
  <si>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</si>
  <si>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</si>
  <si>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</si>
  <si>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</si>
  <si>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</si>
  <si>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</si>
  <si>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</si>
  <si>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</si>
  <si>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</si>
  <si>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</si>
  <si>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</si>
  <si>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</si>
  <si>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</si>
  <si>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</si>
  <si>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</si>
  <si>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</si>
  <si>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</si>
  <si>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</si>
  <si>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</si>
  <si>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</si>
  <si>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</si>
  <si>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</si>
  <si>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</si>
  <si>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</si>
  <si>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</si>
  <si>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</si>
  <si>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</si>
  <si>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</si>
  <si>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</si>
  <si>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</si>
  <si>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</si>
  <si>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</si>
  <si>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</si>
  <si>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</si>
  <si>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</si>
  <si>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</si>
  <si>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</si>
  <si>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</si>
  <si>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</si>
  <si>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</si>
  <si>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</si>
  <si>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</si>
  <si>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</si>
  <si>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</si>
  <si>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</si>
  <si>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</si>
  <si>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</si>
  <si>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</si>
  <si>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</si>
  <si>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</si>
  <si>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</si>
  <si>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</si>
  <si>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</si>
  <si>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</si>
  <si>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</si>
  <si>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</si>
  <si>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</si>
  <si>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</si>
  <si>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</si>
  <si>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</si>
  <si>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</si>
  <si>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</si>
  <si>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</si>
  <si>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</si>
  <si>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</si>
  <si>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</si>
  <si>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</si>
  <si>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</si>
  <si>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</si>
  <si>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</si>
  <si>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</si>
  <si>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</si>
  <si>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</si>
  <si>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</si>
  <si>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</si>
  <si>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</si>
  <si>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</si>
  <si>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</si>
  <si>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</si>
  <si>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</si>
  <si>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</si>
  <si>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</si>
  <si>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</si>
  <si>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</si>
  <si>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</si>
  <si>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</si>
  <si>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</si>
  <si>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</si>
  <si>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</si>
  <si>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</si>
  <si>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</si>
  <si>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</si>
  <si>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</si>
  <si>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</si>
  <si>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</si>
  <si>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</si>
  <si>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</si>
  <si>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</si>
  <si>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</si>
  <si>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</si>
  <si>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</si>
  <si>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</si>
  <si>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</si>
  <si>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</si>
  <si>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</si>
  <si>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</si>
  <si>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</si>
  <si>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</si>
  <si>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</si>
  <si>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</si>
  <si>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</si>
  <si>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</si>
  <si>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</si>
  <si>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</si>
  <si>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</si>
  <si>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</si>
  <si>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</si>
  <si>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</si>
  <si>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</si>
  <si>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</si>
  <si>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</si>
  <si>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</si>
  <si>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</si>
  <si>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</si>
  <si>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</si>
  <si>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</si>
  <si>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</si>
  <si>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</si>
  <si>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</si>
  <si>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</si>
  <si>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</si>
  <si>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</si>
  <si>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</si>
  <si>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</si>
  <si>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</si>
  <si>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</si>
  <si>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</si>
  <si>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</si>
  <si>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</si>
  <si>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</si>
  <si>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</si>
  <si>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</si>
  <si>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</si>
  <si>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</si>
  <si>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</si>
  <si>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</si>
  <si>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</si>
  <si>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</si>
  <si>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</si>
  <si>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</si>
  <si>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</si>
  <si>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</si>
  <si>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</si>
  <si>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</si>
  <si>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</si>
  <si>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</si>
  <si>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</si>
  <si>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</si>
  <si>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</si>
  <si>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</si>
  <si>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</si>
  <si>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</si>
  <si>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</si>
  <si>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</si>
  <si>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</si>
  <si>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</si>
  <si>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</si>
  <si>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</si>
  <si>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</si>
  <si>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</si>
  <si>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</si>
  <si>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</si>
  <si>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</si>
  <si>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</si>
  <si>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</si>
  <si>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</si>
  <si>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</si>
  <si>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</si>
  <si>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</si>
  <si>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</si>
  <si>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</si>
  <si>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</si>
  <si>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</si>
  <si>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</si>
  <si>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</si>
  <si>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</si>
  <si>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</si>
  <si>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</si>
  <si>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</si>
  <si>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</si>
  <si>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</si>
  <si>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</si>
  <si>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</si>
  <si>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</si>
  <si>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</si>
  <si>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</si>
  <si>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</si>
  <si>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</si>
  <si>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</si>
  <si>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</si>
  <si>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</si>
  <si>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</si>
  <si>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</si>
  <si>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</si>
  <si>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</si>
  <si>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</si>
  <si>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</si>
  <si>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</si>
  <si>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</si>
  <si>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</si>
  <si>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</si>
  <si>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</si>
  <si>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</si>
  <si>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</si>
  <si>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</si>
  <si>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</si>
  <si>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</si>
  <si>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</si>
  <si>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</si>
  <si>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</si>
  <si>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</si>
  <si>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</si>
  <si>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</si>
  <si>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</si>
  <si>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</si>
  <si>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</si>
  <si>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</si>
  <si>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</si>
  <si>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</si>
  <si>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</si>
  <si>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</si>
  <si>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</si>
  <si>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</si>
  <si>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</si>
  <si>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</si>
  <si>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</si>
  <si>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</si>
  <si>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</si>
  <si>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</si>
  <si>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</si>
  <si>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</si>
  <si>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</si>
  <si>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</si>
  <si>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</si>
  <si>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</si>
  <si>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</si>
  <si>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</si>
  <si>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</si>
  <si>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</si>
  <si>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</si>
  <si>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</si>
  <si>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</si>
  <si>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</si>
  <si>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</si>
  <si>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</si>
  <si>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</si>
  <si>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</si>
  <si>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</si>
  <si>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</si>
  <si>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</si>
  <si>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</si>
  <si>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</si>
  <si>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</si>
  <si>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</si>
  <si>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</si>
  <si>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</si>
  <si>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</si>
  <si>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</si>
  <si>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</si>
  <si>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</si>
  <si>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</si>
  <si>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</si>
  <si>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</si>
  <si>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</si>
  <si>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</si>
  <si>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</si>
  <si>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</si>
  <si>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</si>
  <si>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</si>
  <si>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</si>
  <si>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</si>
  <si>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</si>
  <si>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</si>
  <si>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</si>
  <si>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</si>
  <si>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</si>
  <si>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</si>
  <si>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</si>
  <si>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</si>
  <si>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</si>
  <si>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</si>
  <si>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</si>
  <si>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</si>
  <si>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</si>
  <si>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</si>
  <si>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</si>
  <si>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</si>
  <si>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</si>
  <si>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</si>
  <si>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</si>
  <si>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</si>
  <si>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</si>
  <si>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</si>
  <si>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</si>
  <si>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</si>
  <si>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</si>
  <si>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</si>
  <si>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</si>
  <si>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</si>
  <si>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</si>
  <si>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</si>
  <si>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</si>
  <si>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</si>
  <si>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</si>
  <si>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</si>
  <si>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</si>
  <si>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</si>
  <si>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</si>
  <si>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</si>
  <si>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</si>
  <si>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</si>
  <si>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</si>
  <si>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</si>
  <si>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</si>
  <si>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</si>
  <si>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</si>
  <si>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</si>
  <si>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</si>
  <si>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</si>
  <si>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</si>
  <si>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</si>
  <si>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</si>
  <si>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</si>
  <si>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</si>
  <si>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</si>
  <si>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</si>
  <si>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</si>
  <si>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</si>
  <si>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</si>
  <si>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</si>
  <si>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</si>
  <si>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</si>
  <si>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</si>
  <si>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</si>
  <si>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</si>
  <si>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</si>
  <si>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</si>
  <si>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</si>
  <si>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</si>
  <si>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</si>
  <si>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</si>
  <si>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</si>
  <si>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</si>
  <si>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</si>
  <si>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</si>
  <si>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</si>
  <si>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</si>
  <si>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</si>
  <si>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</si>
  <si>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</si>
  <si>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</si>
  <si>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</si>
  <si>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</si>
  <si>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</si>
  <si>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</si>
  <si>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</si>
  <si>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</si>
  <si>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</si>
  <si>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</si>
  <si>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</si>
  <si>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</si>
  <si>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</si>
  <si>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</si>
  <si>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</si>
  <si>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</si>
  <si>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</si>
  <si>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</si>
  <si>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</si>
  <si>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</si>
  <si>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</si>
  <si>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</si>
  <si>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</si>
  <si>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</si>
  <si>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</si>
  <si>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</si>
  <si>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</si>
  <si>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</si>
  <si>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</si>
  <si>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</si>
  <si>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</si>
  <si>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</si>
  <si>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</si>
  <si>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</si>
  <si>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</si>
  <si>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</si>
  <si>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</si>
  <si>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</si>
  <si>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</si>
  <si>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</si>
  <si>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</si>
  <si>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</si>
  <si>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</si>
  <si>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</si>
  <si>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</si>
  <si>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</si>
  <si>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</si>
  <si>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</si>
  <si>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</si>
  <si>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</si>
  <si>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</si>
  <si>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</si>
  <si>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</si>
  <si>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</si>
  <si>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</si>
  <si>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</si>
  <si>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</si>
  <si>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</si>
  <si>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</si>
  <si>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</si>
  <si>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</si>
  <si>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</si>
  <si>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</si>
  <si>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</si>
  <si>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</si>
  <si>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</si>
  <si>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</si>
  <si>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</si>
  <si>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</si>
  <si>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</si>
  <si>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</si>
  <si>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</si>
  <si>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</si>
  <si>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</si>
  <si>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</si>
  <si>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</si>
  <si>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</si>
  <si>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</si>
  <si>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</si>
  <si>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</si>
  <si>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</si>
  <si>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</si>
  <si>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</si>
  <si>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</si>
  <si>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</si>
  <si>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</si>
  <si>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</si>
  <si>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</si>
  <si>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</si>
  <si>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</si>
  <si>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</si>
  <si>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</si>
  <si>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</si>
  <si>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</si>
  <si>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</si>
  <si>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</si>
  <si>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</si>
  <si>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</si>
  <si>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</si>
  <si>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</si>
  <si>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</si>
  <si>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</si>
  <si>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</si>
  <si>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</si>
  <si>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</si>
  <si>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</si>
  <si>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</si>
  <si>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</si>
  <si>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</si>
  <si>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</si>
  <si>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</si>
  <si>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</si>
  <si>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</si>
  <si>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</si>
  <si>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</si>
  <si>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</si>
  <si>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</si>
  <si>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</si>
  <si>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</si>
  <si>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</si>
  <si>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</si>
  <si>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</si>
  <si>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</si>
  <si>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</si>
  <si>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</si>
  <si>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</si>
  <si>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</si>
  <si>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</si>
  <si>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</si>
  <si>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</si>
  <si>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</si>
  <si>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</si>
  <si>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</si>
  <si>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</si>
  <si>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</si>
  <si>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</si>
  <si>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</si>
  <si>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</si>
  <si>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</si>
  <si>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</si>
  <si>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</si>
  <si>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</si>
  <si>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</si>
  <si>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</si>
  <si>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</si>
  <si>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</si>
  <si>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</si>
  <si>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</si>
  <si>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</si>
  <si>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</si>
  <si>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</si>
  <si>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</si>
  <si>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</si>
  <si>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</si>
  <si>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</si>
  <si>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</si>
  <si>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</si>
  <si>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</si>
  <si>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</si>
  <si>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</si>
  <si>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</si>
  <si>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</si>
  <si>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</si>
  <si>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</si>
  <si>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</si>
  <si>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</si>
  <si>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</si>
  <si>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</si>
  <si>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</si>
  <si>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</si>
  <si>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</si>
  <si>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</si>
  <si>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</si>
  <si>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</si>
  <si>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</si>
  <si>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</si>
  <si>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</si>
  <si>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</si>
  <si>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</si>
  <si>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</si>
  <si>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</si>
  <si>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</si>
  <si>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</si>
  <si>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</si>
  <si>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</si>
  <si>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</si>
  <si>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</si>
  <si>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</si>
  <si>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</si>
  <si>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</si>
  <si>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</si>
  <si>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</si>
  <si>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</si>
  <si>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</si>
  <si>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</si>
  <si>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</si>
  <si>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</si>
  <si>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</si>
  <si>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</si>
  <si>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</si>
  <si>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</si>
  <si>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</si>
  <si>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</si>
  <si>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</si>
  <si>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</si>
  <si>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</si>
  <si>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</si>
  <si>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</si>
  <si>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</si>
  <si>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</si>
  <si>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</si>
  <si>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</si>
  <si>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</si>
  <si>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</si>
  <si>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</si>
  <si>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</si>
  <si>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</si>
  <si>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</si>
  <si>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</si>
  <si>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</si>
  <si>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</si>
  <si>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</si>
  <si>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</si>
  <si>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</si>
  <si>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</si>
  <si>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</si>
  <si>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</si>
  <si>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</si>
  <si>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</si>
  <si>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</si>
  <si>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</si>
  <si>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</si>
  <si>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</si>
  <si>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</si>
  <si>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</si>
  <si>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</si>
  <si>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</si>
  <si>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</si>
  <si>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</si>
  <si>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</si>
  <si>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</si>
  <si>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</si>
  <si>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</si>
  <si>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</si>
  <si>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</si>
  <si>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</si>
  <si>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</si>
  <si>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</si>
  <si>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</si>
  <si>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</si>
  <si>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</si>
  <si>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</si>
  <si>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</si>
  <si>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</si>
  <si>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</si>
  <si>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</si>
  <si>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</si>
  <si>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</si>
  <si>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</si>
  <si>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</si>
  <si>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</si>
  <si>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</si>
  <si>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</si>
  <si>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</si>
  <si>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</si>
  <si>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</si>
  <si>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</si>
  <si>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</si>
  <si>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</si>
  <si>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</si>
  <si>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</si>
  <si>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</si>
  <si>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</si>
  <si>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</si>
  <si>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</si>
  <si>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</si>
  <si>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</si>
  <si>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</si>
  <si>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</si>
  <si>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</si>
  <si>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</si>
  <si>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</si>
  <si>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</si>
  <si>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</si>
  <si>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</si>
  <si>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</si>
  <si>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</si>
  <si>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</si>
  <si>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</si>
  <si>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</si>
  <si>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</si>
  <si>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</si>
  <si>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</si>
  <si>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</si>
  <si>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</si>
  <si>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</si>
  <si>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</si>
  <si>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</si>
  <si>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</si>
  <si>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</si>
  <si>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</si>
  <si>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</si>
  <si>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</si>
  <si>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</si>
  <si>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</si>
  <si>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</si>
  <si>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</si>
  <si>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</si>
  <si>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</si>
  <si>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</si>
  <si>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</si>
  <si>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</si>
  <si>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</si>
  <si>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</si>
  <si>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</si>
  <si>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</si>
  <si>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</si>
  <si>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</si>
  <si>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</si>
  <si>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</si>
  <si>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</si>
  <si>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</si>
  <si>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</si>
  <si>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</si>
  <si>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</si>
  <si>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</si>
  <si>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</si>
  <si>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</si>
  <si>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</si>
  <si>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</si>
  <si>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</si>
  <si>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</si>
  <si>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</si>
  <si>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</si>
  <si>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</si>
  <si>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</si>
  <si>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</si>
  <si>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</si>
  <si>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</si>
  <si>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</si>
  <si>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</si>
  <si>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</si>
  <si>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</si>
  <si>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</si>
  <si>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</si>
  <si>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</si>
  <si>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</si>
  <si>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</si>
  <si>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</si>
  <si>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</si>
  <si>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</si>
  <si>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</si>
  <si>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</si>
  <si>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</si>
  <si>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</si>
  <si>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</si>
  <si>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</si>
  <si>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</si>
  <si>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</si>
  <si>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</si>
  <si>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</si>
  <si>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</si>
  <si>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</si>
  <si>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</si>
  <si>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</si>
  <si>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</si>
  <si>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</si>
  <si>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</si>
  <si>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</si>
  <si>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</si>
  <si>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</si>
  <si>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</si>
  <si>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</si>
  <si>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</si>
  <si>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</si>
  <si>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</si>
  <si>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</si>
  <si>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</si>
  <si>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</si>
  <si>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</si>
  <si>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</si>
  <si>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</si>
  <si>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</si>
  <si>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</si>
  <si>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</si>
  <si>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</si>
  <si>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</si>
  <si>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</si>
  <si>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</si>
  <si>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</si>
  <si>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</si>
  <si>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</si>
  <si>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</si>
  <si>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</si>
  <si>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</si>
  <si>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</si>
  <si>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</si>
  <si>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</si>
  <si>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</si>
  <si>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</si>
  <si>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</si>
  <si>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</si>
  <si>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</si>
  <si>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</si>
  <si>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</si>
  <si>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</si>
  <si>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</si>
  <si>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</si>
  <si>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</si>
  <si>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</si>
  <si>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</si>
  <si>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</si>
  <si>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</si>
  <si>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</si>
  <si>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</si>
  <si>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</si>
  <si>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</si>
  <si>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</si>
  <si>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</si>
  <si>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</si>
  <si>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</si>
  <si>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</si>
  <si>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</si>
  <si>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</si>
  <si>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</si>
  <si>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</si>
  <si>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</si>
  <si>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</si>
  <si>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</si>
  <si>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</si>
  <si>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</si>
  <si>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</si>
  <si>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</si>
  <si>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</si>
  <si>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</si>
  <si>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</si>
  <si>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</si>
  <si>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</si>
  <si>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</si>
  <si>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</si>
  <si>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</si>
  <si>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</si>
  <si>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</si>
  <si>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</si>
  <si>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</si>
  <si>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</si>
  <si>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</si>
  <si>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</si>
  <si>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</si>
  <si>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</si>
  <si>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</si>
  <si>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</si>
  <si>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</si>
  <si>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</si>
  <si>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</si>
  <si>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</si>
  <si>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</si>
  <si>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</si>
  <si>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</si>
  <si>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</si>
  <si>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</si>
  <si>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</si>
  <si>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</si>
  <si>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</si>
  <si>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</si>
  <si>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</si>
  <si>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</si>
  <si>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</si>
  <si>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</si>
  <si>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</si>
  <si>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</si>
  <si>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</si>
  <si>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</si>
  <si>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</si>
  <si>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</si>
  <si>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</si>
  <si>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</si>
  <si>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</si>
  <si>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</si>
  <si>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</si>
  <si>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</si>
  <si>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</si>
  <si>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</si>
  <si>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</si>
  <si>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</si>
  <si>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</si>
  <si>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</si>
  <si>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</si>
  <si>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</si>
  <si>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</si>
  <si>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</si>
  <si>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</si>
  <si>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</si>
  <si>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</si>
  <si>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</si>
  <si>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</si>
  <si>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</si>
  <si>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</si>
  <si>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</si>
  <si>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</si>
  <si>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</si>
  <si>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</si>
  <si>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</si>
  <si>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</si>
  <si>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</si>
  <si>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</si>
  <si>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</si>
  <si>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</si>
  <si>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</si>
  <si>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</si>
  <si>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</si>
  <si>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</si>
  <si>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</si>
  <si>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</si>
  <si>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</si>
  <si>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</si>
  <si>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</si>
  <si>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</si>
  <si>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</si>
  <si>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</si>
  <si>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</si>
  <si>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</si>
  <si>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</si>
  <si>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</si>
  <si>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</si>
  <si>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</si>
  <si>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</si>
  <si>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</si>
  <si>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</si>
  <si>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</si>
  <si>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</si>
  <si>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</si>
  <si>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</si>
  <si>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</si>
  <si>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</si>
  <si>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</si>
  <si>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</si>
  <si>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</si>
  <si>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</si>
  <si>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</si>
  <si>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</si>
  <si>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</si>
  <si>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</si>
  <si>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</si>
  <si>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</si>
  <si>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</si>
  <si>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</si>
  <si>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</si>
  <si>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</si>
  <si>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</si>
  <si>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</si>
  <si>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</si>
  <si>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</si>
  <si>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</si>
  <si>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</si>
  <si>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</si>
  <si>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</si>
  <si>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</si>
  <si>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</si>
  <si>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</si>
  <si>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</si>
  <si>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</si>
  <si>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</si>
  <si>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</si>
  <si>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</si>
  <si>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</si>
  <si>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</si>
  <si>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</si>
  <si>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</si>
  <si>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</si>
  <si>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</si>
  <si>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</si>
  <si>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</si>
  <si>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</si>
  <si>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</si>
  <si>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</si>
  <si>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</si>
  <si>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</si>
  <si>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</si>
  <si>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</si>
  <si>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</si>
  <si>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</si>
  <si>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</si>
  <si>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</si>
  <si>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</si>
  <si>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</si>
  <si>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</si>
  <si>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</si>
  <si>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</si>
  <si>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</si>
  <si>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</si>
  <si>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</si>
  <si>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</si>
  <si>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</si>
  <si>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</si>
  <si>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</si>
  <si>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</si>
  <si>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</si>
  <si>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</si>
  <si>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</si>
  <si>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</si>
  <si>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</si>
  <si>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</si>
  <si>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</si>
  <si>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</si>
  <si>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</si>
  <si>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</si>
  <si>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</si>
  <si>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</si>
  <si>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</si>
  <si>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</si>
  <si>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</si>
  <si>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</si>
  <si>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</si>
  <si>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</si>
  <si>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</si>
  <si>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</si>
  <si>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</si>
  <si>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</si>
  <si>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</si>
  <si>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</si>
  <si>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</si>
  <si>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</si>
  <si>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</si>
  <si>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</si>
  <si>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</si>
  <si>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</si>
  <si>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</si>
  <si>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</si>
  <si>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</si>
  <si>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</si>
  <si>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</si>
  <si>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</si>
  <si>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</si>
  <si>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</si>
  <si>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</si>
  <si>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</si>
  <si>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</si>
  <si>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</si>
  <si>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</si>
  <si>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</si>
  <si>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</si>
  <si>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</si>
  <si>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</si>
  <si>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</si>
  <si>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</si>
  <si>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</si>
  <si>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</si>
  <si>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</si>
  <si>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</si>
  <si>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</si>
  <si>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</si>
  <si>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</si>
  <si>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</si>
  <si>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</si>
  <si>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</si>
  <si>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</si>
  <si>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</si>
  <si>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</si>
  <si>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</si>
  <si>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</si>
  <si>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</si>
  <si>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</si>
  <si>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</si>
  <si>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</si>
  <si>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</si>
  <si>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</si>
  <si>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</si>
  <si>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</si>
  <si>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</si>
  <si>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</si>
  <si>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</si>
  <si>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</si>
  <si>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</si>
  <si>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</si>
  <si>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</si>
  <si>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</si>
  <si>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</si>
  <si>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</si>
  <si>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</si>
  <si>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</si>
  <si>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</si>
  <si>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</si>
  <si>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</si>
  <si>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</si>
  <si>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</si>
  <si>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</si>
  <si>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</si>
  <si>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</si>
  <si>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</si>
  <si>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</si>
  <si>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</si>
  <si>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</si>
  <si>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</si>
  <si>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</si>
  <si>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</si>
  <si>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</si>
  <si>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</si>
  <si>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</si>
  <si>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</si>
  <si>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</si>
  <si>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</si>
  <si>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</si>
  <si>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</si>
  <si>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</si>
  <si>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</si>
  <si>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</si>
  <si>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</si>
  <si>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</si>
  <si>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</si>
  <si>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</si>
  <si>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</si>
  <si>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</si>
  <si>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</si>
  <si>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</si>
  <si>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</si>
  <si>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</si>
  <si>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</si>
  <si>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</si>
  <si>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</si>
  <si>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</si>
  <si>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</si>
  <si>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</si>
  <si>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</si>
  <si>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</si>
  <si>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</si>
  <si>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</si>
  <si>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</si>
  <si>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</si>
  <si>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</si>
  <si>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</si>
  <si>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</si>
  <si>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</si>
  <si>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</si>
  <si>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</si>
  <si>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</si>
  <si>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</si>
  <si>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</si>
  <si>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</si>
  <si>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</si>
  <si>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</si>
  <si>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</si>
  <si>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</si>
  <si>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</si>
  <si>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</si>
  <si>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</si>
  <si>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</si>
  <si>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</si>
  <si>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</si>
  <si>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</si>
  <si>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</si>
  <si>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</si>
  <si>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</si>
  <si>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</si>
  <si>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</si>
  <si>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</si>
  <si>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</si>
  <si>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</si>
  <si>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</si>
  <si>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</si>
  <si>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</si>
  <si>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</si>
  <si>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</si>
  <si>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</si>
  <si>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</si>
  <si>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</si>
  <si>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</si>
  <si>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</si>
  <si>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</si>
  <si>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</si>
  <si>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</si>
  <si>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</si>
  <si>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</si>
  <si>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</si>
  <si>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</si>
  <si>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</si>
  <si>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</si>
  <si>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</si>
  <si>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</si>
  <si>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</si>
  <si>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</si>
  <si>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</si>
  <si>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</si>
  <si>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</si>
  <si>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</si>
  <si>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</si>
  <si>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</si>
  <si>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</si>
  <si>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</si>
  <si>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</si>
  <si>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</si>
  <si>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</si>
  <si>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</si>
  <si>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</si>
  <si>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</si>
  <si>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</si>
  <si>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</si>
  <si>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</si>
  <si>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</si>
  <si>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</si>
  <si>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</si>
  <si>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</si>
  <si>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</si>
  <si>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</si>
  <si>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</si>
  <si>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</si>
  <si>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</si>
  <si>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</si>
  <si>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</si>
  <si>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</si>
  <si>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</si>
  <si>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</si>
  <si>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</si>
  <si>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</si>
  <si>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</si>
  <si>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</si>
  <si>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</si>
  <si>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</si>
  <si>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</si>
  <si>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</si>
  <si>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</si>
  <si>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</si>
  <si>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</si>
  <si>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</si>
  <si>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</si>
  <si>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</si>
  <si>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</si>
  <si>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</si>
  <si>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</si>
  <si>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</si>
  <si>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</si>
  <si>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</si>
  <si>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</si>
  <si>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</si>
  <si>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</si>
  <si>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</si>
  <si>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</si>
  <si>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</si>
  <si>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</si>
  <si>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</si>
  <si>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</si>
  <si>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</si>
  <si>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</si>
  <si>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</si>
  <si>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</si>
  <si>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</si>
  <si>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</si>
  <si>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</si>
  <si>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</si>
  <si>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</si>
  <si>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</si>
  <si>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</si>
  <si>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</si>
  <si>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</si>
  <si>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</si>
  <si>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</si>
  <si>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</si>
  <si>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</si>
  <si>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</si>
  <si>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</si>
  <si>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</si>
  <si>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</si>
  <si>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</si>
  <si>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</si>
  <si>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</si>
  <si>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</si>
  <si>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</si>
  <si>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</si>
  <si>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</si>
  <si>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</si>
  <si>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</si>
  <si>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</si>
  <si>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</si>
  <si>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</si>
  <si>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</si>
  <si>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</si>
  <si>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</si>
  <si>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</si>
  <si>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</si>
  <si>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</si>
  <si>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</si>
  <si>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</si>
  <si>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</si>
  <si>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</si>
  <si>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</si>
  <si>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</si>
  <si>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</si>
  <si>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</si>
  <si>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</si>
  <si>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</si>
  <si>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</si>
  <si>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</si>
  <si>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</si>
  <si>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</si>
  <si>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</si>
  <si>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</si>
  <si>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</si>
  <si>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</si>
  <si>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</si>
  <si>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</si>
  <si>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</si>
  <si>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</si>
  <si>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</si>
  <si>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</si>
  <si>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</si>
  <si>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</si>
  <si>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</si>
  <si>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</si>
  <si>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</si>
  <si>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</si>
  <si>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</si>
  <si>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</si>
  <si>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</si>
  <si>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</si>
  <si>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</si>
  <si>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</si>
  <si>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</si>
  <si>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</si>
  <si>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</si>
  <si>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</si>
  <si>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</si>
  <si>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</si>
  <si>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</si>
  <si>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</si>
  <si>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</si>
  <si>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</si>
  <si>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</si>
  <si>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</si>
  <si>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</si>
  <si>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</si>
  <si>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</si>
  <si>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</si>
  <si>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</si>
  <si>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</si>
  <si>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</si>
  <si>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</si>
  <si>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</si>
  <si>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</si>
  <si>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</si>
  <si>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</si>
  <si>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</si>
  <si>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</si>
  <si>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</si>
  <si>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</si>
  <si>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</si>
  <si>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</si>
  <si>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</si>
  <si>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</si>
  <si>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</si>
  <si>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</si>
  <si>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</si>
  <si>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</si>
  <si>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</si>
  <si>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</si>
  <si>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</si>
  <si>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</si>
  <si>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</si>
  <si>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</si>
  <si>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</si>
  <si>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</si>
  <si>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</si>
  <si>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</si>
  <si>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</si>
  <si>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</si>
  <si>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</si>
  <si>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</si>
  <si>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</si>
  <si>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</si>
  <si>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</si>
  <si>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</si>
  <si>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</si>
  <si>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</si>
  <si>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</si>
  <si>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</si>
  <si>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</si>
  <si>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</si>
  <si>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</si>
  <si>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</si>
  <si>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</si>
  <si>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</si>
  <si>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</si>
  <si>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</si>
  <si>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</si>
  <si>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</si>
  <si>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</si>
  <si>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</si>
  <si>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</si>
  <si>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</si>
  <si>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</si>
  <si>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</si>
  <si>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</si>
  <si>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</si>
  <si>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</si>
  <si>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</si>
  <si>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</si>
  <si>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</si>
  <si>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</si>
  <si>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</si>
  <si>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</si>
  <si>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</si>
  <si>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</si>
  <si>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</si>
  <si>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</si>
  <si>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</si>
  <si>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</si>
  <si>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</si>
  <si>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</si>
  <si>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</si>
  <si>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</si>
  <si>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</si>
  <si>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</si>
  <si>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</si>
  <si>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</si>
  <si>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</si>
  <si>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</si>
  <si>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</si>
  <si>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</si>
  <si>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</si>
  <si>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</si>
  <si>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</si>
  <si>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</si>
  <si>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</si>
  <si>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</si>
  <si>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</si>
  <si>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</si>
  <si>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</si>
  <si>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</si>
  <si>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</si>
  <si>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</si>
  <si>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</si>
  <si>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</si>
  <si>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</si>
  <si>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</si>
  <si>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</si>
  <si>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</si>
  <si>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</si>
  <si>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</si>
  <si>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</si>
  <si>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</si>
  <si>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</si>
  <si>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</si>
  <si>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</si>
  <si>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</si>
  <si>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</si>
  <si>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</si>
  <si>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</si>
  <si>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</si>
  <si>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</si>
  <si>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</si>
  <si>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</si>
  <si>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</si>
  <si>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</si>
  <si>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</si>
  <si>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</si>
  <si>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</si>
  <si>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</si>
  <si>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</si>
  <si>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</si>
  <si>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</si>
  <si>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</si>
  <si>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</si>
  <si>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</si>
  <si>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</si>
  <si>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</si>
  <si>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</si>
  <si>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</si>
  <si>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</si>
  <si>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</si>
  <si>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</si>
  <si>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</si>
  <si>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</si>
  <si>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</si>
  <si>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</si>
  <si>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</si>
  <si>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</si>
  <si>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</si>
  <si>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</si>
  <si>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</si>
  <si>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</si>
  <si>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</si>
  <si>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</si>
  <si>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</si>
  <si>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</si>
  <si>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</si>
  <si>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</si>
  <si>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</si>
  <si>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</si>
  <si>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</si>
  <si>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</si>
  <si>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</si>
  <si>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</si>
  <si>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</si>
  <si>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</si>
  <si>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</si>
  <si>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</si>
  <si>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</si>
  <si>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</si>
  <si>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</si>
  <si>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</si>
  <si>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</si>
  <si>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</si>
  <si>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</si>
  <si>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</si>
  <si>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</si>
  <si>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</si>
  <si>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</si>
  <si>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</si>
  <si>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</si>
  <si>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</si>
  <si>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</si>
  <si>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</si>
  <si>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</si>
  <si>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</si>
  <si>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</si>
  <si>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</si>
  <si>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</si>
  <si>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</si>
  <si>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</si>
  <si>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</si>
  <si>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</si>
  <si>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</si>
  <si>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</si>
  <si>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</si>
  <si>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</si>
  <si>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</si>
  <si>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</si>
  <si>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</si>
  <si>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</si>
  <si>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</si>
  <si>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</si>
  <si>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</si>
  <si>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</si>
  <si>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</si>
  <si>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</si>
  <si>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</si>
  <si>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</si>
  <si>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</si>
  <si>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</si>
  <si>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</si>
  <si>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</si>
  <si>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</si>
  <si>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</si>
  <si>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</si>
  <si>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</si>
  <si>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</si>
  <si>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</si>
  <si>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</si>
  <si>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</si>
  <si>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</si>
  <si>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</si>
  <si>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</si>
  <si>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</si>
  <si>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</si>
  <si>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</si>
  <si>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</si>
  <si>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</si>
  <si>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</si>
  <si>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</si>
  <si>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</si>
  <si>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</si>
  <si>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</si>
  <si>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</si>
  <si>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</si>
  <si>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</si>
  <si>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</si>
  <si>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</si>
  <si>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</si>
  <si>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</si>
  <si>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</si>
  <si>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</si>
  <si>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</si>
  <si>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</si>
  <si>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</si>
  <si>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</si>
  <si>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</si>
  <si>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</si>
  <si>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</si>
  <si>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</si>
  <si>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</si>
  <si>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</si>
  <si>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</si>
  <si>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</si>
  <si>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</si>
  <si>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</si>
  <si>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</si>
  <si>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</si>
  <si>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</si>
  <si>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</si>
  <si>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</si>
  <si>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</si>
  <si>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</si>
  <si>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</si>
  <si>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</si>
  <si>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</si>
  <si>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</si>
  <si>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</si>
  <si>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</si>
  <si>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</si>
  <si>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</si>
  <si>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</si>
  <si>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</si>
  <si>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</si>
  <si>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</si>
  <si>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</si>
  <si>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</si>
  <si>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</si>
  <si>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</si>
  <si>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</si>
  <si>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</si>
  <si>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</si>
  <si>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</si>
  <si>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</si>
  <si>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</si>
  <si>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</si>
  <si>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</si>
  <si>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</si>
  <si>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</si>
  <si>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</si>
  <si>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</si>
  <si>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</si>
  <si>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</si>
  <si>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</si>
  <si>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</si>
  <si>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</si>
  <si>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</si>
  <si>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</si>
  <si>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</si>
  <si>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</si>
  <si>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</si>
  <si>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</si>
  <si>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</si>
  <si>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</si>
  <si>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</si>
  <si>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</si>
  <si>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</si>
  <si>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</si>
  <si>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</si>
  <si>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</si>
  <si>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</si>
  <si>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</si>
  <si>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</si>
  <si>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</si>
  <si>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</si>
  <si>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</si>
  <si>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</si>
  <si>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</si>
  <si>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</si>
  <si>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</si>
  <si>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</si>
  <si>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</si>
  <si>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</si>
  <si>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</si>
  <si>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</si>
  <si>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</si>
  <si>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</si>
  <si>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</si>
  <si>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</si>
  <si>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</si>
  <si>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</si>
  <si>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</si>
  <si>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</si>
  <si>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</si>
  <si>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</si>
  <si>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</si>
  <si>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</si>
  <si>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</si>
  <si>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</si>
  <si>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</si>
  <si>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</si>
  <si>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</si>
  <si>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</si>
  <si>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</si>
  <si>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</si>
  <si>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</si>
  <si>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</si>
  <si>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</si>
  <si>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</si>
  <si>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</si>
  <si>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</si>
  <si>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</si>
  <si>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</si>
  <si>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</si>
  <si>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</si>
  <si>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</si>
  <si>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</si>
  <si>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</si>
  <si>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</si>
  <si>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</si>
  <si>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</si>
  <si>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</si>
  <si>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</si>
  <si>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</si>
  <si>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</si>
  <si>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</si>
  <si>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</si>
  <si>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</si>
  <si>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</si>
  <si>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</si>
  <si>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</si>
  <si>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</si>
  <si>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</si>
  <si>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</si>
  <si>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</si>
  <si>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</si>
  <si>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</si>
  <si>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</si>
  <si>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</si>
  <si>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</si>
  <si>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</si>
  <si>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</si>
  <si>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</si>
  <si>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</si>
  <si>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</si>
  <si>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</si>
  <si>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</si>
  <si>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</si>
  <si>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</si>
  <si>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</si>
  <si>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</si>
  <si>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</si>
  <si>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</si>
  <si>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</si>
  <si>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</si>
  <si>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</si>
  <si>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</si>
  <si>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</si>
  <si>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</si>
  <si>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</si>
  <si>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</si>
  <si>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</si>
  <si>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</si>
  <si>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</si>
  <si>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</si>
  <si>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</si>
  <si>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</si>
  <si>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</si>
  <si>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</si>
  <si>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</si>
  <si>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</si>
  <si>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</si>
  <si>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</si>
  <si>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</si>
  <si>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</si>
  <si>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</si>
  <si>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</si>
  <si>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</si>
  <si>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</si>
  <si>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</si>
  <si>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</si>
  <si>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</si>
  <si>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</si>
  <si>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</si>
  <si>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</si>
  <si>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</si>
  <si>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</si>
  <si>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</si>
  <si>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</si>
  <si>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</si>
  <si>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</si>
  <si>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</si>
  <si>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</si>
  <si>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</si>
  <si>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</si>
  <si>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</si>
  <si>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</si>
  <si>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</si>
  <si>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</si>
  <si>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</si>
  <si>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</si>
  <si>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</si>
  <si>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</si>
  <si>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</si>
  <si>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</si>
  <si>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</si>
  <si>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</si>
  <si>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</si>
  <si>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</si>
  <si>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</si>
  <si>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</si>
  <si>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</si>
  <si>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</si>
  <si>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</si>
  <si>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</si>
  <si>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</si>
  <si>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</si>
  <si>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</si>
  <si>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</si>
  <si>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</si>
  <si>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</si>
  <si>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</si>
  <si>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</si>
  <si>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</si>
  <si>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</si>
  <si>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</si>
  <si>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</si>
  <si>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</si>
  <si>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</si>
  <si>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</si>
  <si>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</si>
  <si>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</si>
  <si>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</si>
  <si>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</si>
  <si>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</si>
  <si>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</si>
  <si>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</si>
  <si>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</si>
  <si>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</si>
  <si>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</si>
  <si>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</si>
  <si>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</si>
  <si>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</si>
  <si>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</si>
  <si>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</si>
  <si>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</si>
  <si>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</si>
  <si>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</si>
  <si>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</si>
  <si>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</si>
  <si>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</si>
  <si>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</si>
  <si>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</si>
  <si>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</si>
  <si>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</si>
  <si>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</si>
  <si>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</si>
  <si>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</si>
  <si>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</si>
  <si>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</si>
  <si>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</si>
  <si>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</si>
  <si>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</si>
  <si>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</si>
  <si>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</si>
  <si>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</si>
  <si>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</si>
  <si>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</si>
  <si>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</si>
  <si>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</si>
  <si>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</si>
  <si>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</si>
  <si>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</si>
  <si>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</si>
  <si>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</si>
  <si>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</si>
  <si>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</si>
  <si>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</si>
  <si>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</si>
  <si>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</si>
  <si>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</si>
  <si>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</si>
  <si>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</si>
  <si>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</si>
  <si>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</si>
  <si>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</si>
  <si>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</si>
  <si>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</si>
  <si>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</si>
  <si>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</si>
  <si>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</si>
  <si>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</si>
  <si>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</si>
  <si>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</si>
  <si>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</si>
  <si>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</si>
  <si>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</si>
  <si>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</si>
  <si>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</si>
  <si>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</si>
  <si>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</si>
  <si>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</si>
  <si>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</si>
  <si>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</si>
  <si>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</si>
  <si>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</si>
  <si>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</si>
  <si>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</si>
  <si>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</si>
  <si>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</si>
  <si>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</si>
  <si>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</si>
  <si>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</si>
  <si>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</si>
  <si>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</si>
  <si>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</si>
  <si>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</si>
  <si>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</si>
  <si>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</si>
  <si>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</si>
  <si>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</si>
  <si>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</si>
  <si>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</si>
  <si>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</si>
  <si>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</si>
  <si>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</si>
  <si>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</si>
  <si>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</si>
  <si>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</si>
  <si>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</si>
  <si>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</si>
  <si>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</si>
  <si>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</si>
  <si>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</si>
  <si>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</si>
  <si>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</si>
  <si>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</si>
  <si>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</si>
  <si>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</si>
  <si>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</si>
  <si>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</si>
  <si>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</si>
  <si>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</si>
  <si>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</si>
  <si>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</si>
  <si>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</si>
  <si>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</si>
  <si>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</si>
  <si>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</si>
  <si>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</si>
  <si>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</si>
  <si>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</si>
  <si>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</si>
  <si>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</si>
  <si>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</si>
  <si>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</si>
  <si>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</si>
  <si>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</si>
  <si>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</si>
  <si>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</si>
  <si>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</si>
  <si>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</si>
  <si>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</si>
  <si>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</si>
  <si>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</si>
  <si>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</si>
  <si>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</si>
  <si>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</si>
  <si>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</si>
  <si>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</si>
  <si>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</si>
  <si>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</si>
  <si>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</si>
  <si>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</si>
  <si>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</si>
  <si>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</si>
  <si>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</si>
  <si>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</si>
  <si>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</si>
  <si>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</si>
  <si>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</si>
  <si>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</si>
  <si>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</si>
  <si>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</si>
  <si>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</si>
  <si>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</si>
  <si>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</si>
  <si>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</si>
  <si>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</si>
  <si>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</si>
  <si>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</si>
  <si>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</si>
  <si>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</si>
  <si>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</si>
  <si>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</si>
  <si>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</si>
  <si>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</si>
  <si>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</si>
  <si>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</si>
  <si>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</si>
  <si>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</si>
  <si>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</si>
  <si>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</si>
  <si>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</si>
  <si>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</si>
  <si>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</si>
  <si>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</si>
  <si>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</si>
  <si>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</si>
  <si>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</si>
  <si>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</si>
  <si>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</si>
  <si>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</si>
  <si>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</si>
  <si>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</si>
  <si>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</si>
  <si>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</si>
  <si>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</si>
  <si>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</si>
  <si>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</si>
  <si>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</si>
  <si>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</si>
  <si>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</si>
  <si>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</si>
  <si>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</si>
  <si>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</si>
  <si>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</si>
  <si>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</si>
  <si>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</si>
  <si>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</si>
  <si>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</si>
  <si>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</si>
  <si>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</si>
  <si>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</si>
  <si>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</si>
  <si>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</si>
  <si>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</si>
  <si>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</si>
  <si>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</si>
  <si>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</si>
  <si>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</si>
  <si>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</si>
  <si>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</si>
  <si>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</si>
  <si>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</si>
  <si>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</si>
  <si>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</si>
  <si>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</si>
  <si>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</si>
  <si>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</si>
  <si>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</si>
  <si>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</si>
  <si>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</si>
  <si>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</si>
  <si>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</si>
  <si>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</si>
  <si>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</si>
  <si>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</si>
  <si>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</si>
  <si>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</si>
  <si>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</si>
  <si>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</si>
  <si>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</si>
  <si>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</si>
  <si>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</si>
  <si>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</si>
  <si>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</si>
  <si>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</si>
  <si>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</si>
  <si>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</si>
  <si>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</si>
  <si>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</si>
  <si>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</si>
  <si>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</si>
  <si>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</si>
  <si>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</si>
  <si>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</si>
  <si>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</si>
  <si>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</si>
  <si>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</si>
  <si>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</si>
  <si>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</si>
  <si>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</si>
  <si>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</si>
  <si>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</si>
  <si>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</si>
  <si>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</si>
  <si>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</si>
  <si>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</si>
  <si>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</si>
  <si>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</si>
  <si>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</si>
  <si>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</si>
  <si>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</si>
  <si>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</si>
  <si>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</si>
  <si>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</si>
  <si>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</si>
  <si>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</si>
  <si>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</si>
  <si>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</si>
  <si>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</si>
  <si>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</si>
  <si>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</si>
  <si>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</si>
  <si>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</si>
  <si>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</si>
  <si>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</si>
  <si>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</si>
  <si>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</si>
  <si>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</si>
  <si>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</si>
  <si>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</si>
  <si>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</si>
  <si>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</si>
  <si>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</si>
  <si>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</si>
  <si>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</si>
  <si>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</si>
  <si>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</si>
  <si>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</si>
  <si>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</si>
  <si>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</si>
  <si>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</si>
  <si>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</si>
  <si>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</si>
  <si>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</si>
  <si>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</si>
  <si>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</si>
  <si>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</si>
  <si>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</si>
  <si>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</si>
  <si>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</si>
  <si>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</si>
  <si>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</si>
  <si>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</si>
  <si>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</si>
  <si>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</si>
  <si>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</si>
  <si>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</si>
  <si>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</si>
  <si>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</si>
  <si>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</si>
  <si>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</si>
  <si>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</si>
  <si>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</si>
  <si>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</si>
  <si>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</si>
  <si>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</si>
  <si>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</si>
  <si>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</si>
  <si>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</si>
  <si>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</si>
  <si>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</si>
  <si>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</si>
  <si>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</si>
  <si>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</si>
  <si>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</si>
  <si>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</si>
  <si>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</si>
  <si>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</si>
  <si>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</si>
  <si>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</si>
  <si>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</si>
  <si>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</si>
  <si>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</si>
  <si>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</si>
  <si>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</si>
  <si>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</si>
  <si>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</si>
  <si>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</si>
  <si>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</si>
  <si>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</si>
  <si>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</si>
  <si>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</si>
  <si>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</si>
  <si>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</si>
  <si>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</si>
  <si>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</si>
  <si>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</si>
  <si>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</si>
  <si>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</si>
  <si>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</si>
  <si>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</si>
  <si>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</si>
  <si>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</si>
  <si>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</si>
  <si>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</si>
  <si>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</si>
  <si>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</si>
  <si>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</si>
  <si>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</si>
  <si>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</si>
  <si>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</si>
  <si>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</si>
  <si>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</si>
  <si>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</si>
  <si>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</si>
  <si>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</si>
  <si>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</si>
  <si>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</si>
  <si>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</si>
  <si>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</si>
  <si>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</si>
  <si>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</si>
  <si>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</si>
  <si>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</si>
  <si>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</si>
  <si>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</si>
  <si>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</si>
  <si>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</si>
  <si>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</si>
  <si>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</si>
  <si>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</si>
  <si>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</si>
  <si>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</si>
  <si>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</si>
  <si>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</si>
  <si>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</si>
  <si>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</si>
  <si>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</si>
  <si>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</si>
  <si>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</si>
  <si>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</si>
  <si>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</si>
  <si>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</si>
  <si>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</si>
  <si>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</si>
  <si>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</si>
  <si>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</si>
  <si>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</si>
  <si>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</si>
  <si>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</si>
  <si>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</si>
  <si>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</si>
  <si>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</si>
  <si>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</si>
  <si>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</si>
  <si>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</si>
  <si>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</si>
  <si>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</si>
  <si>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</si>
  <si>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</si>
  <si>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</si>
  <si>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</si>
  <si>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</si>
  <si>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</si>
  <si>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</si>
  <si>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</si>
  <si>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</si>
  <si>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</si>
  <si>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</si>
  <si>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</si>
  <si>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</si>
  <si>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</si>
  <si>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</si>
  <si>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</si>
  <si>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</si>
  <si>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</si>
  <si>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</si>
  <si>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</si>
  <si>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</si>
  <si>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</si>
  <si>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</si>
  <si>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</si>
  <si>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</si>
  <si>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</si>
  <si>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</si>
  <si>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</si>
  <si>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</si>
  <si>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</si>
  <si>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</si>
  <si>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</si>
  <si>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</si>
  <si>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</si>
  <si>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</si>
  <si>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</si>
  <si>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</si>
  <si>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</si>
  <si>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</si>
  <si>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</si>
  <si>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</si>
  <si>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</si>
  <si>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</si>
  <si>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</si>
  <si>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</si>
  <si>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</si>
  <si>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</si>
  <si>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</si>
  <si>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</si>
  <si>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</si>
  <si>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</si>
  <si>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</si>
  <si>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</si>
  <si>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</si>
  <si>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</si>
  <si>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</si>
  <si>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</si>
  <si>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</si>
  <si>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</si>
  <si>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</si>
  <si>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</si>
  <si>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</si>
  <si>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</si>
  <si>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</si>
  <si>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</si>
  <si>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</si>
  <si>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</si>
  <si>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</si>
  <si>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</si>
  <si>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</si>
  <si>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</si>
  <si>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</si>
  <si>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</si>
  <si>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</si>
  <si>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</si>
  <si>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</si>
  <si>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</si>
  <si>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</si>
  <si>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</si>
  <si>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</si>
  <si>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</si>
  <si>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</si>
  <si>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</si>
  <si>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</si>
  <si>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</si>
  <si>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</si>
  <si>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</si>
  <si>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</si>
  <si>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</si>
  <si>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</si>
  <si>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</si>
  <si>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</si>
  <si>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</si>
  <si>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</si>
  <si>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</si>
  <si>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</si>
  <si>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</si>
  <si>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</si>
  <si>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</si>
  <si>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</si>
  <si>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</si>
  <si>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</si>
  <si>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</si>
  <si>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</si>
  <si>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</si>
  <si>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</si>
  <si>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</si>
  <si>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</si>
  <si>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</si>
  <si>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</si>
  <si>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</si>
  <si>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</si>
  <si>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</si>
  <si>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</si>
  <si>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</si>
  <si>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</si>
  <si>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</si>
  <si>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</si>
  <si>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</si>
  <si>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</si>
  <si>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</si>
  <si>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</si>
  <si>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</si>
  <si>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</si>
  <si>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</si>
  <si>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</si>
  <si>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</si>
  <si>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</si>
  <si>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</si>
  <si>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</si>
  <si>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</si>
  <si>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</si>
  <si>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</si>
  <si>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</si>
  <si>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</si>
  <si>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</si>
  <si>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</si>
  <si>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</si>
  <si>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</si>
  <si>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</si>
  <si>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</si>
  <si>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</si>
  <si>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</si>
  <si>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</si>
  <si>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</si>
  <si>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</si>
  <si>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</si>
  <si>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</si>
  <si>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</si>
  <si>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</si>
  <si>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</si>
  <si>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</si>
  <si>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</si>
  <si>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</si>
  <si>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</si>
  <si>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</si>
  <si>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</si>
  <si>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</si>
  <si>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</si>
  <si>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</si>
  <si>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</si>
  <si>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</si>
  <si>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</si>
  <si>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</si>
  <si>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</si>
  <si>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</si>
  <si>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</si>
  <si>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</si>
  <si>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</si>
  <si>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</si>
  <si>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</si>
  <si>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</si>
  <si>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</si>
  <si>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</si>
  <si>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</si>
  <si>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</si>
  <si>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</si>
  <si>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</si>
  <si>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</si>
  <si>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</si>
  <si>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</si>
  <si>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</si>
  <si>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</si>
  <si>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</si>
  <si>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</si>
  <si>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</si>
  <si>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</si>
  <si>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</si>
  <si>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</si>
  <si>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</si>
  <si>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</si>
  <si>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</si>
  <si>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</si>
  <si>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</si>
  <si>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</si>
  <si>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</si>
  <si>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</si>
  <si>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</si>
  <si>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</si>
  <si>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</si>
  <si>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</si>
  <si>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</si>
  <si>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</si>
  <si>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</si>
  <si>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</si>
  <si>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</si>
  <si>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</si>
  <si>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</si>
  <si>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</si>
  <si>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</si>
  <si>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</si>
  <si>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</si>
  <si>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</si>
  <si>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</si>
  <si>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</si>
  <si>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</si>
  <si>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</si>
  <si>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</si>
  <si>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</si>
  <si>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</si>
  <si>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</si>
  <si>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</si>
  <si>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</si>
  <si>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</si>
  <si>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</si>
  <si>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</si>
  <si>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</si>
  <si>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</si>
  <si>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</si>
  <si>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</si>
  <si>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</si>
  <si>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</si>
  <si>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</si>
  <si>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</si>
  <si>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</si>
  <si>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</si>
  <si>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</si>
  <si>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</si>
  <si>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</si>
  <si>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</si>
  <si>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</si>
  <si>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</si>
  <si>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</si>
  <si>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</si>
  <si>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</si>
  <si>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</si>
  <si>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</si>
  <si>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</si>
  <si>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</si>
  <si>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</si>
  <si>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</si>
  <si>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</si>
  <si>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</si>
  <si>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</si>
  <si>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</si>
  <si>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</si>
  <si>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</si>
  <si>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</si>
  <si>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</si>
  <si>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</si>
  <si>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</si>
  <si>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</si>
  <si>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</si>
  <si>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</si>
  <si>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</si>
  <si>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</si>
  <si>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</si>
  <si>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</si>
  <si>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</si>
  <si>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</si>
  <si>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</si>
  <si>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</si>
  <si>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</si>
  <si>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</si>
  <si>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</si>
  <si>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</si>
  <si>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</si>
  <si>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</si>
  <si>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</si>
  <si>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</si>
  <si>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</si>
  <si>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</si>
  <si>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</si>
  <si>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</si>
  <si>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</si>
  <si>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</si>
  <si>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</si>
  <si>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</si>
  <si>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</si>
  <si>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</si>
  <si>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</si>
  <si>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</si>
  <si>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</si>
  <si>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</si>
  <si>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</si>
  <si>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</si>
  <si>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</si>
  <si>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</si>
  <si>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</si>
  <si>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</si>
  <si>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</si>
  <si>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</si>
  <si>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</si>
  <si>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</si>
  <si>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</si>
  <si>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</si>
  <si>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</si>
  <si>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</si>
  <si>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</si>
  <si>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</si>
  <si>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</si>
  <si>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</si>
  <si>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</si>
  <si>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</si>
  <si>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</si>
  <si>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</si>
  <si>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</si>
  <si>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</si>
  <si>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</si>
  <si>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</si>
  <si>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</si>
  <si>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</si>
  <si>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</si>
  <si>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</si>
  <si>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</si>
  <si>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</si>
  <si>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</si>
  <si>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王鹏</t>
  </si>
  <si>
    <t>郑燚</t>
  </si>
  <si>
    <t>抵押</t>
  </si>
  <si>
    <t>房地产抵押价值</t>
  </si>
  <si>
    <t>北京市</t>
  </si>
  <si>
    <t>出让</t>
  </si>
  <si>
    <t>企业</t>
  </si>
  <si>
    <t>否</t>
  </si>
  <si>
    <t>无</t>
  </si>
  <si>
    <t>通路</t>
  </si>
  <si>
    <t>通电</t>
  </si>
  <si>
    <t>通讯</t>
  </si>
  <si>
    <t>通上水</t>
  </si>
  <si>
    <t>通下水</t>
  </si>
  <si>
    <t>通热</t>
  </si>
  <si>
    <t>燃气</t>
  </si>
  <si>
    <t>是</t>
  </si>
  <si>
    <t>地上</t>
  </si>
  <si>
    <t>收益法</t>
  </si>
  <si>
    <t>钢混</t>
  </si>
  <si>
    <t>非生产用房</t>
  </si>
  <si>
    <t>按租金收入计税</t>
  </si>
  <si>
    <t>押一</t>
  </si>
  <si>
    <t>未包含在土地购买价格中</t>
  </si>
  <si>
    <t>全部缴纳</t>
  </si>
  <si>
    <t>已包含在土地取得成本中</t>
  </si>
  <si>
    <t>成本法</t>
  </si>
  <si>
    <t>正常</t>
  </si>
  <si>
    <t>商务金融</t>
  </si>
  <si>
    <t>40、50</t>
  </si>
  <si>
    <t>较好</t>
  </si>
  <si>
    <t>一般</t>
  </si>
  <si>
    <t>七通</t>
  </si>
  <si>
    <t>单面临街</t>
  </si>
  <si>
    <t>次干道</t>
  </si>
  <si>
    <t>较规则</t>
  </si>
  <si>
    <t>丰台区花乡四合庄</t>
    <phoneticPr fontId="3" type="noConversion"/>
  </si>
  <si>
    <t>商业</t>
    <phoneticPr fontId="31" type="noConversion"/>
  </si>
  <si>
    <t>商务金融</t>
    <phoneticPr fontId="31" type="noConversion"/>
  </si>
  <si>
    <r>
      <t>1</t>
    </r>
    <r>
      <rPr>
        <sz val="10"/>
        <color indexed="8"/>
        <rFont val="宋体"/>
        <family val="3"/>
        <charset val="134"/>
      </rPr>
      <t>层</t>
    </r>
    <phoneticPr fontId="8" type="noConversion"/>
  </si>
  <si>
    <t>分摊土地面积</t>
  </si>
  <si>
    <t>规划建筑面积</t>
  </si>
  <si>
    <r>
      <t>2</t>
    </r>
    <r>
      <rPr>
        <sz val="10"/>
        <color indexed="8"/>
        <rFont val="宋体"/>
        <family val="3"/>
        <charset val="134"/>
      </rPr>
      <t>层</t>
    </r>
    <phoneticPr fontId="8" type="noConversion"/>
  </si>
  <si>
    <t>收益面积</t>
    <phoneticPr fontId="8" type="noConversion"/>
  </si>
  <si>
    <t>建设内容</t>
    <phoneticPr fontId="143" type="noConversion"/>
  </si>
  <si>
    <t>公租房</t>
    <phoneticPr fontId="143" type="noConversion"/>
  </si>
  <si>
    <t>商业</t>
    <phoneticPr fontId="143" type="noConversion"/>
  </si>
  <si>
    <t>办公</t>
    <phoneticPr fontId="143" type="noConversion"/>
  </si>
  <si>
    <t>地下车库</t>
    <phoneticPr fontId="143" type="noConversion"/>
  </si>
  <si>
    <t>公共配套</t>
    <phoneticPr fontId="143" type="noConversion"/>
  </si>
  <si>
    <t>物业管理</t>
    <phoneticPr fontId="143" type="noConversion"/>
  </si>
  <si>
    <t>地上设备</t>
    <phoneticPr fontId="143" type="noConversion"/>
  </si>
  <si>
    <t>地下设备</t>
    <phoneticPr fontId="143" type="noConversion"/>
  </si>
  <si>
    <t>地下人防</t>
    <phoneticPr fontId="143" type="noConversion"/>
  </si>
  <si>
    <t>地上人防</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</si>
  <si>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</si>
  <si>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</si>
  <si>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</si>
  <si>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</si>
  <si>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</si>
  <si>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</si>
  <si>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</si>
  <si>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</si>
  <si>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</si>
  <si>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</si>
  <si>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</si>
  <si>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</si>
  <si>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</si>
  <si>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东区地下车库</t>
    <phoneticPr fontId="143" type="noConversion"/>
  </si>
  <si>
    <t>西区地下车库</t>
    <phoneticPr fontId="143" type="noConversion"/>
  </si>
  <si>
    <t>设备及其他</t>
    <phoneticPr fontId="143" type="noConversion"/>
  </si>
  <si>
    <t>汇总</t>
    <phoneticPr fontId="143" type="noConversion"/>
  </si>
  <si>
    <t>幼儿园</t>
    <phoneticPr fontId="143" type="noConversion"/>
  </si>
  <si>
    <t>地上</t>
    <phoneticPr fontId="143" type="noConversion"/>
  </si>
  <si>
    <t>地下</t>
    <phoneticPr fontId="143" type="noConversion"/>
  </si>
  <si>
    <t>2017-1-0844-P02DYGJ3</t>
    <phoneticPr fontId="6" type="noConversion"/>
  </si>
  <si>
    <t>北京金河水务建设有限公司</t>
    <phoneticPr fontId="6" type="noConversion"/>
  </si>
  <si>
    <t>昌平区沙河镇西沙屯南侧</t>
    <phoneticPr fontId="6" type="noConversion"/>
  </si>
  <si>
    <t>中国建设银行股份有限公司北京市分行昌平支行</t>
    <phoneticPr fontId="6" type="noConversion"/>
  </si>
  <si>
    <t>住宅、配套商业、配套办公、综合、地下车库、地下仓储</t>
    <phoneticPr fontId="6" type="noConversion"/>
  </si>
  <si>
    <t>住宅67.3年、配套商业37.28年、配套办公、综合、地下车库、地下仓储47.29年</t>
    <phoneticPr fontId="6" type="noConversion"/>
  </si>
  <si>
    <t>居住项目</t>
  </si>
  <si>
    <t>全部为保障性住房</t>
  </si>
  <si>
    <t>公共租赁用房</t>
    <phoneticPr fontId="6" type="noConversion"/>
  </si>
  <si>
    <t>在建</t>
  </si>
  <si>
    <t>住宅</t>
  </si>
  <si>
    <t>平层住宅</t>
  </si>
  <si>
    <t>底商</t>
  </si>
  <si>
    <t>办公楼</t>
  </si>
  <si>
    <t>地下</t>
  </si>
  <si>
    <t>车库</t>
  </si>
  <si>
    <t>工程进度</t>
  </si>
  <si>
    <t>收益法-公租房</t>
  </si>
  <si>
    <t>收益法-商业</t>
  </si>
  <si>
    <t>收益法-办公</t>
  </si>
  <si>
    <t>收益法-地下车库</t>
  </si>
  <si>
    <t>成本法 (元)</t>
  </si>
  <si>
    <t>假设开发法</t>
  </si>
  <si>
    <t>收益法 (元)</t>
  </si>
  <si>
    <t>收益法（汇总）</t>
  </si>
  <si>
    <t>比较法-住宅</t>
  </si>
  <si>
    <t>比较法-商业</t>
  </si>
  <si>
    <t>比较法-办公</t>
  </si>
  <si>
    <t>比较法-工业</t>
  </si>
  <si>
    <t>比较法-车位</t>
  </si>
  <si>
    <t>比较法-仓储</t>
  </si>
  <si>
    <t>土地比较法-住宅、综合</t>
  </si>
  <si>
    <t>土地比较法-工业</t>
  </si>
  <si>
    <t>基准地价修正</t>
  </si>
  <si>
    <t>项目局部</t>
  </si>
  <si>
    <t>成本比率</t>
  </si>
  <si>
    <t>居住用地（指二类居住用地）</t>
  </si>
  <si>
    <t>不临58条商业街</t>
  </si>
  <si>
    <t>有</t>
  </si>
  <si>
    <t>1000米以外</t>
  </si>
  <si>
    <t>七通一平</t>
  </si>
  <si>
    <t>增加</t>
  </si>
  <si>
    <t>按公示增长率计算</t>
  </si>
  <si>
    <t>容积率修正</t>
  </si>
  <si>
    <t>好</t>
  </si>
  <si>
    <t>在建（套用方法）</t>
  </si>
  <si>
    <t>住宅</t>
    <phoneticPr fontId="3" type="noConversion"/>
  </si>
  <si>
    <t>商业</t>
    <phoneticPr fontId="3" type="noConversion"/>
  </si>
  <si>
    <t>办公</t>
    <phoneticPr fontId="3" type="noConversion"/>
  </si>
  <si>
    <t>地下车库</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</si>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</sst>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99" fillId="9" borderId="0" xfId="0" applyFont="1" applyFill="1">
      <alignment vertical="center"/>
    </xf>
    <xf numFmtId="0" fontId="100" fillId="17" borderId="0" xfId="0" applyFont="1" applyFill="1">
      <alignment vertical="center"/>
    </xf>
    <xf numFmtId="0" fontId="0" fillId="9" borderId="0" xfId="0" applyFill="1">
      <alignment vertical="center"/>
    </xf>
    <xf numFmtId="0" fontId="99" fillId="18" borderId="1" xfId="0" applyFont="1" applyFill="1" applyBorder="1">
      <alignment vertical="center"/>
    </xf>
    <xf numFmtId="0" fontId="0" fillId="18" borderId="1" xfId="0" applyFill="1" applyBorder="1">
      <alignment vertical="center"/>
    </xf>
    <xf numFmtId="0" fontId="100" fillId="17" borderId="1" xfId="0" applyFont="1" applyFill="1" applyBorder="1">
      <alignment vertical="center"/>
    </xf>
    <xf numFmtId="0" fontId="114" fillId="5" borderId="0" xfId="0"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24" fillId="0" borderId="5" xfId="0" applyNumberFormat="1" applyFont="1" applyBorder="1" applyAlignment="1" applyProtection="1">
      <alignment horizontal="left" vertical="center"/>
      <protection locked="0"/>
    </xf>
    <xf numFmtId="0" fontId="190" fillId="0" borderId="5" xfId="0" applyFont="1" applyBorder="1" applyAlignment="1" applyProtection="1">
      <alignment horizontal="left" vertical="center" wrapText="1"/>
      <protection locked="0"/>
    </xf>
    <xf numFmtId="0" fontId="202" fillId="5" borderId="9"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北京市昌平区沙河镇西沙屯南侧出让国有建设用地使用权及在建建筑物房地产抵押价值预评估</v>
      </c>
    </row>
    <row r="3" spans="1:2" s="1594" customFormat="1">
      <c r="A3" s="1592" t="s">
        <v>1217</v>
      </c>
      <c r="B3" s="1593" t="str">
        <f>'预评函-封皮'!B40</f>
        <v>北京金河水务建设有限公司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康正预评字2017-1-0844-P02DYGJ3号</v>
      </c>
    </row>
    <row r="6" spans="1:2" s="1591" customFormat="1" ht="15" thickTop="1">
      <c r="A6" s="1589" t="s">
        <v>1220</v>
      </c>
      <c r="B6" s="1590" t="str">
        <f>'预评函-1'!A4</f>
        <v>受贵公司委托，我公司对北京市昌平区沙河镇西沙屯南侧出让国有建设用地使用权及在建建筑物房地产抵押价值进行了预评估。</v>
      </c>
    </row>
    <row r="7" spans="1:2" s="1594" customFormat="1">
      <c r="A7" s="1592" t="s">
        <v>1260</v>
      </c>
      <c r="B7" s="1593" t="str">
        <f>'预评函-1'!A7</f>
        <v>估价对象为北京市昌平区沙河镇西沙屯南侧出让国有建设用地使用权及在建建筑物房地产，为北京金河水务建设有限公司所有。根据《国有土地使用证》[]，估价对象（分摊）出让国有建设用地使用权面积为53758.79平方米，建筑面积为222493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昌平区沙河镇西沙屯南侧出让国有建设用地使用权及在建建筑物房地产,属北京金河水务建设有限公司开发建设的居住项目，该项目尚在开发建设中。根据《国有土地使用证》[]，估价对象（分摊）出让国有建设用地使用权面积为53758.79平方米，规划建筑面积为222493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为估价委托人在向中国建设银行股份有限公司北京市分行昌平支行办理贷款手续过程中，确定房地产抵押贷款额度提供参考依据而评估房地产抵押价值。</v>
      </c>
    </row>
    <row r="12" spans="1:2" s="1594" customFormat="1">
      <c r="A12" s="1592" t="s">
        <v>1222</v>
      </c>
      <c r="B12" s="1593" t="str">
        <f>'预评函-1'!A15</f>
        <v>2017年9月12日（评估专业人员实地查勘之日）</v>
      </c>
    </row>
    <row r="13" spans="1:2" s="1594" customFormat="1">
      <c r="A13" s="1592" t="s">
        <v>1223</v>
      </c>
      <c r="B13" s="1593"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1594" customFormat="1">
      <c r="A14" s="1592" t="s">
        <v>1224</v>
      </c>
      <c r="B14" s="1593"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51203</v>
      </c>
    </row>
    <row r="21" spans="1:2" s="1594" customFormat="1">
      <c r="A21" s="1592" t="s">
        <v>1231</v>
      </c>
      <c r="B21" s="1593">
        <f ca="1">'预评函-2'!D7</f>
        <v>2301</v>
      </c>
    </row>
    <row r="22" spans="1:2" s="1594" customFormat="1">
      <c r="A22" s="1592" t="s">
        <v>1232</v>
      </c>
      <c r="B22" s="1593" t="str">
        <f ca="1">'预评函-2'!D6</f>
        <v>伍亿壹仟贰佰零叁万元整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51203</v>
      </c>
    </row>
    <row r="31" spans="1:2" s="1594" customFormat="1">
      <c r="A31" s="1592" t="s">
        <v>1270</v>
      </c>
      <c r="B31" s="1593">
        <f ca="1">'预评函-2'!D15</f>
        <v>2301</v>
      </c>
    </row>
    <row r="32" spans="1:2" s="1594" customFormat="1">
      <c r="A32" s="1592" t="s">
        <v>1237</v>
      </c>
      <c r="B32" s="1593" t="str">
        <f ca="1">'预评函-2'!D14</f>
        <v>伍亿壹仟贰佰零叁万元整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北京市昌平区沙河镇西沙屯南侧出让国有建设用地使用权及在建建筑物房地产</v>
      </c>
    </row>
    <row r="42" spans="1:2" s="1594" customFormat="1">
      <c r="A42" s="1592" t="s">
        <v>1284</v>
      </c>
      <c r="B42" s="1593" t="str">
        <f>'预评函-3'!B2</f>
        <v>建筑面积</v>
      </c>
    </row>
    <row r="43" spans="1:2" s="1594" customFormat="1">
      <c r="A43" s="1592" t="s">
        <v>1285</v>
      </c>
      <c r="B43" s="1593">
        <f>'预评函-3'!B4</f>
        <v>222493</v>
      </c>
    </row>
    <row r="44" spans="1:2" s="1594" customFormat="1">
      <c r="A44" s="1592" t="s">
        <v>1269</v>
      </c>
      <c r="B44" s="1593" t="str">
        <f>'预评函-3'!C2</f>
        <v>(分摊)土地面积</v>
      </c>
    </row>
    <row r="45" spans="1:2" s="1594" customFormat="1">
      <c r="A45" s="1592" t="s">
        <v>1241</v>
      </c>
      <c r="B45" s="1593">
        <f>'预评函-3'!C4</f>
        <v>53758.79</v>
      </c>
    </row>
    <row r="46" spans="1:2" s="1594" customFormat="1">
      <c r="A46" s="1592" t="s">
        <v>1267</v>
      </c>
      <c r="B46" s="1593" t="str">
        <f>'预评函-3'!D2</f>
        <v>出让国有建设用地使用权价值</v>
      </c>
    </row>
    <row r="47" spans="1:2" s="1594" customFormat="1">
      <c r="A47" s="1592" t="s">
        <v>1242</v>
      </c>
      <c r="B47" s="1593">
        <f ca="1">'预评函-3'!D4</f>
        <v>44649</v>
      </c>
    </row>
    <row r="48" spans="1:2" s="1594" customFormat="1">
      <c r="A48" s="1592" t="s">
        <v>1243</v>
      </c>
      <c r="B48" s="1593">
        <f ca="1">'预评函-3'!E4</f>
        <v>2006</v>
      </c>
    </row>
    <row r="49" spans="1:2" s="1594" customFormat="1">
      <c r="A49" s="1592" t="s">
        <v>1244</v>
      </c>
      <c r="B49" s="1593" t="str">
        <f ca="1">'预评函-3'!D5</f>
        <v>肆亿肆仟陆佰肆拾玖万元整</v>
      </c>
    </row>
    <row r="50" spans="1:2" s="1594" customFormat="1">
      <c r="A50" s="1592" t="s">
        <v>1268</v>
      </c>
      <c r="B50" s="1593" t="str">
        <f>'预评函-3'!F2</f>
        <v>在建建筑物价值</v>
      </c>
    </row>
    <row r="51" spans="1:2" s="1594" customFormat="1">
      <c r="A51" s="1592" t="s">
        <v>1245</v>
      </c>
      <c r="B51" s="1593">
        <f ca="1">'预评函-3'!F4</f>
        <v>6554</v>
      </c>
    </row>
    <row r="52" spans="1:2" s="1594" customFormat="1">
      <c r="A52" s="1592" t="s">
        <v>1246</v>
      </c>
      <c r="B52" s="1593">
        <f ca="1">'预评函-3'!G4</f>
        <v>295</v>
      </c>
    </row>
    <row r="53" spans="1:2" s="1594" customFormat="1">
      <c r="A53" s="1592" t="s">
        <v>1274</v>
      </c>
      <c r="B53" s="1593" t="str">
        <f ca="1">'预评函-3'!F5</f>
        <v>陆仟伍佰伍拾肆万元整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（1）根据估价对象、《国有土地使用权》复印件，截至价值时点，估价对象抵押权未见登记。</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1" sqref="Z21"/>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1687</v>
      </c>
      <c r="C1" s="2010" t="s">
        <v>758</v>
      </c>
      <c r="D1" s="2011" t="s">
        <v>1688</v>
      </c>
      <c r="E1" s="2011" t="s">
        <v>1689</v>
      </c>
      <c r="F1" s="2011" t="s">
        <v>1690</v>
      </c>
      <c r="G1" s="2011" t="s">
        <v>1691</v>
      </c>
      <c r="H1" s="2011" t="s">
        <v>1692</v>
      </c>
      <c r="I1" s="2011" t="s">
        <v>1693</v>
      </c>
      <c r="J1" s="2011" t="s">
        <v>1694</v>
      </c>
      <c r="K1" s="2011" t="s">
        <v>1695</v>
      </c>
      <c r="L1" s="2011" t="s">
        <v>1696</v>
      </c>
      <c r="M1" s="2011" t="s">
        <v>1697</v>
      </c>
      <c r="N1" s="2011" t="s">
        <v>1698</v>
      </c>
      <c r="O1" s="2011" t="s">
        <v>1699</v>
      </c>
      <c r="P1" s="2012" t="s">
        <v>753</v>
      </c>
      <c r="Q1" s="2012" t="s">
        <v>1143</v>
      </c>
      <c r="R1" s="2011" t="s">
        <v>1137</v>
      </c>
      <c r="S1" s="2011" t="s">
        <v>1700</v>
      </c>
      <c r="T1" s="2013" t="s">
        <v>1701</v>
      </c>
      <c r="U1" s="2011" t="s">
        <v>1702</v>
      </c>
      <c r="V1" s="2011" t="s">
        <v>1703</v>
      </c>
      <c r="W1" s="2011" t="s">
        <v>755</v>
      </c>
    </row>
    <row r="2" spans="1:23">
      <c r="A2" s="2015" t="s">
        <v>22</v>
      </c>
      <c r="B2" s="2015" t="s">
        <v>3050</v>
      </c>
      <c r="C2" s="2016" t="s">
        <v>759</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1139</v>
      </c>
      <c r="S2" s="2017" t="s">
        <v>1709</v>
      </c>
      <c r="T2" s="2017" t="s">
        <v>1710</v>
      </c>
      <c r="U2" s="2017" t="s">
        <v>1709</v>
      </c>
      <c r="V2" s="2017" t="s">
        <v>1711</v>
      </c>
      <c r="W2" s="2017" t="s">
        <v>1709</v>
      </c>
    </row>
    <row r="3" spans="1:23">
      <c r="A3" s="2015" t="s">
        <v>1712</v>
      </c>
      <c r="B3" s="2018" t="s">
        <v>3120</v>
      </c>
      <c r="C3" s="2019" t="s">
        <v>760</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1138</v>
      </c>
      <c r="S3" s="2017" t="s">
        <v>1717</v>
      </c>
      <c r="T3" s="2017" t="s">
        <v>1718</v>
      </c>
      <c r="U3" s="2017" t="s">
        <v>1717</v>
      </c>
      <c r="V3" s="2017" t="s">
        <v>1719</v>
      </c>
      <c r="W3" s="2017" t="s">
        <v>1717</v>
      </c>
    </row>
    <row r="4" spans="1:23">
      <c r="A4" s="2015" t="s">
        <v>1720</v>
      </c>
      <c r="B4" s="2015" t="s">
        <v>3121</v>
      </c>
      <c r="C4" s="2016" t="s">
        <v>761</v>
      </c>
      <c r="D4" s="2017" t="s">
        <v>867</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1140</v>
      </c>
      <c r="S4" s="2017" t="s">
        <v>1724</v>
      </c>
      <c r="T4" s="2017" t="s">
        <v>1725</v>
      </c>
      <c r="U4" s="2017" t="s">
        <v>1724</v>
      </c>
      <c r="W4" s="2017" t="s">
        <v>1724</v>
      </c>
    </row>
    <row r="5" spans="1:23">
      <c r="A5" s="2015" t="s">
        <v>1726</v>
      </c>
      <c r="B5" s="2015" t="s">
        <v>3042</v>
      </c>
      <c r="C5" s="2016" t="s">
        <v>762</v>
      </c>
      <c r="F5" s="2017" t="s">
        <v>1727</v>
      </c>
      <c r="H5" s="2017" t="s">
        <v>1728</v>
      </c>
      <c r="I5" s="2017" t="s">
        <v>1729</v>
      </c>
      <c r="K5" s="2017" t="s">
        <v>1730</v>
      </c>
      <c r="L5" s="2017" t="s">
        <v>1730</v>
      </c>
      <c r="M5" s="2017" t="s">
        <v>1730</v>
      </c>
      <c r="N5" s="2017" t="s">
        <v>1730</v>
      </c>
      <c r="O5" s="2017" t="s">
        <v>1730</v>
      </c>
      <c r="P5" s="2017" t="s">
        <v>1730</v>
      </c>
      <c r="Q5" s="2017" t="s">
        <v>1730</v>
      </c>
      <c r="R5" s="2017" t="s">
        <v>1141</v>
      </c>
      <c r="S5" s="2017" t="s">
        <v>1730</v>
      </c>
      <c r="T5" s="2017" t="s">
        <v>1731</v>
      </c>
      <c r="U5" s="2017" t="s">
        <v>1730</v>
      </c>
      <c r="W5" s="2017" t="s">
        <v>1730</v>
      </c>
    </row>
    <row r="6" spans="1:23">
      <c r="A6" s="2015" t="s">
        <v>1732</v>
      </c>
      <c r="B6" s="2018" t="s">
        <v>3122</v>
      </c>
      <c r="C6" s="2021" t="s">
        <v>30</v>
      </c>
      <c r="F6" s="2017" t="s">
        <v>1728</v>
      </c>
      <c r="H6" s="2017" t="s">
        <v>1733</v>
      </c>
      <c r="I6" s="2017" t="s">
        <v>1734</v>
      </c>
      <c r="K6" s="2017" t="s">
        <v>1735</v>
      </c>
      <c r="L6" s="2017" t="s">
        <v>1735</v>
      </c>
      <c r="M6" s="2017" t="s">
        <v>1735</v>
      </c>
      <c r="N6" s="2017" t="s">
        <v>1735</v>
      </c>
      <c r="O6" s="2017" t="s">
        <v>1735</v>
      </c>
      <c r="P6" s="2017" t="s">
        <v>1735</v>
      </c>
      <c r="Q6" s="2017" t="s">
        <v>1735</v>
      </c>
      <c r="R6" s="2017" t="s">
        <v>1142</v>
      </c>
      <c r="S6" s="2017" t="s">
        <v>1735</v>
      </c>
      <c r="T6" s="2017"/>
      <c r="U6" s="2017" t="s">
        <v>1735</v>
      </c>
      <c r="W6" s="2017" t="s">
        <v>1735</v>
      </c>
    </row>
    <row r="7" spans="1:23">
      <c r="A7" s="2015" t="s">
        <v>1736</v>
      </c>
      <c r="B7" s="2018" t="s">
        <v>3123</v>
      </c>
      <c r="C7" s="2016" t="s">
        <v>31</v>
      </c>
      <c r="F7" s="2017" t="s">
        <v>1737</v>
      </c>
      <c r="H7" s="2017" t="s">
        <v>1738</v>
      </c>
      <c r="I7" s="2017" t="s">
        <v>1739</v>
      </c>
    </row>
    <row r="8" spans="1:23">
      <c r="A8" s="2015" t="s">
        <v>1740</v>
      </c>
      <c r="B8" s="2015" t="s">
        <v>3124</v>
      </c>
      <c r="C8" s="2016" t="s">
        <v>763</v>
      </c>
      <c r="F8" s="2017" t="s">
        <v>1741</v>
      </c>
      <c r="H8" s="2017"/>
      <c r="I8" s="2017" t="s">
        <v>1742</v>
      </c>
    </row>
    <row r="9" spans="1:23">
      <c r="A9" s="2015" t="s">
        <v>1743</v>
      </c>
      <c r="B9" s="2015" t="s">
        <v>3125</v>
      </c>
      <c r="C9" s="2016" t="s">
        <v>764</v>
      </c>
      <c r="F9" s="2017" t="s">
        <v>1744</v>
      </c>
      <c r="H9" s="2017"/>
    </row>
    <row r="10" spans="1:23">
      <c r="A10" s="2015" t="s">
        <v>1745</v>
      </c>
      <c r="B10" s="2015" t="s">
        <v>3126</v>
      </c>
      <c r="C10" s="2016" t="s">
        <v>765</v>
      </c>
      <c r="F10" s="2017" t="s">
        <v>16</v>
      </c>
    </row>
    <row r="11" spans="1:23">
      <c r="A11" s="2015" t="s">
        <v>1746</v>
      </c>
      <c r="B11" s="2015" t="s">
        <v>3127</v>
      </c>
      <c r="C11" s="2016" t="s">
        <v>766</v>
      </c>
    </row>
    <row r="12" spans="1:23">
      <c r="A12" s="2015" t="s">
        <v>1747</v>
      </c>
      <c r="B12" s="2015" t="s">
        <v>3128</v>
      </c>
      <c r="C12" s="2016" t="s">
        <v>767</v>
      </c>
    </row>
    <row r="13" spans="1:23">
      <c r="A13" s="2015" t="s">
        <v>1748</v>
      </c>
      <c r="B13" s="2015" t="s">
        <v>3129</v>
      </c>
      <c r="C13" s="2016" t="s">
        <v>768</v>
      </c>
    </row>
    <row r="14" spans="1:23">
      <c r="A14" s="2015" t="s">
        <v>1749</v>
      </c>
      <c r="B14" s="2015" t="s">
        <v>3130</v>
      </c>
      <c r="C14" s="2017" t="s">
        <v>16</v>
      </c>
    </row>
    <row r="15" spans="1:23">
      <c r="A15" s="2015" t="s">
        <v>1750</v>
      </c>
      <c r="B15" s="2015" t="s">
        <v>3131</v>
      </c>
      <c r="C15" s="2016"/>
    </row>
    <row r="16" spans="1:23">
      <c r="A16" s="2015" t="s">
        <v>1751</v>
      </c>
      <c r="B16" s="2015" t="s">
        <v>3132</v>
      </c>
      <c r="C16" s="2016"/>
    </row>
    <row r="17" spans="1:3">
      <c r="A17" s="2015" t="s">
        <v>1752</v>
      </c>
      <c r="B17" s="2015" t="s">
        <v>3116</v>
      </c>
      <c r="C17" s="2016"/>
    </row>
    <row r="18" spans="1:3">
      <c r="A18" s="2015" t="s">
        <v>1753</v>
      </c>
      <c r="B18" s="2015" t="s">
        <v>3117</v>
      </c>
      <c r="C18" s="2016"/>
    </row>
    <row r="19" spans="1:3">
      <c r="A19" s="2015" t="s">
        <v>1754</v>
      </c>
      <c r="B19" s="2015" t="s">
        <v>3118</v>
      </c>
      <c r="C19" s="2016"/>
    </row>
    <row r="20" spans="1:3">
      <c r="A20" s="2015" t="s">
        <v>1755</v>
      </c>
      <c r="B20" s="2015" t="s">
        <v>3119</v>
      </c>
      <c r="C20" s="2016"/>
    </row>
    <row r="21" spans="1:3">
      <c r="A21" s="2015" t="s">
        <v>1756</v>
      </c>
      <c r="B21" s="2015" t="s">
        <v>756</v>
      </c>
      <c r="C21" s="2016"/>
    </row>
    <row r="22" spans="1:3">
      <c r="A22" s="2015" t="s">
        <v>1757</v>
      </c>
      <c r="B22" s="2015" t="s">
        <v>756</v>
      </c>
      <c r="C22" s="2016"/>
    </row>
    <row r="23" spans="1:3">
      <c r="A23" s="2015" t="s">
        <v>1758</v>
      </c>
      <c r="B23" s="2015" t="s">
        <v>756</v>
      </c>
      <c r="C23" s="2016"/>
    </row>
    <row r="24" spans="1:3">
      <c r="A24" s="2015" t="s">
        <v>1759</v>
      </c>
      <c r="B24" s="2015" t="s">
        <v>756</v>
      </c>
      <c r="C24" s="2016"/>
    </row>
    <row r="25" spans="1:3">
      <c r="A25" s="2015" t="s">
        <v>1760</v>
      </c>
      <c r="B25" s="2015" t="s">
        <v>756</v>
      </c>
      <c r="C25" s="2016"/>
    </row>
    <row r="26" spans="1:3">
      <c r="A26" s="2015" t="s">
        <v>1761</v>
      </c>
      <c r="B26" s="2015" t="s">
        <v>756</v>
      </c>
      <c r="C26" s="2016"/>
    </row>
    <row r="27" spans="1:3">
      <c r="A27" s="2015" t="s">
        <v>756</v>
      </c>
      <c r="B27" s="2015" t="s">
        <v>756</v>
      </c>
      <c r="C27" s="2016"/>
    </row>
    <row r="28" spans="1:3">
      <c r="A28" s="2015" t="s">
        <v>756</v>
      </c>
      <c r="B28" s="2015" t="s">
        <v>756</v>
      </c>
      <c r="C28" s="2016"/>
    </row>
    <row r="29" spans="1:3">
      <c r="A29" s="2015" t="s">
        <v>756</v>
      </c>
      <c r="B29" s="2015" t="s">
        <v>756</v>
      </c>
      <c r="C29" s="2016"/>
    </row>
    <row r="30" spans="1:3">
      <c r="A30" s="2015" t="s">
        <v>756</v>
      </c>
      <c r="B30" s="2015" t="s">
        <v>756</v>
      </c>
      <c r="C30" s="2016"/>
    </row>
    <row r="31" spans="1:3">
      <c r="A31" s="2015" t="s">
        <v>756</v>
      </c>
      <c r="B31" s="2015" t="s">
        <v>756</v>
      </c>
      <c r="C31" s="2016"/>
    </row>
    <row r="32" spans="1:3">
      <c r="A32" s="2015" t="s">
        <v>756</v>
      </c>
      <c r="B32" s="2015" t="s">
        <v>756</v>
      </c>
      <c r="C32" s="2016"/>
    </row>
    <row r="33" spans="1:3">
      <c r="A33" s="2015" t="s">
        <v>756</v>
      </c>
      <c r="B33" s="2015" t="s">
        <v>756</v>
      </c>
      <c r="C33" s="2016"/>
    </row>
    <row r="34" spans="1:3">
      <c r="A34" s="2015" t="s">
        <v>756</v>
      </c>
      <c r="B34" s="2015" t="s">
        <v>756</v>
      </c>
      <c r="C34" s="2016"/>
    </row>
    <row r="35" spans="1:3">
      <c r="A35" s="2015" t="s">
        <v>756</v>
      </c>
      <c r="B35" s="2015" t="s">
        <v>756</v>
      </c>
      <c r="C35" s="2016"/>
    </row>
    <row r="36" spans="1:3">
      <c r="A36" s="2015" t="s">
        <v>756</v>
      </c>
      <c r="B36" s="2015" t="s">
        <v>756</v>
      </c>
      <c r="C36" s="2016"/>
    </row>
    <row r="37" spans="1:3">
      <c r="A37" s="2015" t="s">
        <v>756</v>
      </c>
      <c r="B37" s="2015" t="s">
        <v>756</v>
      </c>
      <c r="C37" s="2016"/>
    </row>
    <row r="38" spans="1:3">
      <c r="A38" s="2015" t="s">
        <v>756</v>
      </c>
      <c r="B38" s="2015" t="s">
        <v>756</v>
      </c>
      <c r="C38" s="2016"/>
    </row>
    <row r="39" spans="1:3">
      <c r="A39" s="2015" t="s">
        <v>756</v>
      </c>
      <c r="B39" s="2015" t="s">
        <v>756</v>
      </c>
      <c r="C39" s="2016"/>
    </row>
    <row r="40" spans="1:3">
      <c r="A40" s="2015" t="s">
        <v>756</v>
      </c>
      <c r="B40" s="2015" t="s">
        <v>756</v>
      </c>
      <c r="C40" s="2016"/>
    </row>
    <row r="41" spans="1:3">
      <c r="A41" s="2015" t="s">
        <v>756</v>
      </c>
      <c r="B41" s="2015" t="s">
        <v>756</v>
      </c>
      <c r="C41" s="2016"/>
    </row>
    <row r="42" spans="1:3">
      <c r="A42" s="2015" t="s">
        <v>756</v>
      </c>
      <c r="B42" s="2015" t="s">
        <v>756</v>
      </c>
      <c r="C42" s="2016"/>
    </row>
    <row r="43" spans="1:3">
      <c r="A43" s="2015" t="s">
        <v>756</v>
      </c>
      <c r="B43" s="2015" t="s">
        <v>756</v>
      </c>
      <c r="C43" s="2016"/>
    </row>
    <row r="44" spans="1:3">
      <c r="A44" s="2015" t="s">
        <v>756</v>
      </c>
      <c r="B44" s="2015" t="s">
        <v>756</v>
      </c>
      <c r="C44" s="2016"/>
    </row>
    <row r="45" spans="1:3">
      <c r="A45" s="2015" t="s">
        <v>756</v>
      </c>
      <c r="B45" s="2015" t="s">
        <v>756</v>
      </c>
      <c r="C45" s="2016"/>
    </row>
    <row r="46" spans="1:3">
      <c r="A46" s="2015" t="s">
        <v>756</v>
      </c>
      <c r="B46" s="2015" t="s">
        <v>756</v>
      </c>
      <c r="C46" s="2016"/>
    </row>
    <row r="47" spans="1:3">
      <c r="A47" s="2015" t="s">
        <v>756</v>
      </c>
      <c r="B47" s="2015" t="s">
        <v>756</v>
      </c>
      <c r="C47" s="2016"/>
    </row>
    <row r="48" spans="1:3">
      <c r="A48" s="2015" t="s">
        <v>756</v>
      </c>
      <c r="B48" s="2015" t="s">
        <v>756</v>
      </c>
      <c r="C48" s="2016"/>
    </row>
    <row r="49" spans="1:4">
      <c r="A49" s="2015" t="s">
        <v>756</v>
      </c>
      <c r="B49" s="2015" t="s">
        <v>756</v>
      </c>
      <c r="C49" s="2016"/>
    </row>
    <row r="50" spans="1:4">
      <c r="A50" s="2015" t="s">
        <v>756</v>
      </c>
      <c r="B50" s="2015" t="s">
        <v>756</v>
      </c>
      <c r="C50" s="2016"/>
    </row>
    <row r="51" spans="1:4">
      <c r="A51" s="2022" t="s">
        <v>856</v>
      </c>
      <c r="B51" s="2023"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2023" t="s">
        <v>1280</v>
      </c>
    </row>
    <row r="52" spans="1:4">
      <c r="A52" s="2022" t="s">
        <v>857</v>
      </c>
      <c r="B52" s="2022" t="s">
        <v>858</v>
      </c>
      <c r="C52" s="2020" t="s">
        <v>859</v>
      </c>
      <c r="D52" s="2020" t="s">
        <v>860</v>
      </c>
    </row>
    <row r="53" spans="1:4">
      <c r="A53" s="3003" t="s">
        <v>861</v>
      </c>
      <c r="B53" s="2023" t="s">
        <v>862</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3"/>
      <c r="B54" s="2023" t="s">
        <v>863</v>
      </c>
      <c r="C54" s="2020" t="s">
        <v>1277</v>
      </c>
    </row>
    <row r="55" spans="1:4">
      <c r="A55" s="3003"/>
      <c r="B55" s="2023" t="s">
        <v>864</v>
      </c>
      <c r="C55" s="2020" t="s">
        <v>1278</v>
      </c>
    </row>
    <row r="56" spans="1:4">
      <c r="A56" s="3003"/>
      <c r="B56" s="2023" t="s">
        <v>865</v>
      </c>
      <c r="C56" s="2020" t="s">
        <v>1282</v>
      </c>
    </row>
    <row r="57" spans="1:4">
      <c r="A57" s="3003"/>
      <c r="B57" s="2023" t="s">
        <v>866</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35" sqref="J3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1762</v>
      </c>
      <c r="B1" s="3004"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005"/>
      <c r="D1" s="3005"/>
      <c r="E1" s="3005"/>
      <c r="F1" s="3005"/>
      <c r="G1" s="3005"/>
      <c r="H1" s="3005"/>
      <c r="I1" s="300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2027" t="s">
        <v>1763</v>
      </c>
      <c r="B2" s="1041" t="s">
        <v>3099</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2036" t="s">
        <v>1764</v>
      </c>
      <c r="B3" s="2037">
        <v>42990</v>
      </c>
      <c r="C3" s="2038" t="s">
        <v>1765</v>
      </c>
      <c r="D3" s="2037">
        <v>42990</v>
      </c>
      <c r="E3" s="2027"/>
      <c r="F3" s="2027"/>
      <c r="G3" s="2027"/>
      <c r="H3" s="2027"/>
      <c r="I3" s="2027"/>
      <c r="J3" s="2027"/>
      <c r="K3" s="2028"/>
      <c r="L3" s="2029"/>
      <c r="M3" s="2029"/>
      <c r="N3" s="2030"/>
      <c r="O3" s="2031"/>
      <c r="P3" s="2030"/>
      <c r="Q3" s="2030"/>
      <c r="R3" s="2030"/>
      <c r="S3" s="2032"/>
    </row>
    <row r="4" spans="1:19" ht="18" customHeight="1" thickBot="1">
      <c r="A4" s="2039" t="s">
        <v>1766</v>
      </c>
      <c r="B4" s="2040" t="s">
        <v>3024</v>
      </c>
      <c r="C4" s="1039">
        <f ca="1">SUMIF(注册房地产估价师,B4,估价师及机构信息!B3:B24)</f>
        <v>1120050019</v>
      </c>
      <c r="D4" s="2040" t="s">
        <v>3025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1767</v>
      </c>
      <c r="B5" s="3294" t="s">
        <v>3100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1768</v>
      </c>
      <c r="B6" s="3293" t="s">
        <v>3102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1769</v>
      </c>
      <c r="B7" s="3293" t="s">
        <v>3100</v>
      </c>
      <c r="C7" s="2049"/>
      <c r="D7" s="2050"/>
      <c r="E7" s="2035"/>
      <c r="F7" s="2043"/>
      <c r="G7" s="2043"/>
      <c r="H7" s="2043"/>
      <c r="I7" s="2043"/>
      <c r="J7" s="2043"/>
      <c r="K7" s="2052"/>
      <c r="L7" s="2029"/>
      <c r="M7" s="2029"/>
      <c r="N7" s="2030"/>
      <c r="O7" s="2031"/>
      <c r="P7" s="2030"/>
      <c r="Q7" s="2030"/>
      <c r="R7" s="2030"/>
    </row>
    <row r="8" spans="1:19" ht="18" customHeight="1">
      <c r="A8" s="2048" t="s">
        <v>1770</v>
      </c>
      <c r="B8" s="2053" t="s">
        <v>3026</v>
      </c>
      <c r="C8" s="2054"/>
      <c r="D8" s="3007" t="s">
        <v>1771</v>
      </c>
      <c r="E8" s="2055" t="s">
        <v>3027</v>
      </c>
      <c r="F8" s="2056"/>
      <c r="G8" s="2027"/>
      <c r="H8" s="2027"/>
      <c r="I8" s="2027"/>
      <c r="J8" s="2043"/>
      <c r="K8" s="2044"/>
      <c r="L8" s="2029"/>
      <c r="M8" s="2029"/>
      <c r="N8" s="2030"/>
      <c r="O8" s="2031"/>
      <c r="P8" s="2030"/>
      <c r="Q8" s="2030"/>
      <c r="R8" s="2030"/>
    </row>
    <row r="9" spans="1:19" ht="18" customHeight="1" thickBot="1">
      <c r="A9" s="2041" t="s">
        <v>1772</v>
      </c>
      <c r="B9" s="2057" t="s">
        <v>3027</v>
      </c>
      <c r="C9" s="2058"/>
      <c r="D9" s="3008"/>
      <c r="E9" s="2057" t="s">
        <v>70</v>
      </c>
      <c r="F9" s="2059"/>
      <c r="G9" s="2060"/>
      <c r="H9" s="2060"/>
      <c r="I9" s="2060"/>
      <c r="J9" s="2043"/>
      <c r="K9" s="2052"/>
      <c r="L9" s="2029"/>
      <c r="M9" s="2029"/>
      <c r="N9" s="2030"/>
      <c r="O9" s="2031"/>
      <c r="P9" s="2030"/>
      <c r="Q9" s="2030"/>
      <c r="R9" s="2030"/>
    </row>
    <row r="10" spans="1:19" ht="18" customHeight="1" thickTop="1">
      <c r="A10" s="2061" t="s">
        <v>1773</v>
      </c>
      <c r="B10" s="2062" t="s">
        <v>3028</v>
      </c>
      <c r="C10" s="2063"/>
      <c r="D10" s="2047"/>
      <c r="E10" s="2064" t="s">
        <v>1774</v>
      </c>
      <c r="F10" s="2959" t="s">
        <v>3101</v>
      </c>
      <c r="G10" s="2065"/>
      <c r="H10" s="2066"/>
      <c r="I10" s="2047"/>
      <c r="J10" s="2043"/>
      <c r="K10" s="2052"/>
      <c r="L10" s="2029"/>
      <c r="M10" s="2029"/>
      <c r="N10" s="2030"/>
      <c r="O10" s="2031"/>
      <c r="P10" s="2030"/>
      <c r="Q10" s="2030"/>
      <c r="R10" s="2030"/>
    </row>
    <row r="11" spans="1:19" ht="18" customHeight="1">
      <c r="A11" s="2067" t="s">
        <v>1775</v>
      </c>
      <c r="B11" s="2068" t="s">
        <v>3030</v>
      </c>
      <c r="C11" s="3295" t="s">
        <v>3100</v>
      </c>
      <c r="D11" s="2069"/>
      <c r="E11" s="2043"/>
      <c r="F11" s="2043"/>
      <c r="G11" s="2043"/>
      <c r="H11" s="2043"/>
      <c r="I11" s="2043"/>
      <c r="J11" s="2043"/>
      <c r="K11" s="2052"/>
      <c r="L11" s="2029"/>
      <c r="M11" s="2029"/>
      <c r="N11" s="2030"/>
      <c r="O11" s="2031"/>
      <c r="P11" s="2030"/>
      <c r="Q11" s="2030"/>
      <c r="R11" s="2030"/>
    </row>
    <row r="12" spans="1:19" ht="18" customHeight="1">
      <c r="A12" s="2070" t="s">
        <v>1776</v>
      </c>
      <c r="B12" s="2068" t="s">
        <v>3029</v>
      </c>
      <c r="C12" s="2071" t="s">
        <v>1777</v>
      </c>
      <c r="D12" s="2072" t="s">
        <v>1778</v>
      </c>
      <c r="E12" s="2072" t="s">
        <v>1779</v>
      </c>
      <c r="F12" s="2072" t="s">
        <v>1780</v>
      </c>
      <c r="G12" s="2072" t="s">
        <v>1781</v>
      </c>
      <c r="H12" s="2072" t="s">
        <v>1782</v>
      </c>
      <c r="I12" s="2072" t="s">
        <v>1783</v>
      </c>
      <c r="J12" s="2043"/>
      <c r="K12" s="2052"/>
      <c r="L12" s="2029"/>
      <c r="M12" s="2029"/>
      <c r="N12" s="2030"/>
      <c r="O12" s="2031"/>
      <c r="P12" s="2030"/>
      <c r="Q12" s="2030"/>
      <c r="R12" s="2030"/>
    </row>
    <row r="13" spans="1:19" ht="18" customHeight="1">
      <c r="A13" s="2073"/>
      <c r="B13" s="2074"/>
      <c r="C13" s="2075" t="s">
        <v>1784</v>
      </c>
      <c r="D13" s="2076">
        <v>67557</v>
      </c>
      <c r="E13" s="2076">
        <v>56599</v>
      </c>
      <c r="F13" s="2076">
        <v>60252</v>
      </c>
      <c r="G13" s="2076">
        <v>60252</v>
      </c>
      <c r="H13" s="2076">
        <v>60252</v>
      </c>
      <c r="I13" s="1049"/>
      <c r="J13" s="2043"/>
      <c r="K13" s="2052"/>
      <c r="L13" s="2029"/>
      <c r="M13" s="2029"/>
      <c r="N13" s="2030"/>
      <c r="O13" s="2031"/>
      <c r="P13" s="2030"/>
      <c r="Q13" s="2030"/>
      <c r="R13" s="2030"/>
    </row>
    <row r="14" spans="1:19" ht="18" customHeight="1">
      <c r="A14" s="2073"/>
      <c r="B14" s="2074"/>
      <c r="C14" s="2075" t="s">
        <v>1785</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1786</v>
      </c>
      <c r="D15" s="1051">
        <f>IF(B12="出让",IF(D13="","",ROUNDDOWN(MIN((D13-$D$3)/365,D14),2)),D14)</f>
        <v>67.3</v>
      </c>
      <c r="E15" s="1051">
        <f>IF(B12="出让",IF(E13="","",ROUNDDOWN(MIN((E13-$D$3)/365,E14),2)),E14)</f>
        <v>37.28</v>
      </c>
      <c r="F15" s="1051">
        <f>IF(B12="出让",IF(F13="","",ROUNDDOWN(MIN((F13-$D$3)/365,F14),2)),F14)</f>
        <v>47.29</v>
      </c>
      <c r="G15" s="1051">
        <f>IF(B12="出让",IF(G13="","",ROUNDDOWN(MIN((G13-$D$3)/365,G14),2)),G14)</f>
        <v>47.29</v>
      </c>
      <c r="H15" s="1051">
        <f>IF(B12="出让",IF(H13="","",ROUNDDOWN(MIN((H13-$D$3)/365,H14),2)),H14)</f>
        <v>47.29</v>
      </c>
      <c r="I15" s="1051" t="str">
        <f>IF(B12="出让",IF(I13="","",ROUNDDOWN(MIN((I13-$D$3)/365,I14),2)),I14)</f>
        <v/>
      </c>
      <c r="J15" s="2043"/>
      <c r="K15" s="2079"/>
      <c r="L15" s="2080"/>
      <c r="M15" s="2080"/>
      <c r="N15" s="2081"/>
      <c r="O15" s="2080"/>
      <c r="P15" s="2081"/>
      <c r="Q15" s="2030"/>
      <c r="R15" s="2030"/>
    </row>
    <row r="16" spans="1:19" ht="30.75" customHeight="1">
      <c r="A16" s="2064" t="s">
        <v>1787</v>
      </c>
      <c r="B16" s="3014" t="s">
        <v>3103</v>
      </c>
      <c r="C16" s="3015"/>
      <c r="D16" s="3016"/>
      <c r="E16" s="2082" t="s">
        <v>1788</v>
      </c>
      <c r="F16" s="3296" t="s">
        <v>3104</v>
      </c>
      <c r="G16" s="3017"/>
      <c r="H16" s="3017"/>
      <c r="I16" s="3018"/>
      <c r="J16" s="2030"/>
      <c r="K16" s="2079"/>
      <c r="L16" s="2080"/>
      <c r="M16" s="2080"/>
      <c r="N16" s="2081"/>
      <c r="O16" s="2080"/>
      <c r="P16" s="2081"/>
      <c r="Q16" s="2030"/>
      <c r="R16" s="2030"/>
    </row>
    <row r="17" spans="1:22" ht="18" customHeight="1">
      <c r="A17" s="2083" t="s">
        <v>1789</v>
      </c>
      <c r="B17" s="2036" t="s">
        <v>1790</v>
      </c>
      <c r="C17" s="1056">
        <f>'数据-汇总表'!E3</f>
        <v>222493</v>
      </c>
      <c r="D17" s="2084" t="s">
        <v>1791</v>
      </c>
      <c r="E17" s="3019" t="s">
        <v>1792</v>
      </c>
      <c r="F17" s="3020"/>
      <c r="G17" s="3020"/>
      <c r="H17" s="3020"/>
      <c r="I17" s="3021"/>
      <c r="J17" s="2030"/>
      <c r="K17" s="2085"/>
      <c r="L17" s="2080"/>
      <c r="M17" s="2080"/>
      <c r="N17" s="2081"/>
      <c r="O17" s="2080"/>
      <c r="P17" s="2081"/>
      <c r="Q17" s="2030"/>
      <c r="R17" s="2030"/>
      <c r="S17" s="2030"/>
      <c r="T17" s="2030"/>
      <c r="U17" s="2030"/>
      <c r="V17" s="2030"/>
    </row>
    <row r="18" spans="1:22" ht="36" customHeight="1" thickBot="1">
      <c r="A18" s="2086" t="s">
        <v>1793</v>
      </c>
      <c r="B18" s="2039" t="s">
        <v>1794</v>
      </c>
      <c r="C18" s="1446">
        <f>'数据-汇总表'!D3</f>
        <v>53758.79</v>
      </c>
      <c r="D18" s="2087" t="s">
        <v>1791</v>
      </c>
      <c r="E18" s="3022" t="s">
        <v>1795</v>
      </c>
      <c r="F18" s="3023"/>
      <c r="G18" s="3023"/>
      <c r="H18" s="3023"/>
      <c r="I18" s="3024"/>
      <c r="J18" s="2030"/>
      <c r="K18" s="2085"/>
      <c r="L18" s="2080"/>
      <c r="M18" s="2080"/>
      <c r="N18" s="2081"/>
      <c r="O18" s="2080"/>
      <c r="P18" s="2081"/>
      <c r="Q18" s="2030"/>
      <c r="R18" s="2030"/>
      <c r="S18" s="2030"/>
      <c r="T18" s="2030"/>
      <c r="U18" s="2030"/>
      <c r="V18" s="2030"/>
    </row>
    <row r="19" spans="1:22" ht="37.5" customHeight="1" thickTop="1" thickBot="1">
      <c r="A19" s="372" t="s">
        <v>1796</v>
      </c>
      <c r="B19" s="351" t="s">
        <v>1797</v>
      </c>
      <c r="C19" s="2088" t="s">
        <v>3031</v>
      </c>
      <c r="D19" s="2089" t="s">
        <v>1798</v>
      </c>
      <c r="E19" s="2090"/>
      <c r="F19" s="2091" t="str">
        <f>IF(AND(C19="是",E19="否"),"是否提供他项权证或相关说明","")</f>
        <v/>
      </c>
      <c r="G19" s="2092"/>
      <c r="H19" s="2043"/>
      <c r="I19" s="2043"/>
      <c r="J19" s="2043"/>
      <c r="K19" s="2052"/>
      <c r="L19" s="2029"/>
      <c r="M19" s="2029"/>
      <c r="N19" s="2081"/>
      <c r="O19" s="2080"/>
      <c r="P19" s="2081"/>
      <c r="Q19" s="2030"/>
      <c r="R19" s="2030"/>
      <c r="S19" s="2030"/>
      <c r="T19" s="2030"/>
      <c r="U19" s="2030"/>
      <c r="V19" s="2030"/>
    </row>
    <row r="20" spans="1:22" ht="18" customHeight="1">
      <c r="A20" s="2093" t="s">
        <v>1799</v>
      </c>
      <c r="B20" s="3010" t="s">
        <v>1800</v>
      </c>
      <c r="C20" s="3011"/>
      <c r="D20" s="3012" t="s">
        <v>1801</v>
      </c>
      <c r="E20" s="3013"/>
      <c r="F20" s="2094" t="s">
        <v>1802</v>
      </c>
      <c r="G20" s="2043"/>
      <c r="H20" s="2043"/>
      <c r="I20" s="2043"/>
      <c r="J20" s="2043"/>
      <c r="K20" s="3009" t="s">
        <v>1803</v>
      </c>
      <c r="L20" s="747"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29"/>
      <c r="N20" s="2081"/>
      <c r="O20" s="2080"/>
      <c r="P20" s="2081"/>
      <c r="Q20" s="2030"/>
      <c r="R20" s="2030"/>
      <c r="S20" s="2030"/>
      <c r="T20" s="2030"/>
      <c r="U20" s="2030"/>
      <c r="V20" s="2030"/>
    </row>
    <row r="21" spans="1:22" ht="24.75" customHeight="1">
      <c r="A21" s="2093"/>
      <c r="B21" s="2095"/>
      <c r="C21" s="2096"/>
      <c r="D21" s="2097"/>
      <c r="E21" s="2098"/>
      <c r="F21" s="2099"/>
      <c r="G21" s="2043"/>
      <c r="H21" s="2043"/>
      <c r="I21" s="2043"/>
      <c r="J21" s="2043"/>
      <c r="K21" s="300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1"/>
      <c r="O21" s="2080"/>
      <c r="P21" s="2081"/>
      <c r="Q21" s="2030"/>
      <c r="R21" s="2030"/>
      <c r="S21" s="2030"/>
      <c r="T21" s="2030"/>
      <c r="U21" s="2030"/>
      <c r="V21" s="2030"/>
    </row>
    <row r="22" spans="1:22" ht="24.75" customHeight="1" thickBot="1">
      <c r="A22" s="2093"/>
      <c r="B22" s="2100" t="s">
        <v>1804</v>
      </c>
      <c r="C22" s="2096" t="s">
        <v>1805</v>
      </c>
      <c r="D22" s="2027"/>
      <c r="E22" s="2027"/>
      <c r="F22" s="2101"/>
      <c r="G22" s="2043"/>
      <c r="H22" s="2043"/>
      <c r="I22" s="2043"/>
      <c r="J22" s="2043"/>
      <c r="K22" s="300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1806</v>
      </c>
      <c r="B23" s="182" t="s">
        <v>1807</v>
      </c>
      <c r="C23" s="2103"/>
      <c r="D23" s="2104" t="s">
        <v>1807</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2" t="s">
        <v>1808</v>
      </c>
      <c r="C24" s="2108"/>
      <c r="D24" s="2102" t="s">
        <v>1808</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2" t="s">
        <v>1809</v>
      </c>
      <c r="C25" s="2108"/>
      <c r="D25" s="2102" t="s">
        <v>1809</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1810</v>
      </c>
      <c r="C26" s="2112"/>
      <c r="D26" s="2113" t="s">
        <v>1811</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26" t="s">
        <v>1812</v>
      </c>
      <c r="B27" s="2061" t="s">
        <v>1813</v>
      </c>
      <c r="C27" s="2116" t="s">
        <v>3105</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26"/>
      <c r="B28" s="2036" t="s">
        <v>1814</v>
      </c>
      <c r="C28" s="2118" t="s">
        <v>3032</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26"/>
      <c r="B29" s="2036" t="s">
        <v>1815</v>
      </c>
      <c r="C29" s="2121" t="s">
        <v>3106</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27"/>
      <c r="B30" s="2036" t="s">
        <v>1816</v>
      </c>
      <c r="C30" s="3297" t="s">
        <v>3107</v>
      </c>
      <c r="D30" s="3028"/>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29" t="s">
        <v>1817</v>
      </c>
      <c r="B31" s="2123" t="s">
        <v>3108</v>
      </c>
      <c r="C31" s="2124" t="str">
        <f>IF(B31="现房","成新及维护状况正常否",IF(B31="在建","工程状态是否正常",IF(B31="土地","是否闲置","-")))</f>
        <v>工程状态是否正常</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30"/>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30"/>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1818</v>
      </c>
      <c r="B34" s="2130" t="s">
        <v>3033</v>
      </c>
      <c r="C34" s="2130" t="s">
        <v>3034</v>
      </c>
      <c r="D34" s="2130" t="s">
        <v>3035</v>
      </c>
      <c r="E34" s="2130" t="s">
        <v>3036</v>
      </c>
      <c r="F34" s="2130" t="s">
        <v>3037</v>
      </c>
      <c r="G34" s="2130" t="s">
        <v>3038</v>
      </c>
      <c r="H34" s="2130" t="s">
        <v>3039</v>
      </c>
      <c r="I34" s="2043"/>
      <c r="J34" s="2043"/>
      <c r="K34" s="1796">
        <f>COUNTIF(B34:H34,"——")</f>
        <v>0</v>
      </c>
      <c r="L34" s="2071" t="s">
        <v>1819</v>
      </c>
      <c r="M34" s="2071" t="s">
        <v>1820</v>
      </c>
      <c r="N34" s="2071" t="s">
        <v>1821</v>
      </c>
      <c r="O34" s="2071" t="s">
        <v>1822</v>
      </c>
      <c r="P34" s="2071" t="s">
        <v>1823</v>
      </c>
      <c r="Q34" s="2071" t="s">
        <v>1824</v>
      </c>
      <c r="R34" s="2071" t="s">
        <v>1825</v>
      </c>
      <c r="S34" s="3025" t="s">
        <v>1826</v>
      </c>
      <c r="T34" s="2131" t="str">
        <f>NUMBERSTRING(7-K34,1)&amp;"通"</f>
        <v>七通</v>
      </c>
      <c r="U34" s="2030"/>
      <c r="V34" s="2030"/>
    </row>
    <row r="35" spans="1:22" ht="18" customHeight="1">
      <c r="A35" s="2132"/>
      <c r="B35" s="3031" t="s">
        <v>1827</v>
      </c>
      <c r="C35" s="3031"/>
      <c r="D35" s="3031"/>
      <c r="E35" s="3031"/>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5"/>
      <c r="T35" s="48" t="str">
        <f>IF(T34="一通",L35,IF(T34="二通",M35,IF(T34="三通",N35,IF(T34="四通",O35,IF(T34="五通",P35,IF(T34="六通",Q35,R35))))))</f>
        <v>通路、通电、通讯、通上水、通下水、通热、燃气</v>
      </c>
      <c r="U35" s="2030"/>
      <c r="V35" s="2030"/>
    </row>
    <row r="36" spans="1:22" ht="18" customHeight="1">
      <c r="A36" s="2134"/>
      <c r="B36" s="2133" t="s">
        <v>1828</v>
      </c>
      <c r="C36" s="2133" t="s">
        <v>1829</v>
      </c>
      <c r="D36" s="2133" t="s">
        <v>1830</v>
      </c>
      <c r="E36" s="2133" t="s">
        <v>1831</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1832</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1833</v>
      </c>
      <c r="B38" s="2139" t="s">
        <v>412</v>
      </c>
      <c r="C38" s="2139" t="s">
        <v>412</v>
      </c>
      <c r="D38" s="2139" t="s">
        <v>412</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1834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5"/>
      <c r="L40" s="2080"/>
      <c r="M40" s="2080"/>
      <c r="N40" s="2081"/>
      <c r="O40" s="2080"/>
      <c r="P40" s="2030"/>
      <c r="Q40" s="2030"/>
      <c r="R40" s="2030"/>
      <c r="S40" s="2030"/>
      <c r="T40" s="2030"/>
      <c r="U40" s="2030"/>
      <c r="V40" s="2030"/>
    </row>
    <row r="41" spans="1:22" ht="18" customHeight="1">
      <c r="A41" s="8" t="s">
        <v>1835</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1836</v>
      </c>
      <c r="B42" s="1796" t="s">
        <v>1837</v>
      </c>
      <c r="C42" s="1796" t="s">
        <v>1838</v>
      </c>
      <c r="D42" s="1796" t="s">
        <v>1839</v>
      </c>
      <c r="E42" s="1796" t="s">
        <v>1840</v>
      </c>
      <c r="F42" s="1796" t="s">
        <v>1841</v>
      </c>
      <c r="G42" s="1796" t="s">
        <v>1842</v>
      </c>
      <c r="H42" s="1796" t="s">
        <v>1843</v>
      </c>
      <c r="I42" s="1796" t="s">
        <v>1844</v>
      </c>
      <c r="J42" s="2149" t="s">
        <v>1845</v>
      </c>
      <c r="K42" s="2072" t="s">
        <v>1846</v>
      </c>
      <c r="L42" s="2072" t="s">
        <v>1847</v>
      </c>
      <c r="M42" s="2072" t="s">
        <v>1848</v>
      </c>
      <c r="N42" s="1796" t="s">
        <v>1849</v>
      </c>
      <c r="O42" s="1796" t="s">
        <v>1850</v>
      </c>
      <c r="P42" s="1796" t="s">
        <v>1851</v>
      </c>
      <c r="Q42" s="2071" t="s">
        <v>1852</v>
      </c>
      <c r="R42" s="2071" t="s">
        <v>1853</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customWidth="1"/>
    <col min="31" max="31" width="9.75" style="2156" customWidth="1"/>
    <col min="32" max="33" width="9.5" style="2156" hidden="1" customWidth="1"/>
    <col min="34" max="35" width="9.5" style="2156" customWidth="1"/>
    <col min="36" max="37" width="9.5" style="2156" hidden="1" customWidth="1"/>
    <col min="38" max="41" width="9.5" style="2156" customWidth="1"/>
    <col min="42" max="45" width="9.5" style="2156" hidden="1" customWidth="1"/>
    <col min="46"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1854</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1855</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1856</v>
      </c>
      <c r="B2" s="11" t="s">
        <v>1857</v>
      </c>
      <c r="C2" s="11" t="s">
        <v>1858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1859</v>
      </c>
      <c r="AZ2" s="1272" t="s">
        <v>1860</v>
      </c>
      <c r="BA2" s="11" t="s">
        <v>1861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65815.478-6483</f>
        <v>59332.478000000003</v>
      </c>
      <c r="B3" s="14">
        <f>IF(C3="否",G5-AT5,G5)</f>
        <v>245561</v>
      </c>
      <c r="C3" s="2165" t="s">
        <v>3040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1862</v>
      </c>
      <c r="B5" s="1804"/>
      <c r="C5" s="1804"/>
      <c r="D5" s="1807"/>
      <c r="E5" s="16" t="s">
        <v>1</v>
      </c>
      <c r="F5" s="16">
        <f>SUM(F13:F587)</f>
        <v>0</v>
      </c>
      <c r="G5" s="16">
        <f>SUM(G13:G587)</f>
        <v>245561</v>
      </c>
      <c r="H5" s="16">
        <f t="shared" ref="H5:AT5" si="0">SUM(H13:H656)</f>
        <v>189020</v>
      </c>
      <c r="I5" s="16">
        <f t="shared" si="0"/>
        <v>136969</v>
      </c>
      <c r="J5" s="16">
        <f t="shared" si="0"/>
        <v>0</v>
      </c>
      <c r="K5" s="16">
        <f t="shared" si="0"/>
        <v>4068</v>
      </c>
      <c r="L5" s="16">
        <f t="shared" si="0"/>
        <v>0</v>
      </c>
      <c r="M5" s="16">
        <f t="shared" si="0"/>
        <v>21142</v>
      </c>
      <c r="N5" s="16">
        <f t="shared" si="0"/>
        <v>0</v>
      </c>
      <c r="O5" s="16">
        <f t="shared" si="0"/>
        <v>26841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33473</v>
      </c>
      <c r="AD5" s="16">
        <f t="shared" si="0"/>
        <v>7215</v>
      </c>
      <c r="AE5" s="16">
        <f t="shared" si="0"/>
        <v>0</v>
      </c>
      <c r="AF5" s="16">
        <f t="shared" si="0"/>
        <v>0</v>
      </c>
      <c r="AG5" s="16">
        <f t="shared" si="0"/>
        <v>0</v>
      </c>
      <c r="AH5" s="16">
        <f t="shared" si="0"/>
        <v>520</v>
      </c>
      <c r="AI5" s="16">
        <f t="shared" si="0"/>
        <v>0</v>
      </c>
      <c r="AJ5" s="16">
        <f t="shared" si="0"/>
        <v>0</v>
      </c>
      <c r="AK5" s="16">
        <f t="shared" si="0"/>
        <v>0</v>
      </c>
      <c r="AL5" s="16">
        <f t="shared" si="0"/>
        <v>761</v>
      </c>
      <c r="AM5" s="16">
        <f t="shared" si="0"/>
        <v>0</v>
      </c>
      <c r="AN5" s="16">
        <f t="shared" si="0"/>
        <v>24977</v>
      </c>
      <c r="AO5" s="16">
        <f t="shared" si="0"/>
        <v>0</v>
      </c>
      <c r="AP5" s="16">
        <f t="shared" si="0"/>
        <v>0</v>
      </c>
      <c r="AQ5" s="16">
        <f t="shared" si="0"/>
        <v>0</v>
      </c>
      <c r="AR5" s="16">
        <f t="shared" si="0"/>
        <v>0</v>
      </c>
      <c r="AS5" s="16">
        <f t="shared" si="0"/>
        <v>0</v>
      </c>
      <c r="AT5" s="16">
        <f t="shared" si="0"/>
        <v>23068</v>
      </c>
      <c r="AU5" s="1803"/>
      <c r="AV5" s="15" t="s">
        <v>1862</v>
      </c>
      <c r="AW5" s="1804"/>
      <c r="AX5" s="1804"/>
      <c r="AY5" s="17" t="s">
        <v>3</v>
      </c>
      <c r="AZ5" s="18">
        <f t="shared" ref="AZ5:BT5" si="1">SUM(AZ13:AZ656)</f>
        <v>222493</v>
      </c>
      <c r="BA5" s="18">
        <f t="shared" si="1"/>
        <v>189020</v>
      </c>
      <c r="BB5" s="18">
        <f t="shared" si="1"/>
        <v>136969</v>
      </c>
      <c r="BC5" s="18">
        <f t="shared" si="1"/>
        <v>4068</v>
      </c>
      <c r="BD5" s="18">
        <f t="shared" si="1"/>
        <v>21142</v>
      </c>
      <c r="BE5" s="18">
        <f t="shared" si="1"/>
        <v>26841</v>
      </c>
      <c r="BF5" s="18">
        <f t="shared" si="1"/>
        <v>0</v>
      </c>
      <c r="BG5" s="18">
        <f t="shared" si="1"/>
        <v>0</v>
      </c>
      <c r="BH5" s="18">
        <f t="shared" si="1"/>
        <v>0</v>
      </c>
      <c r="BI5" s="18">
        <f t="shared" si="1"/>
        <v>0</v>
      </c>
      <c r="BJ5" s="18">
        <f t="shared" si="1"/>
        <v>0</v>
      </c>
      <c r="BK5" s="18">
        <f t="shared" si="1"/>
        <v>0</v>
      </c>
      <c r="BL5" s="18">
        <f t="shared" si="1"/>
        <v>33473</v>
      </c>
      <c r="BM5" s="18">
        <f t="shared" si="1"/>
        <v>7215</v>
      </c>
      <c r="BN5" s="18">
        <f t="shared" si="1"/>
        <v>0</v>
      </c>
      <c r="BO5" s="18">
        <f t="shared" si="1"/>
        <v>520</v>
      </c>
      <c r="BP5" s="18">
        <f t="shared" si="1"/>
        <v>0</v>
      </c>
      <c r="BQ5" s="18">
        <f t="shared" si="1"/>
        <v>761</v>
      </c>
      <c r="BR5" s="18">
        <f t="shared" si="1"/>
        <v>24977</v>
      </c>
      <c r="BS5" s="18">
        <f t="shared" si="1"/>
        <v>0</v>
      </c>
      <c r="BT5" s="19">
        <f t="shared" si="1"/>
        <v>0</v>
      </c>
    </row>
    <row r="6" spans="1:72" s="2174" customFormat="1" ht="12.75">
      <c r="A6" s="15" t="s">
        <v>1863</v>
      </c>
      <c r="B6" s="2171"/>
      <c r="C6" s="2171"/>
      <c r="D6" s="2172"/>
      <c r="E6" s="16">
        <f>H6+AC6+AT6</f>
        <v>59332.48000000001</v>
      </c>
      <c r="F6" s="16" t="s">
        <v>1</v>
      </c>
      <c r="G6" s="16" t="s">
        <v>2</v>
      </c>
      <c r="H6" s="20">
        <f>SUMIF(I$12:AB$12,"总值",I6:AB6)</f>
        <v>45671.040000000008</v>
      </c>
      <c r="I6" s="16">
        <f t="shared" ref="I6:AB6" si="2">ROUND($A$3*I5/$B$3,2)</f>
        <v>33094.47</v>
      </c>
      <c r="J6" s="16">
        <f t="shared" si="2"/>
        <v>0</v>
      </c>
      <c r="K6" s="16">
        <f t="shared" si="2"/>
        <v>982.91</v>
      </c>
      <c r="L6" s="16">
        <f t="shared" si="2"/>
        <v>0</v>
      </c>
      <c r="M6" s="16">
        <f t="shared" si="2"/>
        <v>5108.33</v>
      </c>
      <c r="N6" s="16">
        <f t="shared" si="2"/>
        <v>0</v>
      </c>
      <c r="O6" s="16">
        <f t="shared" si="2"/>
        <v>6485.33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8087.75</v>
      </c>
      <c r="AD6" s="16">
        <f t="shared" ref="AD6:AS6" si="3">ROUND($A$3*AD5/$B$3,2)</f>
        <v>1743.29</v>
      </c>
      <c r="AE6" s="16">
        <f t="shared" si="3"/>
        <v>0</v>
      </c>
      <c r="AF6" s="16">
        <f t="shared" si="3"/>
        <v>0</v>
      </c>
      <c r="AG6" s="16">
        <f t="shared" si="3"/>
        <v>0</v>
      </c>
      <c r="AH6" s="16">
        <f t="shared" si="3"/>
        <v>125.64</v>
      </c>
      <c r="AI6" s="16">
        <f t="shared" si="3"/>
        <v>0</v>
      </c>
      <c r="AJ6" s="16">
        <f t="shared" si="3"/>
        <v>0</v>
      </c>
      <c r="AK6" s="16">
        <f t="shared" si="3"/>
        <v>0</v>
      </c>
      <c r="AL6" s="16">
        <f t="shared" si="3"/>
        <v>183.87</v>
      </c>
      <c r="AM6" s="16">
        <f t="shared" si="3"/>
        <v>0</v>
      </c>
      <c r="AN6" s="16">
        <f t="shared" si="3"/>
        <v>6034.95</v>
      </c>
      <c r="AO6" s="16">
        <f t="shared" si="3"/>
        <v>0</v>
      </c>
      <c r="AP6" s="16">
        <f t="shared" si="3"/>
        <v>0</v>
      </c>
      <c r="AQ6" s="16">
        <f t="shared" si="3"/>
        <v>0</v>
      </c>
      <c r="AR6" s="16">
        <f t="shared" si="3"/>
        <v>0</v>
      </c>
      <c r="AS6" s="16">
        <f t="shared" si="3"/>
        <v>0</v>
      </c>
      <c r="AT6" s="20">
        <f>IF(C3="是",ROUND($A$3*AT5/$B$3,2),0)</f>
        <v>5573.69</v>
      </c>
      <c r="AU6" s="2173"/>
      <c r="AV6" s="15" t="s">
        <v>1863</v>
      </c>
      <c r="AW6" s="2171"/>
      <c r="AX6" s="2171"/>
      <c r="AY6" s="21">
        <f>IF(AY3&gt;0,AY3,ROUND($A$3*AZ5/$B$3,2))</f>
        <v>53758.79</v>
      </c>
      <c r="AZ6" s="16" t="s">
        <v>3</v>
      </c>
      <c r="BA6" s="16">
        <f>ROUND($AY$6*BA5/$AZ$5,2)</f>
        <v>45671.040000000001</v>
      </c>
      <c r="BB6" s="16">
        <f>ROUND($AY$6*BB5/$AZ$5,2)</f>
        <v>33094.47</v>
      </c>
      <c r="BC6" s="16">
        <f t="shared" ref="BC6:BH6" si="4">ROUND($AY$6*BC5/$AZ$5,2)</f>
        <v>982.91</v>
      </c>
      <c r="BD6" s="16">
        <f t="shared" si="4"/>
        <v>5108.33</v>
      </c>
      <c r="BE6" s="16">
        <f t="shared" si="4"/>
        <v>6485.33</v>
      </c>
      <c r="BF6" s="16">
        <f t="shared" si="4"/>
        <v>0</v>
      </c>
      <c r="BG6" s="16">
        <f t="shared" si="4"/>
        <v>0</v>
      </c>
      <c r="BH6" s="16">
        <f t="shared" si="4"/>
        <v>0</v>
      </c>
      <c r="BI6" s="16">
        <f t="shared" ref="BI6:BT6" si="5">ROUND($AY$6*BI5/$AZ$5,2)</f>
        <v>0</v>
      </c>
      <c r="BJ6" s="16">
        <f t="shared" si="5"/>
        <v>0</v>
      </c>
      <c r="BK6" s="16">
        <f t="shared" si="5"/>
        <v>0</v>
      </c>
      <c r="BL6" s="16">
        <f t="shared" si="5"/>
        <v>8087.75</v>
      </c>
      <c r="BM6" s="16">
        <f t="shared" si="5"/>
        <v>1743.29</v>
      </c>
      <c r="BN6" s="16">
        <f t="shared" si="5"/>
        <v>0</v>
      </c>
      <c r="BO6" s="16">
        <f t="shared" si="5"/>
        <v>125.64</v>
      </c>
      <c r="BP6" s="16">
        <f t="shared" si="5"/>
        <v>0</v>
      </c>
      <c r="BQ6" s="16">
        <f t="shared" si="5"/>
        <v>183.87</v>
      </c>
      <c r="BR6" s="16">
        <f t="shared" si="5"/>
        <v>6034.95</v>
      </c>
      <c r="BS6" s="16">
        <f t="shared" si="5"/>
        <v>0</v>
      </c>
      <c r="BT6" s="22">
        <f t="shared" si="5"/>
        <v>0</v>
      </c>
    </row>
    <row r="7" spans="1:72" s="2164" customFormat="1" ht="24.75">
      <c r="A7" s="2106" t="s">
        <v>1864</v>
      </c>
      <c r="B7" s="2106" t="s">
        <v>1865</v>
      </c>
      <c r="C7" s="2106" t="s">
        <v>1866</v>
      </c>
      <c r="D7" s="2106" t="s">
        <v>1867</v>
      </c>
      <c r="E7" s="2106" t="s">
        <v>1868</v>
      </c>
      <c r="F7" s="2106" t="s">
        <v>1869</v>
      </c>
      <c r="G7" s="2175" t="s">
        <v>1870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1871</v>
      </c>
      <c r="AV7" s="23" t="s">
        <v>1872</v>
      </c>
      <c r="AW7" s="2163" t="s">
        <v>1873</v>
      </c>
      <c r="AX7" s="23" t="s">
        <v>1866</v>
      </c>
      <c r="AY7" s="1804" t="s">
        <v>1874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1875</v>
      </c>
      <c r="H8" s="2181" t="s">
        <v>1876</v>
      </c>
      <c r="I8" s="2182"/>
      <c r="J8" s="1819"/>
      <c r="K8" s="1819"/>
      <c r="L8" s="1819"/>
      <c r="M8" s="1819"/>
      <c r="N8" s="1819"/>
      <c r="O8" s="1819"/>
      <c r="P8" s="1819"/>
      <c r="Q8" s="1819"/>
      <c r="R8" s="1819"/>
      <c r="S8" s="1819"/>
      <c r="T8" s="1819"/>
      <c r="U8" s="1819"/>
      <c r="V8" s="2183"/>
      <c r="W8" s="1819"/>
      <c r="X8" s="1819"/>
      <c r="Y8" s="1819"/>
      <c r="Z8" s="1819"/>
      <c r="AA8" s="2183"/>
      <c r="AB8" s="2184"/>
      <c r="AC8" s="983" t="s">
        <v>1877</v>
      </c>
      <c r="AD8" s="2185"/>
      <c r="AE8" s="2177"/>
      <c r="AF8" s="1819"/>
      <c r="AG8" s="1819"/>
      <c r="AH8" s="1819"/>
      <c r="AI8" s="1819"/>
      <c r="AJ8" s="1819"/>
      <c r="AK8" s="1819"/>
      <c r="AL8" s="1819"/>
      <c r="AM8" s="1819"/>
      <c r="AN8" s="1819"/>
      <c r="AO8" s="1819"/>
      <c r="AP8" s="1819"/>
      <c r="AQ8" s="1819"/>
      <c r="AR8" s="1819"/>
      <c r="AS8" s="1819"/>
      <c r="AT8" s="1294" t="s">
        <v>1878</v>
      </c>
      <c r="AU8" s="2179" t="s">
        <v>1879</v>
      </c>
      <c r="AV8" s="1294"/>
      <c r="AW8" s="2162"/>
      <c r="AX8" s="1294"/>
      <c r="AY8" s="2163" t="s">
        <v>1880</v>
      </c>
      <c r="AZ8" s="1818" t="s">
        <v>1881</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1882</v>
      </c>
      <c r="I9" s="2188" t="s">
        <v>3041</v>
      </c>
      <c r="J9" s="983"/>
      <c r="K9" s="2188" t="s">
        <v>3041</v>
      </c>
      <c r="L9" s="983"/>
      <c r="M9" s="2188" t="s">
        <v>3041</v>
      </c>
      <c r="N9" s="983"/>
      <c r="O9" s="2188" t="s">
        <v>3113</v>
      </c>
      <c r="P9" s="983"/>
      <c r="Q9" s="2188"/>
      <c r="R9" s="983"/>
      <c r="S9" s="2188"/>
      <c r="T9" s="983"/>
      <c r="U9" s="2188"/>
      <c r="V9" s="983"/>
      <c r="W9" s="2188"/>
      <c r="X9" s="2189"/>
      <c r="Y9" s="2188"/>
      <c r="Z9" s="983"/>
      <c r="AA9" s="2188"/>
      <c r="AB9" s="983"/>
      <c r="AC9" s="2180" t="s">
        <v>1882</v>
      </c>
      <c r="AD9" s="15" t="s">
        <v>1883</v>
      </c>
      <c r="AE9" s="1300"/>
      <c r="AF9" s="15" t="s">
        <v>1884</v>
      </c>
      <c r="AG9" s="1300"/>
      <c r="AH9" s="15" t="s">
        <v>1883</v>
      </c>
      <c r="AI9" s="1300"/>
      <c r="AJ9" s="15" t="s">
        <v>1884</v>
      </c>
      <c r="AK9" s="1300"/>
      <c r="AL9" s="15" t="s">
        <v>1883</v>
      </c>
      <c r="AM9" s="1300"/>
      <c r="AN9" s="15" t="s">
        <v>1884</v>
      </c>
      <c r="AO9" s="1300"/>
      <c r="AP9" s="15" t="s">
        <v>1883</v>
      </c>
      <c r="AQ9" s="1300"/>
      <c r="AR9" s="15" t="s">
        <v>1884</v>
      </c>
      <c r="AS9" s="2190"/>
      <c r="AT9" s="2179"/>
      <c r="AU9" s="2179" t="s">
        <v>1885</v>
      </c>
      <c r="AV9" s="1294"/>
      <c r="AW9" s="2162"/>
      <c r="AX9" s="1294"/>
      <c r="AY9" s="28"/>
      <c r="AZ9" s="28" t="s">
        <v>1875</v>
      </c>
      <c r="BA9" s="2191" t="s">
        <v>1886</v>
      </c>
      <c r="BB9" s="2192"/>
      <c r="BC9" s="1340"/>
      <c r="BD9" s="1340"/>
      <c r="BE9" s="1340"/>
      <c r="BF9" s="1340"/>
      <c r="BG9" s="1340"/>
      <c r="BH9" s="1340"/>
      <c r="BI9" s="1340"/>
      <c r="BJ9" s="1340"/>
      <c r="BK9" s="2193"/>
      <c r="BL9" s="15" t="s">
        <v>1887</v>
      </c>
      <c r="BM9" s="1819"/>
      <c r="BN9" s="2182"/>
      <c r="BO9" s="1819"/>
      <c r="BP9" s="1819"/>
      <c r="BQ9" s="1819"/>
      <c r="BR9" s="1819"/>
      <c r="BS9" s="1819"/>
      <c r="BT9" s="26"/>
    </row>
    <row r="10" spans="1:72" s="2186" customFormat="1" ht="12.75">
      <c r="A10" s="2179"/>
      <c r="B10" s="2179"/>
      <c r="C10" s="2179"/>
      <c r="D10" s="2179"/>
      <c r="E10" s="2179"/>
      <c r="F10" s="2179"/>
      <c r="G10" s="1294"/>
      <c r="H10" s="28"/>
      <c r="I10" s="2188" t="s">
        <v>3109</v>
      </c>
      <c r="J10" s="983"/>
      <c r="K10" s="2194" t="s">
        <v>1373</v>
      </c>
      <c r="L10" s="983"/>
      <c r="M10" s="2194" t="s">
        <v>27</v>
      </c>
      <c r="N10" s="983"/>
      <c r="O10" s="2194" t="s">
        <v>3114</v>
      </c>
      <c r="P10" s="983"/>
      <c r="Q10" s="2194"/>
      <c r="R10" s="983"/>
      <c r="S10" s="2194"/>
      <c r="T10" s="983"/>
      <c r="U10" s="2194"/>
      <c r="V10" s="983"/>
      <c r="W10" s="2194"/>
      <c r="X10" s="983"/>
      <c r="Y10" s="2194"/>
      <c r="Z10" s="983"/>
      <c r="AA10" s="2194"/>
      <c r="AB10" s="983"/>
      <c r="AC10" s="1294"/>
      <c r="AD10" s="15" t="s">
        <v>1888</v>
      </c>
      <c r="AE10" s="2195"/>
      <c r="AF10" s="15" t="s">
        <v>1888</v>
      </c>
      <c r="AG10" s="2195"/>
      <c r="AH10" s="15" t="s">
        <v>1889</v>
      </c>
      <c r="AI10" s="2195"/>
      <c r="AJ10" s="15" t="s">
        <v>1889</v>
      </c>
      <c r="AK10" s="2195"/>
      <c r="AL10" s="15" t="s">
        <v>1890</v>
      </c>
      <c r="AM10" s="1300"/>
      <c r="AN10" s="15" t="s">
        <v>1890</v>
      </c>
      <c r="AO10" s="1300"/>
      <c r="AP10" s="15" t="s">
        <v>1891</v>
      </c>
      <c r="AQ10" s="1300"/>
      <c r="AR10" s="15" t="s">
        <v>1891</v>
      </c>
      <c r="AS10" s="1300"/>
      <c r="AT10" s="2179"/>
      <c r="AU10" s="2179"/>
      <c r="AV10" s="1294"/>
      <c r="AW10" s="2162"/>
      <c r="AX10" s="1294"/>
      <c r="AY10" s="28"/>
      <c r="AZ10" s="28"/>
      <c r="BA10" s="2196" t="s">
        <v>1882</v>
      </c>
      <c r="BB10" s="2197" t="str">
        <f>I9</f>
        <v>地上</v>
      </c>
      <c r="BC10" s="29" t="str">
        <f>K9</f>
        <v>地上</v>
      </c>
      <c r="BD10" s="29" t="str">
        <f>M9</f>
        <v>地上</v>
      </c>
      <c r="BE10" s="29" t="str">
        <f>O9</f>
        <v>地下</v>
      </c>
      <c r="BF10" s="29">
        <f>Q9</f>
        <v>0</v>
      </c>
      <c r="BG10" s="29">
        <f>S9</f>
        <v>0</v>
      </c>
      <c r="BH10" s="29">
        <f>U9</f>
        <v>0</v>
      </c>
      <c r="BI10" s="29">
        <f>W9</f>
        <v>0</v>
      </c>
      <c r="BJ10" s="29">
        <f>Y9</f>
        <v>0</v>
      </c>
      <c r="BK10" s="29">
        <f>AA9</f>
        <v>0</v>
      </c>
      <c r="BL10" s="25" t="s">
        <v>1882</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t="s">
        <v>3110</v>
      </c>
      <c r="J11" s="2200"/>
      <c r="K11" s="2199" t="s">
        <v>3111</v>
      </c>
      <c r="L11" s="2200"/>
      <c r="M11" s="2199" t="s">
        <v>3112</v>
      </c>
      <c r="N11" s="2200"/>
      <c r="O11" s="2199" t="s">
        <v>3114</v>
      </c>
      <c r="P11" s="2200"/>
      <c r="Q11" s="2199"/>
      <c r="R11" s="2200"/>
      <c r="S11" s="2199"/>
      <c r="T11" s="2200"/>
      <c r="U11" s="2199"/>
      <c r="V11" s="2200"/>
      <c r="W11" s="2199"/>
      <c r="X11" s="2200"/>
      <c r="Y11" s="2199"/>
      <c r="Z11" s="2200"/>
      <c r="AA11" s="2199"/>
      <c r="AB11" s="2200"/>
      <c r="AC11" s="1294"/>
      <c r="AD11" s="2201" t="s">
        <v>1892</v>
      </c>
      <c r="AE11" s="1820"/>
      <c r="AF11" s="2201" t="s">
        <v>1892</v>
      </c>
      <c r="AG11" s="1820"/>
      <c r="AH11" s="2201" t="s">
        <v>1893</v>
      </c>
      <c r="AI11" s="2202"/>
      <c r="AJ11" s="2201" t="s">
        <v>1893</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办公</v>
      </c>
      <c r="BE11" s="2184" t="str">
        <f>O10</f>
        <v>车库</v>
      </c>
      <c r="BF11" s="2184">
        <f>Q10</f>
        <v>0</v>
      </c>
      <c r="BG11" s="2184">
        <f>S10</f>
        <v>0</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3" t="s">
        <v>1895</v>
      </c>
      <c r="W12" s="11" t="s">
        <v>1894</v>
      </c>
      <c r="X12" s="11" t="s">
        <v>1895</v>
      </c>
      <c r="Y12" s="11" t="s">
        <v>1894</v>
      </c>
      <c r="Z12" s="11" t="s">
        <v>1895</v>
      </c>
      <c r="AA12" s="11" t="s">
        <v>1894</v>
      </c>
      <c r="AB12" s="11" t="s">
        <v>1895</v>
      </c>
      <c r="AC12" s="2206"/>
      <c r="AD12" s="1807"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4" t="s">
        <v>1895</v>
      </c>
      <c r="AT12" s="2207"/>
      <c r="AU12" s="2204"/>
      <c r="AV12" s="31"/>
      <c r="AW12" s="2163"/>
      <c r="AX12" s="31"/>
      <c r="AY12" s="2208"/>
      <c r="AZ12" s="28"/>
      <c r="BA12" s="2196"/>
      <c r="BB12" s="24" t="str">
        <f>I11</f>
        <v>平层住宅</v>
      </c>
      <c r="BC12" s="2209" t="str">
        <f>K11</f>
        <v>底商</v>
      </c>
      <c r="BD12" s="2209" t="str">
        <f>M11</f>
        <v>办公楼</v>
      </c>
      <c r="BE12" s="2184" t="str">
        <f>O11</f>
        <v>车库</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3299" t="s">
        <v>3145</v>
      </c>
      <c r="D13" s="2210" t="s">
        <v>3040</v>
      </c>
      <c r="E13" s="16">
        <f>IF($C$3="是",ROUND($A$3*G13/$B$3,2),ROUND($A$3*(G13-AT13)/$B$3,2))</f>
        <v>46755.91</v>
      </c>
      <c r="F13" s="32"/>
      <c r="G13" s="33">
        <f>H13+AC13+AT13</f>
        <v>193510</v>
      </c>
      <c r="H13" s="20">
        <f>SUMIF(I$12:AB$12,"总值",I13:AB13)</f>
        <v>136969</v>
      </c>
      <c r="I13" s="2211">
        <f>面积表!C18</f>
        <v>136969</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33473</v>
      </c>
      <c r="AD13" s="2212">
        <f>面积表!G18</f>
        <v>7215</v>
      </c>
      <c r="AE13" s="2212"/>
      <c r="AF13" s="2212"/>
      <c r="AG13" s="2212"/>
      <c r="AH13" s="2212">
        <f>面积表!H18</f>
        <v>520</v>
      </c>
      <c r="AI13" s="2212"/>
      <c r="AJ13" s="2212"/>
      <c r="AK13" s="2212"/>
      <c r="AL13" s="2212">
        <f>面积表!I18</f>
        <v>761</v>
      </c>
      <c r="AM13" s="2212"/>
      <c r="AN13" s="2212">
        <f>面积表!J18</f>
        <v>24977</v>
      </c>
      <c r="AO13" s="2212"/>
      <c r="AP13" s="2212"/>
      <c r="AQ13" s="2212"/>
      <c r="AR13" s="2212"/>
      <c r="AS13" s="2212"/>
      <c r="AT13" s="2213">
        <f>面积表!L18</f>
        <v>23068</v>
      </c>
      <c r="AU13" s="2214"/>
      <c r="AV13" s="11">
        <f t="shared" ref="AV13:AX17" si="6">A13</f>
        <v>0</v>
      </c>
      <c r="AW13" s="11">
        <f t="shared" si="6"/>
        <v>0</v>
      </c>
      <c r="AX13" s="11" t="str">
        <f t="shared" si="6"/>
        <v>住宅</v>
      </c>
      <c r="AY13" s="1807">
        <f>ROUND($AY$6*AZ13/$AZ$5,2)</f>
        <v>41182.22</v>
      </c>
      <c r="AZ13" s="16">
        <f>BA13+BL13</f>
        <v>170442</v>
      </c>
      <c r="BA13" s="16">
        <f>SUM(BB13:BK13)</f>
        <v>136969</v>
      </c>
      <c r="BB13" s="16">
        <f>IF($D13="是",I13-J13,0)</f>
        <v>136969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33473</v>
      </c>
      <c r="BM13" s="16">
        <f>IF($D13="是",AD13-AE13,0)</f>
        <v>7215</v>
      </c>
      <c r="BN13" s="16">
        <f>IF($D13="是",AF13-AG13,0)</f>
        <v>0</v>
      </c>
      <c r="BO13" s="16">
        <f>IF($D13="是",AH13-AI13,0)</f>
        <v>520</v>
      </c>
      <c r="BP13" s="16">
        <f>IF($D13="是",AJ13-AK13,0)</f>
        <v>0</v>
      </c>
      <c r="BQ13" s="16">
        <f>IF($D13="是",AL13-AM13,0)</f>
        <v>761</v>
      </c>
      <c r="BR13" s="16">
        <f>IF($D13="是",AN13-AO13,0)</f>
        <v>24977</v>
      </c>
      <c r="BS13" s="16">
        <f>IF($D13="是",AP13-AQ13,0)</f>
        <v>0</v>
      </c>
      <c r="BT13" s="22">
        <f>IF($D13="是",AR13-AS13,0)</f>
        <v>0</v>
      </c>
    </row>
    <row r="14" spans="1:72" s="2164" customFormat="1" ht="12.75">
      <c r="A14" s="1274"/>
      <c r="B14" s="1274"/>
      <c r="C14" s="3299" t="s">
        <v>3146</v>
      </c>
      <c r="D14" s="2210" t="s">
        <v>3040</v>
      </c>
      <c r="E14" s="16">
        <f>IF($C$3="是",ROUND($A$3*G14/$B$3,2),ROUND($A$3*(G14-AT14)/$B$3,2))</f>
        <v>982.91</v>
      </c>
      <c r="F14" s="32"/>
      <c r="G14" s="33">
        <f>H14+AC14+AT14</f>
        <v>4068</v>
      </c>
      <c r="H14" s="20">
        <f>SUMIF(I$12:AB$12,"总值",I14:AB14)</f>
        <v>4068</v>
      </c>
      <c r="I14" s="2211"/>
      <c r="J14" s="2211"/>
      <c r="K14" s="2211">
        <f>面积表!D18</f>
        <v>4068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商业</v>
      </c>
      <c r="AY14" s="1807">
        <f>ROUND($AY$6*AZ14/$AZ$5,2)</f>
        <v>982.91</v>
      </c>
      <c r="AZ14" s="16">
        <f>BA14+BL14</f>
        <v>4068</v>
      </c>
      <c r="BA14" s="16">
        <f>SUM(BB14:BK14)</f>
        <v>4068</v>
      </c>
      <c r="BB14" s="16">
        <f>IF($D14="是",I14-J14,0)</f>
        <v>0</v>
      </c>
      <c r="BC14" s="16">
        <f>IF($D14="是",K14-L14,0)</f>
        <v>4068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3299" t="s">
        <v>3147</v>
      </c>
      <c r="D15" s="2210" t="s">
        <v>3040</v>
      </c>
      <c r="E15" s="16">
        <f>IF($C$3="是",ROUND($A$3*G15/$B$3,2),ROUND($A$3*(G15-AT15)/$B$3,2))</f>
        <v>5108.33</v>
      </c>
      <c r="F15" s="32"/>
      <c r="G15" s="33">
        <f>H15+AC15+AT15</f>
        <v>21142</v>
      </c>
      <c r="H15" s="20">
        <f>SUMIF(I$12:AB$12,"总值",I15:AB15)</f>
        <v>21142</v>
      </c>
      <c r="I15" s="2211"/>
      <c r="J15" s="2211"/>
      <c r="K15" s="2211"/>
      <c r="L15" s="2211"/>
      <c r="M15" s="2211">
        <f>面积表!E18</f>
        <v>21142</v>
      </c>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办公</v>
      </c>
      <c r="AY15" s="1807">
        <f>ROUND($AY$6*AZ15/$AZ$5,2)</f>
        <v>5108.33</v>
      </c>
      <c r="AZ15" s="16">
        <f>BA15+BL15</f>
        <v>21142</v>
      </c>
      <c r="BA15" s="16">
        <f>SUM(BB15:BK15)</f>
        <v>21142</v>
      </c>
      <c r="BB15" s="16">
        <f>IF($D15="是",I15-J15,0)</f>
        <v>0</v>
      </c>
      <c r="BC15" s="16">
        <f>IF($D15="是",K15-L15,0)</f>
        <v>0</v>
      </c>
      <c r="BD15" s="16">
        <f>IF($D15="是",M15-N15,0)</f>
        <v>21142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3299" t="s">
        <v>3148</v>
      </c>
      <c r="D16" s="2210" t="s">
        <v>3040</v>
      </c>
      <c r="E16" s="16">
        <f>IF($C$3="是",ROUND($A$3*G16/$B$3,2),ROUND($A$3*(G16-AT16)/$B$3,2))</f>
        <v>6485.33</v>
      </c>
      <c r="F16" s="32"/>
      <c r="G16" s="33">
        <f>H16+AC16+AT16</f>
        <v>26841</v>
      </c>
      <c r="H16" s="20">
        <f>SUMIF(I$12:AB$12,"总值",I16:AB16)</f>
        <v>26841</v>
      </c>
      <c r="I16" s="2211"/>
      <c r="J16" s="2211"/>
      <c r="K16" s="2211"/>
      <c r="L16" s="2211"/>
      <c r="M16" s="2211"/>
      <c r="N16" s="2211"/>
      <c r="O16" s="2211">
        <f>面积表!F18</f>
        <v>26841</v>
      </c>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地下车库</v>
      </c>
      <c r="AY16" s="1807">
        <f>ROUND($AY$6*AZ16/$AZ$5,2)</f>
        <v>6485.33</v>
      </c>
      <c r="AZ16" s="16">
        <f>BA16+BL16</f>
        <v>26841</v>
      </c>
      <c r="BA16" s="16">
        <f>SUM(BB16:BK16)</f>
        <v>26841</v>
      </c>
      <c r="BB16" s="16">
        <f>IF($D16="是",I16-J16,0)</f>
        <v>0</v>
      </c>
      <c r="BC16" s="16">
        <f>IF($D16="是",K16-L16,0)</f>
        <v>0</v>
      </c>
      <c r="BD16" s="16">
        <f>IF($D16="是",M16-N16,0)</f>
        <v>0</v>
      </c>
      <c r="BE16" s="16">
        <f>IF($D16="是",O16-P16,0)</f>
        <v>26841</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B41" sqref="B41"/>
    </sheetView>
  </sheetViews>
  <sheetFormatPr defaultRowHeight="13.5"/>
  <sheetData>
    <row r="1" spans="1:13">
      <c r="B1" s="3285" t="s">
        <v>3068</v>
      </c>
      <c r="C1" s="3285" t="s">
        <v>3069</v>
      </c>
      <c r="D1" s="3286" t="s">
        <v>3070</v>
      </c>
      <c r="E1" s="3285" t="s">
        <v>3071</v>
      </c>
      <c r="F1" s="3285" t="s">
        <v>3072</v>
      </c>
      <c r="G1" s="3285" t="s">
        <v>3073</v>
      </c>
      <c r="H1" s="3287" t="s">
        <v>3074</v>
      </c>
      <c r="I1" s="3285" t="s">
        <v>3075</v>
      </c>
      <c r="J1" s="3285" t="s">
        <v>3076</v>
      </c>
      <c r="K1" s="3285" t="s">
        <v>3077</v>
      </c>
      <c r="L1" s="3285" t="s">
        <v>3078</v>
      </c>
    </row>
    <row r="2" spans="1:13">
      <c r="B2" s="3285" t="s">
        <v>3079</v>
      </c>
      <c r="C2">
        <v>13929</v>
      </c>
      <c r="D2" s="3288">
        <f>745+146</f>
        <v>891</v>
      </c>
      <c r="G2">
        <f>190+260</f>
        <v>450</v>
      </c>
      <c r="H2" s="3287">
        <v>330</v>
      </c>
      <c r="J2">
        <v>837</v>
      </c>
      <c r="M2">
        <f t="shared" ref="M2:M15" si="0">SUM(C2:K2)</f>
        <v>16437</v>
      </c>
    </row>
    <row r="3" spans="1:13">
      <c r="B3" s="3285" t="s">
        <v>3080</v>
      </c>
      <c r="C3">
        <v>10295</v>
      </c>
      <c r="D3" s="3288"/>
      <c r="J3">
        <v>1915</v>
      </c>
      <c r="M3">
        <f t="shared" si="0"/>
        <v>12210</v>
      </c>
    </row>
    <row r="4" spans="1:13">
      <c r="B4" s="3285" t="s">
        <v>3081</v>
      </c>
      <c r="C4">
        <v>10247</v>
      </c>
      <c r="D4" s="3288"/>
      <c r="J4">
        <v>1832</v>
      </c>
      <c r="M4">
        <f t="shared" si="0"/>
        <v>12079</v>
      </c>
    </row>
    <row r="5" spans="1:13">
      <c r="B5" s="3285" t="s">
        <v>3082</v>
      </c>
      <c r="C5">
        <v>15242</v>
      </c>
      <c r="D5" s="3288"/>
      <c r="G5">
        <v>800</v>
      </c>
      <c r="J5">
        <f>60+1715+513</f>
        <v>2288</v>
      </c>
      <c r="M5">
        <f t="shared" si="0"/>
        <v>18330</v>
      </c>
    </row>
    <row r="6" spans="1:13">
      <c r="B6" s="3285" t="s">
        <v>3083</v>
      </c>
      <c r="C6">
        <v>10370</v>
      </c>
      <c r="D6" s="3288"/>
      <c r="J6">
        <f>347+53+1155</f>
        <v>1555</v>
      </c>
      <c r="M6">
        <f t="shared" si="0"/>
        <v>11925</v>
      </c>
    </row>
    <row r="7" spans="1:13">
      <c r="B7" s="3285" t="s">
        <v>3084</v>
      </c>
      <c r="C7">
        <v>10370</v>
      </c>
      <c r="D7" s="3288"/>
      <c r="J7">
        <f>347+53+1155</f>
        <v>1555</v>
      </c>
      <c r="M7">
        <f t="shared" si="0"/>
        <v>11925</v>
      </c>
    </row>
    <row r="8" spans="1:13">
      <c r="B8" s="3285" t="s">
        <v>3085</v>
      </c>
      <c r="C8">
        <v>15697</v>
      </c>
      <c r="D8" s="3288"/>
      <c r="J8">
        <f>512+65+1712</f>
        <v>2289</v>
      </c>
      <c r="M8">
        <f t="shared" si="0"/>
        <v>17986</v>
      </c>
    </row>
    <row r="9" spans="1:13">
      <c r="B9" s="3285" t="s">
        <v>3086</v>
      </c>
      <c r="C9">
        <v>5503</v>
      </c>
      <c r="D9" s="3288"/>
      <c r="J9">
        <f>341+42+1023</f>
        <v>1406</v>
      </c>
      <c r="M9">
        <f t="shared" si="0"/>
        <v>6909</v>
      </c>
    </row>
    <row r="10" spans="1:13">
      <c r="B10" s="3285" t="s">
        <v>3087</v>
      </c>
      <c r="C10">
        <v>15023</v>
      </c>
      <c r="D10" s="3288">
        <f>140+549</f>
        <v>689</v>
      </c>
      <c r="G10">
        <f>110+152</f>
        <v>262</v>
      </c>
      <c r="J10">
        <f>65+512+1722</f>
        <v>2299</v>
      </c>
      <c r="M10">
        <f t="shared" si="0"/>
        <v>18273</v>
      </c>
    </row>
    <row r="11" spans="1:13">
      <c r="B11" s="3285" t="s">
        <v>3088</v>
      </c>
      <c r="C11">
        <v>5091</v>
      </c>
      <c r="D11" s="3288"/>
      <c r="G11">
        <f>200+113+89</f>
        <v>402</v>
      </c>
      <c r="J11">
        <f>42+332+988</f>
        <v>1362</v>
      </c>
      <c r="M11">
        <f t="shared" si="0"/>
        <v>6855</v>
      </c>
    </row>
    <row r="12" spans="1:13">
      <c r="B12" s="3285" t="s">
        <v>3089</v>
      </c>
      <c r="C12">
        <v>21509</v>
      </c>
      <c r="D12" s="3288">
        <v>503</v>
      </c>
      <c r="G12">
        <v>700</v>
      </c>
      <c r="J12">
        <f>543+2111</f>
        <v>2654</v>
      </c>
      <c r="M12">
        <f t="shared" si="0"/>
        <v>25366</v>
      </c>
    </row>
    <row r="13" spans="1:13">
      <c r="A13" s="3285"/>
      <c r="B13" s="3285" t="s">
        <v>3090</v>
      </c>
      <c r="D13" s="3288">
        <v>1985</v>
      </c>
      <c r="E13">
        <v>21142</v>
      </c>
      <c r="F13">
        <v>3324</v>
      </c>
      <c r="G13">
        <f>700+174</f>
        <v>874</v>
      </c>
      <c r="H13" s="3287">
        <v>190</v>
      </c>
      <c r="J13">
        <f>778+1934</f>
        <v>2712</v>
      </c>
      <c r="M13">
        <f t="shared" si="0"/>
        <v>30227</v>
      </c>
    </row>
    <row r="14" spans="1:13">
      <c r="B14" s="3285" t="s">
        <v>3091</v>
      </c>
      <c r="C14">
        <v>3693</v>
      </c>
      <c r="D14" s="3288"/>
      <c r="J14">
        <v>1082</v>
      </c>
      <c r="M14">
        <f t="shared" si="0"/>
        <v>4775</v>
      </c>
    </row>
    <row r="15" spans="1:13">
      <c r="B15" s="3285" t="s">
        <v>3092</v>
      </c>
      <c r="D15" s="3288"/>
      <c r="F15">
        <v>15227</v>
      </c>
      <c r="I15">
        <f>39+43</f>
        <v>82</v>
      </c>
      <c r="M15">
        <f t="shared" si="0"/>
        <v>15309</v>
      </c>
    </row>
    <row r="16" spans="1:13">
      <c r="B16" s="3285" t="s">
        <v>3093</v>
      </c>
      <c r="D16" s="3288"/>
      <c r="F16">
        <f>31085-22795</f>
        <v>8290</v>
      </c>
      <c r="I16">
        <v>31</v>
      </c>
      <c r="J16">
        <v>1021</v>
      </c>
      <c r="K16">
        <f>22795</f>
        <v>22795</v>
      </c>
      <c r="L16">
        <v>273</v>
      </c>
      <c r="M16">
        <f>SUM(C16:L16)</f>
        <v>32410</v>
      </c>
    </row>
    <row r="17" spans="2:13">
      <c r="B17" s="3285" t="s">
        <v>3094</v>
      </c>
      <c r="D17" s="3288"/>
      <c r="G17" s="3285">
        <f>3606+121</f>
        <v>3727</v>
      </c>
      <c r="H17" s="3285"/>
      <c r="I17">
        <f>324+174+150</f>
        <v>648</v>
      </c>
      <c r="J17">
        <v>170</v>
      </c>
      <c r="M17">
        <f>SUM(C17:K17)</f>
        <v>4545</v>
      </c>
    </row>
    <row r="18" spans="2:13">
      <c r="B18" s="3289" t="s">
        <v>3095</v>
      </c>
      <c r="C18" s="3290">
        <f>SUM(C2:C17)</f>
        <v>136969</v>
      </c>
      <c r="D18" s="3290">
        <f t="shared" ref="D18:J18" si="1">SUM(D2:D17)</f>
        <v>4068</v>
      </c>
      <c r="E18" s="3290">
        <f t="shared" si="1"/>
        <v>21142</v>
      </c>
      <c r="F18" s="3290">
        <f t="shared" si="1"/>
        <v>26841</v>
      </c>
      <c r="G18" s="3290">
        <f>SUM(G2:G17)</f>
        <v>7215</v>
      </c>
      <c r="H18" s="3291">
        <f>SUM(H2:H17)</f>
        <v>520</v>
      </c>
      <c r="I18" s="3290">
        <f t="shared" si="1"/>
        <v>761</v>
      </c>
      <c r="J18" s="3290">
        <f t="shared" si="1"/>
        <v>24977</v>
      </c>
      <c r="K18" s="3290"/>
      <c r="L18" s="3290">
        <f>SUM(K2:L17)</f>
        <v>23068</v>
      </c>
      <c r="M18" s="3290">
        <f>SUM(C18:L18)</f>
        <v>245561</v>
      </c>
    </row>
    <row r="19" spans="2:13">
      <c r="B19" s="3285" t="s">
        <v>3096</v>
      </c>
      <c r="C19" s="3285"/>
      <c r="G19" s="3292">
        <v>3070</v>
      </c>
    </row>
    <row r="24" spans="2:13">
      <c r="G24">
        <v>260</v>
      </c>
    </row>
    <row r="25" spans="2:13">
      <c r="B25" s="3285" t="s">
        <v>3097</v>
      </c>
      <c r="C25">
        <v>136969</v>
      </c>
      <c r="D25">
        <v>4068</v>
      </c>
      <c r="E25">
        <v>21142</v>
      </c>
      <c r="G25">
        <f>3070+3606+4517</f>
        <v>11193</v>
      </c>
      <c r="I25">
        <v>386</v>
      </c>
    </row>
    <row r="26" spans="2:13">
      <c r="B26" s="3285" t="s">
        <v>3098</v>
      </c>
      <c r="C26">
        <v>21074</v>
      </c>
      <c r="G26">
        <v>53539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1921</v>
      </c>
      <c r="B1" s="1394"/>
      <c r="C1" s="1394"/>
      <c r="D1" s="1394"/>
      <c r="E1" s="1394"/>
      <c r="F1" s="1394"/>
      <c r="G1" s="1394"/>
      <c r="H1" s="1394"/>
      <c r="I1" s="1394"/>
      <c r="J1" s="1394"/>
      <c r="K1" s="1394"/>
      <c r="L1" s="1394"/>
      <c r="M1" s="1394"/>
      <c r="N1" s="1394"/>
      <c r="O1" s="1394"/>
      <c r="P1" s="1394"/>
    </row>
    <row r="2" spans="1:16" ht="15">
      <c r="A2" s="3043" t="s">
        <v>1922</v>
      </c>
      <c r="B2" s="3043"/>
      <c r="C2" s="3043"/>
      <c r="D2" s="969" t="s">
        <v>1898</v>
      </c>
      <c r="E2" s="2224" t="s">
        <v>1899</v>
      </c>
      <c r="F2" s="1394"/>
      <c r="G2" s="2225"/>
      <c r="H2" s="2226"/>
      <c r="I2" s="2227" t="s">
        <v>1923</v>
      </c>
      <c r="J2" s="1394"/>
      <c r="K2" s="1394"/>
      <c r="L2" s="1394"/>
      <c r="M2" s="1394"/>
      <c r="N2" s="1429"/>
      <c r="O2" s="1394"/>
      <c r="P2" s="1394"/>
    </row>
    <row r="3" spans="1:16" ht="15.75" thickBot="1">
      <c r="A3" s="3044" t="s">
        <v>1896</v>
      </c>
      <c r="B3" s="3044"/>
      <c r="C3" s="3044"/>
      <c r="D3" s="46">
        <f>'数据-基础表'!AY6</f>
        <v>53758.79</v>
      </c>
      <c r="E3" s="46">
        <f>'数据-基础表'!AZ5</f>
        <v>222493</v>
      </c>
      <c r="F3" s="1394"/>
      <c r="G3" s="1401"/>
      <c r="H3" s="1249" t="s">
        <v>1897</v>
      </c>
      <c r="I3" s="55">
        <f>ROUND('数据-基础表'!B3/'数据-基础表'!A3,2)</f>
        <v>4.1399999999999997</v>
      </c>
      <c r="J3" s="1394"/>
      <c r="K3" s="1394"/>
      <c r="L3" s="1394"/>
      <c r="M3" s="1394"/>
      <c r="N3" s="1429"/>
      <c r="O3" s="1394"/>
      <c r="P3" s="1394"/>
    </row>
    <row r="4" spans="1:16" ht="15">
      <c r="A4" s="3045"/>
      <c r="B4" s="3046"/>
      <c r="C4" s="3047"/>
      <c r="D4" s="2228" t="s">
        <v>1898</v>
      </c>
      <c r="E4" s="2229" t="s">
        <v>1899</v>
      </c>
      <c r="F4" s="1394"/>
      <c r="G4" s="2230" t="s">
        <v>1924</v>
      </c>
      <c r="H4" s="1249" t="s">
        <v>1904</v>
      </c>
      <c r="I4" s="55">
        <f>ROUND(SUMIF('数据-基础表'!I9:AS9,"地上",'数据-基础表'!I5:AS5)/'数据-基础表'!A3,2)</f>
        <v>2.88</v>
      </c>
      <c r="J4" s="1394"/>
      <c r="K4" s="1394"/>
      <c r="L4" s="1394"/>
      <c r="M4" s="1394"/>
      <c r="N4" s="1429"/>
      <c r="O4" s="1394"/>
      <c r="P4" s="1394"/>
    </row>
    <row r="5" spans="1:16">
      <c r="A5" s="47" t="s">
        <v>1900</v>
      </c>
      <c r="B5" s="3048" t="s">
        <v>1901</v>
      </c>
      <c r="C5" s="3048"/>
      <c r="D5" s="48">
        <f>ROUND($D$3*E5/$E$3,2)</f>
        <v>33094.47</v>
      </c>
      <c r="E5" s="49">
        <f>SUMIF('数据-基础表'!$11:$11,"住宅",'数据-基础表'!$5:$5)</f>
        <v>136969</v>
      </c>
      <c r="F5" s="1394"/>
      <c r="G5" s="1401"/>
      <c r="H5" s="1249" t="s">
        <v>1897</v>
      </c>
      <c r="I5" s="55">
        <f>ROUND(E31/D31,2)</f>
        <v>4.1399999999999997</v>
      </c>
      <c r="J5" s="1394"/>
      <c r="K5" s="1394"/>
      <c r="L5" s="1394"/>
      <c r="M5" s="1394"/>
      <c r="N5" s="1394"/>
      <c r="O5" s="1394"/>
      <c r="P5" s="1394"/>
    </row>
    <row r="6" spans="1:16" ht="15" thickBot="1">
      <c r="A6" s="2231"/>
      <c r="B6" s="3048" t="s">
        <v>1902</v>
      </c>
      <c r="C6" s="3048"/>
      <c r="D6" s="48">
        <f>ROUND($D$3*E6/$E$3,2)</f>
        <v>20664.32</v>
      </c>
      <c r="E6" s="49">
        <f>E3-E5</f>
        <v>85524</v>
      </c>
      <c r="F6" s="1394"/>
      <c r="G6" s="2232" t="s">
        <v>1903</v>
      </c>
      <c r="H6" s="1401" t="s">
        <v>1904</v>
      </c>
      <c r="I6" s="941">
        <f>ROUND(F31/D31,2)</f>
        <v>3.17</v>
      </c>
      <c r="J6" s="1394"/>
      <c r="K6" s="1394"/>
      <c r="L6" s="1394"/>
      <c r="M6" s="1394"/>
      <c r="N6" s="1394"/>
      <c r="O6" s="1394"/>
      <c r="P6" s="1394"/>
    </row>
    <row r="7" spans="1:16" ht="15">
      <c r="A7" s="3040"/>
      <c r="B7" s="3041"/>
      <c r="C7" s="3042"/>
      <c r="D7" s="2228" t="s">
        <v>1898</v>
      </c>
      <c r="E7" s="2233" t="s">
        <v>1905</v>
      </c>
      <c r="F7" s="1394"/>
      <c r="G7" s="2225" t="s">
        <v>1906</v>
      </c>
      <c r="H7" s="64"/>
      <c r="I7" s="419"/>
      <c r="J7" s="1394"/>
      <c r="K7" s="1394"/>
      <c r="L7" s="1394"/>
      <c r="M7" s="1394"/>
      <c r="N7" s="1394"/>
      <c r="O7" s="1394"/>
      <c r="P7" s="1394"/>
    </row>
    <row r="8" spans="1:16">
      <c r="A8" s="47" t="s">
        <v>1907</v>
      </c>
      <c r="B8" s="50" t="s">
        <v>1908</v>
      </c>
      <c r="C8" s="48" t="s">
        <v>1909</v>
      </c>
      <c r="D8" s="48">
        <f t="shared" ref="D8:D15" si="0">ROUND($D$3*E8/$E$3,2)</f>
        <v>39185.71</v>
      </c>
      <c r="E8" s="51">
        <f>SUMIF('数据-基础表'!BB10:BK10,"地上",'数据-基础表'!BB5:BK5)</f>
        <v>162179</v>
      </c>
      <c r="F8" s="1394"/>
      <c r="G8" s="2234"/>
      <c r="H8" s="2234"/>
      <c r="I8" s="1394"/>
      <c r="J8" s="1394"/>
      <c r="K8" s="1394"/>
      <c r="L8" s="1394"/>
      <c r="M8" s="1394"/>
      <c r="N8" s="1394"/>
      <c r="O8" s="1394"/>
      <c r="P8" s="1394"/>
    </row>
    <row r="9" spans="1:16">
      <c r="A9" s="2235"/>
      <c r="B9" s="2236"/>
      <c r="C9" s="48" t="s">
        <v>1910</v>
      </c>
      <c r="D9" s="48">
        <f t="shared" si="0"/>
        <v>125.64</v>
      </c>
      <c r="E9" s="52">
        <v>520</v>
      </c>
      <c r="F9" s="1394"/>
      <c r="G9" s="2234"/>
      <c r="H9" s="2234"/>
      <c r="I9" s="1394"/>
      <c r="J9" s="1394"/>
      <c r="K9" s="1394"/>
      <c r="L9" s="1394"/>
      <c r="M9" s="1394"/>
      <c r="N9" s="1394"/>
      <c r="O9" s="1394"/>
      <c r="P9" s="1394"/>
    </row>
    <row r="10" spans="1:16">
      <c r="A10" s="2235"/>
      <c r="B10" s="2236"/>
      <c r="C10" s="48" t="s">
        <v>1919</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1911</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1912</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1913</v>
      </c>
      <c r="D13" s="48">
        <f t="shared" si="0"/>
        <v>6485.33</v>
      </c>
      <c r="E13" s="51">
        <f>SUMPRODUCT(('数据-基础表'!BB10:BK10="地下")*('数据-基础表'!BB11:BK11="车库")*('数据-基础表'!BB5:BK5))</f>
        <v>26841</v>
      </c>
      <c r="F13" s="1394"/>
      <c r="G13" s="2234"/>
      <c r="H13" s="2234"/>
      <c r="I13" s="1394"/>
      <c r="J13" s="1394"/>
      <c r="K13" s="1394"/>
      <c r="L13" s="1394"/>
      <c r="M13" s="1394"/>
      <c r="N13" s="1394"/>
      <c r="O13" s="1394"/>
      <c r="P13" s="1394"/>
    </row>
    <row r="14" spans="1:16">
      <c r="A14" s="2235"/>
      <c r="B14" s="2236"/>
      <c r="C14" s="48" t="s">
        <v>1925</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1920</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1914</v>
      </c>
      <c r="D16" s="50">
        <f>SUM(D8:D15)</f>
        <v>45796.68</v>
      </c>
      <c r="E16" s="53">
        <f>SUM(E8:E15)</f>
        <v>189540</v>
      </c>
      <c r="F16" s="1394"/>
      <c r="G16" s="2234"/>
      <c r="H16" s="2237" t="s">
        <v>1926</v>
      </c>
      <c r="I16" s="2238"/>
      <c r="J16" s="1394"/>
      <c r="K16" s="3037" t="s">
        <v>1926</v>
      </c>
      <c r="L16" s="3038"/>
      <c r="M16" s="3038"/>
      <c r="N16" s="3038"/>
      <c r="O16" s="3038"/>
      <c r="P16" s="3039"/>
    </row>
    <row r="17" spans="1:19" ht="15">
      <c r="A17" s="2239" t="s">
        <v>1927</v>
      </c>
      <c r="B17" s="2240" t="s">
        <v>1928</v>
      </c>
      <c r="C17" s="2241" t="s">
        <v>1929</v>
      </c>
      <c r="D17" s="2242" t="s">
        <v>1917</v>
      </c>
      <c r="E17" s="2243" t="s">
        <v>1918</v>
      </c>
      <c r="F17" s="2244"/>
      <c r="G17" s="2245"/>
      <c r="H17" s="2246" t="s">
        <v>1930</v>
      </c>
      <c r="I17" s="2247" t="s">
        <v>1915</v>
      </c>
      <c r="J17" s="1394"/>
      <c r="K17" s="3034" t="s">
        <v>1931</v>
      </c>
      <c r="L17" s="3035"/>
      <c r="M17" s="3036"/>
      <c r="N17" s="3034" t="s">
        <v>1932</v>
      </c>
      <c r="O17" s="3035"/>
      <c r="P17" s="3036"/>
      <c r="R17" s="2225" t="s">
        <v>1933</v>
      </c>
      <c r="S17" s="64"/>
    </row>
    <row r="18" spans="1:19" ht="15">
      <c r="A18" s="2235"/>
      <c r="B18" s="2248"/>
      <c r="C18" s="2249"/>
      <c r="D18" s="2250"/>
      <c r="E18" s="2251" t="s">
        <v>1934</v>
      </c>
      <c r="F18" s="2252" t="s">
        <v>1935</v>
      </c>
      <c r="G18" s="2253" t="s">
        <v>1936</v>
      </c>
      <c r="H18" s="1264" t="s">
        <v>1937</v>
      </c>
      <c r="I18" s="2254" t="s">
        <v>1938</v>
      </c>
      <c r="J18" s="1394"/>
      <c r="K18" s="1264" t="s">
        <v>1939</v>
      </c>
      <c r="L18" s="2255" t="s">
        <v>1940</v>
      </c>
      <c r="M18" s="1048" t="s">
        <v>1941</v>
      </c>
      <c r="N18" s="1264" t="s">
        <v>1939</v>
      </c>
      <c r="O18" s="2255" t="s">
        <v>1940</v>
      </c>
      <c r="P18" s="1048" t="s">
        <v>1941</v>
      </c>
      <c r="R18" s="1249" t="s">
        <v>1942</v>
      </c>
      <c r="S18" s="1249" t="s">
        <v>1943</v>
      </c>
    </row>
    <row r="19" spans="1:19">
      <c r="A19" s="2256"/>
      <c r="B19" s="50" t="s">
        <v>1916</v>
      </c>
      <c r="C19" s="2956" t="str">
        <f>'数据-基础表'!C13</f>
        <v>住宅</v>
      </c>
      <c r="D19" s="48">
        <f>ROUND($D$3*E19/$E$3,2)</f>
        <v>33094.47</v>
      </c>
      <c r="E19" s="56">
        <f t="shared" ref="E19:E26" si="1">SUM(F19:G19)</f>
        <v>136969</v>
      </c>
      <c r="F19" s="57">
        <f>'数据-基础表'!I13</f>
        <v>136969</v>
      </c>
      <c r="G19" s="58"/>
      <c r="H19" s="722">
        <f>ROUND($D$3*I19/$E$3,2)</f>
        <v>6375.26</v>
      </c>
      <c r="I19" s="51">
        <f t="shared" ref="I19:I26" si="2">IF($I$17="自定义",P19,M19)</f>
        <v>26385.45</v>
      </c>
      <c r="J19" s="1394"/>
      <c r="K19" s="1393">
        <f t="shared" ref="K19:K26" si="3">ROUND(E$28*E19/E$27,2)</f>
        <v>18650.45</v>
      </c>
      <c r="L19" s="1249">
        <f t="shared" ref="L19:L26" si="4">ROUND(IF(COUNTIF(C19,"*住宅*")&gt;0,E$29*E19/E$32,0),2)</f>
        <v>7735</v>
      </c>
      <c r="M19" s="1405">
        <f>K19+L19</f>
        <v>26385.45</v>
      </c>
      <c r="N19" s="2258"/>
      <c r="O19" s="2259"/>
      <c r="P19" s="1405">
        <f>N19+O19</f>
        <v>0</v>
      </c>
      <c r="R19" s="1249">
        <f t="shared" ref="R19:S26" si="5">D19+H19</f>
        <v>39469.730000000003</v>
      </c>
      <c r="S19" s="1250">
        <f t="shared" si="5"/>
        <v>163354.45000000001</v>
      </c>
    </row>
    <row r="20" spans="1:19">
      <c r="A20" s="2260"/>
      <c r="B20" s="50" t="s">
        <v>1944</v>
      </c>
      <c r="C20" s="2257" t="str">
        <f>'数据-基础表'!C14</f>
        <v>商业</v>
      </c>
      <c r="D20" s="48">
        <f t="shared" ref="D20:D26" si="6">ROUND($D$3*E20/$E$3,2)</f>
        <v>982.91</v>
      </c>
      <c r="E20" s="56">
        <f t="shared" si="1"/>
        <v>4068</v>
      </c>
      <c r="F20" s="57">
        <f>'数据-基础表'!K14</f>
        <v>4068</v>
      </c>
      <c r="G20" s="58"/>
      <c r="H20" s="722">
        <f t="shared" ref="H20:H26" si="7">ROUND($D$3*I20/$E$3,2)</f>
        <v>133.84</v>
      </c>
      <c r="I20" s="51">
        <f t="shared" si="2"/>
        <v>553.91999999999996</v>
      </c>
      <c r="J20" s="1394"/>
      <c r="K20" s="1393">
        <f t="shared" si="3"/>
        <v>553.91999999999996</v>
      </c>
      <c r="L20" s="1249">
        <f t="shared" si="4"/>
        <v>0</v>
      </c>
      <c r="M20" s="1405">
        <f t="shared" ref="M20:M26" si="8">K20+L20</f>
        <v>553.91999999999996</v>
      </c>
      <c r="N20" s="2258"/>
      <c r="O20" s="2259"/>
      <c r="P20" s="1405">
        <f t="shared" ref="P20:P26" si="9">N20+O20</f>
        <v>0</v>
      </c>
      <c r="R20" s="1249">
        <f t="shared" si="5"/>
        <v>1116.75</v>
      </c>
      <c r="S20" s="1250">
        <f t="shared" si="5"/>
        <v>4621.92</v>
      </c>
    </row>
    <row r="21" spans="1:19">
      <c r="A21" s="2260"/>
      <c r="B21" s="50" t="s">
        <v>1944</v>
      </c>
      <c r="C21" s="2257" t="str">
        <f>'数据-基础表'!C15</f>
        <v>办公</v>
      </c>
      <c r="D21" s="48">
        <f t="shared" si="6"/>
        <v>5108.33</v>
      </c>
      <c r="E21" s="56">
        <f t="shared" si="1"/>
        <v>21142</v>
      </c>
      <c r="F21" s="57">
        <f>'数据-基础表'!M15</f>
        <v>21142</v>
      </c>
      <c r="G21" s="58"/>
      <c r="H21" s="722">
        <f t="shared" si="7"/>
        <v>695.58</v>
      </c>
      <c r="I21" s="51">
        <f t="shared" si="2"/>
        <v>2878.81</v>
      </c>
      <c r="J21" s="1394"/>
      <c r="K21" s="1393">
        <f t="shared" si="3"/>
        <v>2878.81</v>
      </c>
      <c r="L21" s="1249">
        <f t="shared" si="4"/>
        <v>0</v>
      </c>
      <c r="M21" s="1405">
        <f t="shared" si="8"/>
        <v>2878.81</v>
      </c>
      <c r="N21" s="2258"/>
      <c r="O21" s="2259"/>
      <c r="P21" s="1405">
        <f t="shared" si="9"/>
        <v>0</v>
      </c>
      <c r="R21" s="1249">
        <f t="shared" si="5"/>
        <v>5803.91</v>
      </c>
      <c r="S21" s="1250">
        <f t="shared" si="5"/>
        <v>24020.81</v>
      </c>
    </row>
    <row r="22" spans="1:19">
      <c r="A22" s="2260"/>
      <c r="B22" s="50" t="s">
        <v>1944</v>
      </c>
      <c r="C22" s="60" t="str">
        <f>'数据-基础表'!C16</f>
        <v>地下车库</v>
      </c>
      <c r="D22" s="48">
        <f t="shared" si="6"/>
        <v>6485.33</v>
      </c>
      <c r="E22" s="56">
        <f t="shared" si="1"/>
        <v>26841</v>
      </c>
      <c r="F22" s="61"/>
      <c r="G22" s="62">
        <f>'数据-基础表'!O16</f>
        <v>26841</v>
      </c>
      <c r="H22" s="722">
        <f t="shared" si="7"/>
        <v>883.08</v>
      </c>
      <c r="I22" s="51">
        <f t="shared" si="2"/>
        <v>3654.82</v>
      </c>
      <c r="J22" s="1394"/>
      <c r="K22" s="1393">
        <f t="shared" si="3"/>
        <v>3654.82</v>
      </c>
      <c r="L22" s="1249">
        <f t="shared" si="4"/>
        <v>0</v>
      </c>
      <c r="M22" s="1405">
        <f t="shared" si="8"/>
        <v>3654.82</v>
      </c>
      <c r="N22" s="2258"/>
      <c r="O22" s="2259"/>
      <c r="P22" s="1405">
        <f t="shared" si="9"/>
        <v>0</v>
      </c>
      <c r="R22" s="1249">
        <f t="shared" si="5"/>
        <v>7368.41</v>
      </c>
      <c r="S22" s="1250">
        <f t="shared" si="5"/>
        <v>30495.82</v>
      </c>
    </row>
    <row r="23" spans="1:19">
      <c r="A23" s="2260"/>
      <c r="B23" s="50" t="s">
        <v>1944</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1944</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1944</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1944</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1945</v>
      </c>
      <c r="D27" s="1395">
        <f>SUM(D19:D26)</f>
        <v>45671.040000000008</v>
      </c>
      <c r="E27" s="1396">
        <f>IF(SUM(E19:E26)='数据-基础表'!BA5,SUM(E19:E26),IF(F27="地上面积有误","面积有误","地下面积有误"))</f>
        <v>189020</v>
      </c>
      <c r="F27" s="1395">
        <f>IF(SUM(F19:F26)=E8,SUM(F19:F26),"地上面积有误")</f>
        <v>162179</v>
      </c>
      <c r="G27" s="1397">
        <f>SUM(G19:G26)</f>
        <v>26841</v>
      </c>
      <c r="H27" s="1398">
        <f>SUM(H19:H26)</f>
        <v>8087.76</v>
      </c>
      <c r="I27" s="1399">
        <f>SUM(I19:I26)</f>
        <v>33473</v>
      </c>
      <c r="J27" s="1394"/>
      <c r="K27" s="1402">
        <f>SUM(K19:K26)</f>
        <v>25738</v>
      </c>
      <c r="L27" s="1403">
        <f>SUM(L19:L26)</f>
        <v>7735</v>
      </c>
      <c r="M27" s="1406">
        <f>SUM(M19:M26)</f>
        <v>33473</v>
      </c>
      <c r="N27" s="1402">
        <f t="shared" ref="N27:O27" si="10">SUM(N19:N26)</f>
        <v>0</v>
      </c>
      <c r="O27" s="1403">
        <f t="shared" si="10"/>
        <v>0</v>
      </c>
      <c r="P27" s="1404">
        <f>SUM(P19:P26)</f>
        <v>0</v>
      </c>
      <c r="R27" s="1251" t="str">
        <f>IF(SUM(R19:R26)=$D$3,SUM(R19:R26),SUM(R19:R26)&amp;"误差"&amp;ROUND(SUM(R19:R26)-$D$3,2))</f>
        <v>53758.8误差0.01</v>
      </c>
      <c r="S27" s="1249">
        <f>IF(SUM(S19:S26)=$E$3,SUM(S19:S26),SUM(S19:S26)&amp;"误差"&amp;ROUND(SUM(S19:S26)-E3,2))</f>
        <v>222493.00000000003</v>
      </c>
    </row>
    <row r="28" spans="1:19">
      <c r="A28" s="2260"/>
      <c r="B28" s="50" t="s">
        <v>1946</v>
      </c>
      <c r="C28" s="1261" t="s">
        <v>1947</v>
      </c>
      <c r="D28" s="48">
        <f>ROUND($D$3*E28/$E$3,2)</f>
        <v>6218.82</v>
      </c>
      <c r="E28" s="56">
        <f>SUM(F28:G28)</f>
        <v>25738</v>
      </c>
      <c r="F28" s="64">
        <f>'数据-基础表'!BQ5+'数据-基础表'!BS5</f>
        <v>761</v>
      </c>
      <c r="G28" s="65">
        <f>'数据-基础表'!BR5+'数据-基础表'!BT5</f>
        <v>24977</v>
      </c>
      <c r="H28" s="1394"/>
      <c r="I28" s="1394"/>
      <c r="J28" s="1394"/>
      <c r="K28" s="1394"/>
      <c r="L28" s="1394"/>
      <c r="M28" s="1394"/>
      <c r="N28" s="1394"/>
      <c r="O28" s="1394"/>
      <c r="P28" s="1394"/>
    </row>
    <row r="29" spans="1:19">
      <c r="A29" s="2260"/>
      <c r="B29" s="50" t="s">
        <v>1946</v>
      </c>
      <c r="C29" s="2264" t="s">
        <v>1948</v>
      </c>
      <c r="D29" s="48">
        <f>ROUND($D$3*E29/$E$3,2)</f>
        <v>1868.93</v>
      </c>
      <c r="E29" s="56">
        <f>SUM(F29:G29)</f>
        <v>7735</v>
      </c>
      <c r="F29" s="66">
        <f>'数据-基础表'!BM5+'数据-基础表'!BO5</f>
        <v>7735</v>
      </c>
      <c r="G29" s="67">
        <f>'数据-基础表'!BN5+'数据-基础表'!BP5</f>
        <v>0</v>
      </c>
      <c r="H29" s="1394"/>
      <c r="I29" s="1394"/>
      <c r="J29" s="1394"/>
      <c r="K29" s="1394"/>
      <c r="L29" s="1394"/>
      <c r="M29" s="1394"/>
      <c r="N29" s="1394"/>
      <c r="O29" s="1394"/>
      <c r="P29" s="1394"/>
    </row>
    <row r="30" spans="1:19" ht="15">
      <c r="A30" s="2260"/>
      <c r="B30" s="50"/>
      <c r="C30" s="2265" t="s">
        <v>1945</v>
      </c>
      <c r="D30" s="1395">
        <f>SUM(D28:D29)</f>
        <v>8087.75</v>
      </c>
      <c r="E30" s="1395">
        <f>SUM(E28:E29)</f>
        <v>33473</v>
      </c>
      <c r="F30" s="1395">
        <f>SUM(F28:F29)</f>
        <v>8496</v>
      </c>
      <c r="G30" s="1397">
        <f>SUM(G28:G29)</f>
        <v>24977</v>
      </c>
      <c r="H30" s="1394"/>
      <c r="I30" s="1394"/>
      <c r="J30" s="1394"/>
      <c r="K30" s="1394"/>
      <c r="L30" s="1394"/>
      <c r="M30" s="1394"/>
      <c r="N30" s="1394"/>
      <c r="O30" s="1394"/>
      <c r="P30" s="1394"/>
    </row>
    <row r="31" spans="1:19" ht="15.75" thickBot="1">
      <c r="A31" s="2266"/>
      <c r="B31" s="2267"/>
      <c r="C31" s="1009" t="s">
        <v>1949</v>
      </c>
      <c r="D31" s="728">
        <f>D27+D30</f>
        <v>53758.790000000008</v>
      </c>
      <c r="E31" s="728">
        <f>E27+E30</f>
        <v>222493</v>
      </c>
      <c r="F31" s="729">
        <f>F27+F30</f>
        <v>170675</v>
      </c>
      <c r="G31" s="730">
        <f>G27+G30</f>
        <v>51818</v>
      </c>
      <c r="H31" s="1394"/>
      <c r="I31" s="1394"/>
      <c r="J31" s="1394"/>
      <c r="K31" s="1394"/>
      <c r="L31" s="1394"/>
      <c r="M31" s="1394"/>
      <c r="N31" s="1394"/>
      <c r="O31" s="1394"/>
      <c r="P31" s="1394"/>
    </row>
    <row r="32" spans="1:19">
      <c r="A32" s="2230"/>
      <c r="B32" s="2230" t="s">
        <v>1950</v>
      </c>
      <c r="C32" s="2230"/>
      <c r="D32" s="2230"/>
      <c r="E32" s="1276">
        <f>SUMIF(C19:C26,"*住宅*",E19:E26)</f>
        <v>136969</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27" sqref="AM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1951</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1952</v>
      </c>
      <c r="B2" s="1268">
        <f>项目基本情况!D3</f>
        <v>42990</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1953</v>
      </c>
      <c r="B4" s="2278"/>
      <c r="C4" s="2279"/>
      <c r="D4" s="2280"/>
      <c r="E4" s="2279" t="s">
        <v>1954</v>
      </c>
      <c r="F4" s="2279"/>
      <c r="G4" s="2279"/>
      <c r="H4" s="2279"/>
      <c r="I4" s="2279"/>
      <c r="J4" s="2281"/>
      <c r="K4" s="2282"/>
      <c r="L4" s="2283"/>
      <c r="M4" s="2279"/>
      <c r="N4" s="2279" t="s">
        <v>1955</v>
      </c>
      <c r="O4" s="2279"/>
      <c r="P4" s="2279"/>
      <c r="Q4" s="2279"/>
      <c r="R4" s="2279"/>
      <c r="S4" s="2281"/>
      <c r="T4" s="2284" t="str">
        <f>'数据-汇总表'!I17</f>
        <v>按面积比例</v>
      </c>
      <c r="U4" s="2278" t="s">
        <v>1956</v>
      </c>
      <c r="V4" s="2279"/>
      <c r="W4" s="2279"/>
      <c r="X4" s="2279"/>
      <c r="Y4" s="2281"/>
      <c r="Z4" s="2241" t="s">
        <v>1957</v>
      </c>
      <c r="AA4" s="2241"/>
      <c r="AB4" s="2241"/>
      <c r="AC4" s="2241"/>
      <c r="AD4" s="2241"/>
      <c r="AE4" s="2239" t="s">
        <v>1958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1959</v>
      </c>
      <c r="B5" s="2287" t="s">
        <v>1960</v>
      </c>
      <c r="C5" s="2288" t="s">
        <v>1961</v>
      </c>
      <c r="D5" s="2289" t="s">
        <v>1962</v>
      </c>
      <c r="E5" s="1270" t="s">
        <v>1963</v>
      </c>
      <c r="F5" s="2290" t="s">
        <v>1964</v>
      </c>
      <c r="G5" s="1270" t="s">
        <v>1965</v>
      </c>
      <c r="H5" s="1270" t="s">
        <v>1966</v>
      </c>
      <c r="I5" s="1270" t="s">
        <v>1967</v>
      </c>
      <c r="J5" s="2291" t="s">
        <v>1968</v>
      </c>
      <c r="K5" s="2292" t="s">
        <v>1969</v>
      </c>
      <c r="L5" s="2293" t="s">
        <v>1970</v>
      </c>
      <c r="M5" s="2294" t="s">
        <v>1971</v>
      </c>
      <c r="N5" s="2295" t="s">
        <v>3115</v>
      </c>
      <c r="O5" s="2293" t="s">
        <v>1972</v>
      </c>
      <c r="P5" s="2296" t="s">
        <v>1973</v>
      </c>
      <c r="Q5" s="69" t="s">
        <v>1974</v>
      </c>
      <c r="R5" s="2297" t="s">
        <v>1975</v>
      </c>
      <c r="S5" s="2298" t="s">
        <v>1976</v>
      </c>
      <c r="T5" s="2299" t="s">
        <v>1977</v>
      </c>
      <c r="U5" s="1269" t="s">
        <v>1978</v>
      </c>
      <c r="V5" s="1270" t="s">
        <v>1979</v>
      </c>
      <c r="W5" s="1270" t="s">
        <v>1980</v>
      </c>
      <c r="X5" s="71"/>
      <c r="Y5" s="70" t="s">
        <v>1981</v>
      </c>
      <c r="Z5" s="2300" t="s">
        <v>1978</v>
      </c>
      <c r="AA5" s="1270" t="s">
        <v>1979</v>
      </c>
      <c r="AB5" s="1270" t="s">
        <v>1980</v>
      </c>
      <c r="AC5" s="71"/>
      <c r="AD5" s="71" t="s">
        <v>1981</v>
      </c>
      <c r="AE5" s="1269" t="s">
        <v>1982</v>
      </c>
      <c r="AF5" s="1270" t="s">
        <v>1983</v>
      </c>
      <c r="AG5" s="70" t="s">
        <v>1984</v>
      </c>
      <c r="AH5" s="1269" t="s">
        <v>1985</v>
      </c>
      <c r="AI5" s="2300" t="s">
        <v>1986</v>
      </c>
      <c r="AJ5" s="2300" t="s">
        <v>1987</v>
      </c>
      <c r="AK5" s="1270" t="s">
        <v>1988</v>
      </c>
      <c r="AL5" s="1270" t="s">
        <v>1989</v>
      </c>
      <c r="AM5" s="70" t="s">
        <v>1990</v>
      </c>
      <c r="AN5" s="2301" t="s">
        <v>1991</v>
      </c>
      <c r="AO5" s="2071" t="s">
        <v>1992</v>
      </c>
      <c r="AP5" s="1251" t="s">
        <v>1993</v>
      </c>
      <c r="AQ5" s="2302" t="s">
        <v>1994</v>
      </c>
      <c r="AR5" s="2302" t="s">
        <v>1995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住宅</v>
      </c>
      <c r="B6" s="2304" t="str">
        <f>IF(A6=0,"","经营性")</f>
        <v>经营性</v>
      </c>
      <c r="C6" s="2305" t="s">
        <v>3109</v>
      </c>
      <c r="D6" s="1053">
        <f>SUMIF(项目基本情况!D$12:I$12,C6,项目基本情况!D$14:I$14)</f>
        <v>70</v>
      </c>
      <c r="E6" s="1050">
        <f>IF(B6="","",SUMIF(项目基本情况!D$12:I$12,C6,项目基本情况!D$13:I$13))</f>
        <v>67557</v>
      </c>
      <c r="F6" s="72">
        <f>SUMIF(项目基本情况!D$12:I$12,C6,项目基本情况!D$15:I$15)</f>
        <v>67.3</v>
      </c>
      <c r="G6" s="73">
        <f>IF(ISERROR(ROUND(POWER(1+H6,D6-F6)*(POWER(1+H6,F6)-1)/(POWER(1+H6,D6)-1),3)),0,ROUND(POWER(1+H6,D6-F6)*(POWER(1+H6,F6)-1)/(POWER(1+H6,D6)-1),3))</f>
        <v>0.99399999999999999</v>
      </c>
      <c r="H6" s="801">
        <v>4.4999999999999998E-2</v>
      </c>
      <c r="I6" s="801">
        <v>0.05</v>
      </c>
      <c r="J6" s="74">
        <v>8.5000000000000006E-2</v>
      </c>
      <c r="K6" s="1253">
        <f>SUMIF('数据-汇总表'!C$19:C$33,A6,'数据-汇总表'!E$19:E$33)</f>
        <v>136969</v>
      </c>
      <c r="L6" s="802">
        <v>2500</v>
      </c>
      <c r="M6" s="75">
        <f t="shared" ref="M6:M14" si="0">ROUND(K6*L6/10000,0)</f>
        <v>34242</v>
      </c>
      <c r="N6" s="800">
        <v>0.3</v>
      </c>
      <c r="O6" s="75">
        <f>IF($N$5="成新度","——",ROUND(M6*N6,0))</f>
        <v>10273</v>
      </c>
      <c r="P6" s="76">
        <f>IF($N$5="成新度","——",M6-O6)</f>
        <v>23969</v>
      </c>
      <c r="Q6" s="803">
        <v>0.05</v>
      </c>
      <c r="R6" s="77">
        <f ca="1">SUMIF('数据-汇总表'!C$19:C$33,A6,'数据-汇总表'!R$19:R$27)</f>
        <v>39469.730000000003</v>
      </c>
      <c r="S6" s="54">
        <f>IF('数据-汇总表'!$I$17="按面积比例",SUMIF('数据-汇总表'!C$19:C$33,A6,'数据-汇总表'!K$19:K$33),SUMIF('数据-汇总表'!C$19:C$33,A6,'数据-汇总表'!N$19:N$33))</f>
        <v>18650.45</v>
      </c>
      <c r="T6" s="1445">
        <f>ROUND($L$14*S6/10000,0)</f>
        <v>3730</v>
      </c>
      <c r="U6" s="78">
        <v>34</v>
      </c>
      <c r="V6" s="79">
        <v>0</v>
      </c>
      <c r="W6" s="79">
        <v>0.05</v>
      </c>
      <c r="X6" s="1263"/>
      <c r="Y6" s="80">
        <v>1</v>
      </c>
      <c r="Z6" s="81"/>
      <c r="AA6" s="74"/>
      <c r="AB6" s="74"/>
      <c r="AC6" s="1263"/>
      <c r="AD6" s="82"/>
      <c r="AE6" s="1264">
        <f ca="1">IF(AN6="",0,SUMIF(INDIRECT("'"&amp;AN6&amp;"'"&amp;"!E:E"),$AE$5,INDIRECT("'"&amp;AN6&amp;"'"&amp;"!F:F")))</f>
        <v>60</v>
      </c>
      <c r="AF6" s="1805"/>
      <c r="AG6" s="146">
        <f>IF(AF6="",0,AE6-AF6)</f>
        <v>0</v>
      </c>
      <c r="AH6" s="83"/>
      <c r="AI6" s="85">
        <v>12</v>
      </c>
      <c r="AJ6" s="86"/>
      <c r="AK6" s="87">
        <v>1.4999999999999999E-2</v>
      </c>
      <c r="AL6" s="88">
        <v>1.5E-3</v>
      </c>
      <c r="AM6" s="89">
        <v>0.01</v>
      </c>
      <c r="AN6" s="2306" t="s">
        <v>3116</v>
      </c>
      <c r="AO6" s="55">
        <f ca="1">SUMIF(INDIRECT("'"&amp;AN6&amp;"'"&amp;"!A:A"),"总价",INDIRECT("'"&amp;AN6&amp;"'"&amp;"!B:B"))</f>
        <v>83062</v>
      </c>
      <c r="AP6" s="2307">
        <f>IF(C6="住宅",K6*L6,0)</f>
        <v>342422500</v>
      </c>
      <c r="AQ6" s="55">
        <f>ROUND($L$14*$N$14*S6/10000,0)</f>
        <v>783</v>
      </c>
      <c r="AR6" s="55">
        <f>ROUND($L$14*(1-$N$14)*S6/10000,0)</f>
        <v>2947</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商业</v>
      </c>
      <c r="B7" s="2304" t="str">
        <f t="shared" ref="B7:B13" si="1">IF(A7=0,"","经营性")</f>
        <v>经营性</v>
      </c>
      <c r="C7" s="2305" t="s">
        <v>1373</v>
      </c>
      <c r="D7" s="1053">
        <f>SUMIF(项目基本情况!D$12:I$12,C7,项目基本情况!D$14:I$14)</f>
        <v>40</v>
      </c>
      <c r="E7" s="1050">
        <f>IF(B7="","",SUMIF(项目基本情况!D$12:I$12,C7,项目基本情况!D$13:I$13))</f>
        <v>56599</v>
      </c>
      <c r="F7" s="72">
        <f>SUMIF(项目基本情况!D$12:I$12,C7,项目基本情况!D$15:I$15)</f>
        <v>37.28</v>
      </c>
      <c r="G7" s="73">
        <f t="shared" ref="G7:G11" si="2">IF(ISERROR(ROUND(POWER(1+H7,D7-F7)*(POWER(1+H7,F7)-1)/(POWER(1+H7,D7)-1),3)),0,ROUND(POWER(1+H7,D7-F7)*(POWER(1+H7,F7)-1)/(POWER(1+H7,D7)-1),3))</f>
        <v>0.97699999999999998</v>
      </c>
      <c r="H7" s="801">
        <v>0.05</v>
      </c>
      <c r="I7" s="801">
        <v>5.5E-2</v>
      </c>
      <c r="J7" s="74">
        <v>8.5000000000000006E-2</v>
      </c>
      <c r="K7" s="1253">
        <f>SUMIF('数据-汇总表'!C$19:C$33,A7,'数据-汇总表'!E$19:E$33)</f>
        <v>4068</v>
      </c>
      <c r="L7" s="802">
        <v>2000</v>
      </c>
      <c r="M7" s="75">
        <f t="shared" si="0"/>
        <v>814</v>
      </c>
      <c r="N7" s="800">
        <v>0.2</v>
      </c>
      <c r="O7" s="75">
        <f t="shared" ref="O7:O14" si="3">IF($N$5="成新度","——",ROUND(M7*N7,0))</f>
        <v>163</v>
      </c>
      <c r="P7" s="76">
        <f t="shared" ref="P7:P14" si="4">IF($N$5="成新度","——",M7-O7)</f>
        <v>651</v>
      </c>
      <c r="Q7" s="803">
        <v>0.2</v>
      </c>
      <c r="R7" s="77">
        <f ca="1">SUMIF('数据-汇总表'!C$19:C$33,A7,'数据-汇总表'!R$19:R$27)</f>
        <v>1116.75</v>
      </c>
      <c r="S7" s="54">
        <f>IF('数据-汇总表'!$I$17="按面积比例",SUMIF('数据-汇总表'!C$19:C$33,A7,'数据-汇总表'!K$19:K$33),SUMIF('数据-汇总表'!C$19:C$33,A7,'数据-汇总表'!N$19:N$33))</f>
        <v>553.91999999999996</v>
      </c>
      <c r="T7" s="1445">
        <f t="shared" ref="T7:T13" si="5">ROUND($L$14*S7/10000,0)</f>
        <v>111</v>
      </c>
      <c r="U7" s="78">
        <v>3.5</v>
      </c>
      <c r="V7" s="79">
        <v>0</v>
      </c>
      <c r="W7" s="79">
        <v>0.1</v>
      </c>
      <c r="X7" s="1263"/>
      <c r="Y7" s="80">
        <v>1</v>
      </c>
      <c r="Z7" s="81"/>
      <c r="AA7" s="74"/>
      <c r="AB7" s="74"/>
      <c r="AC7" s="1263"/>
      <c r="AD7" s="82"/>
      <c r="AE7" s="1264">
        <f t="shared" ref="AE7:AE13" ca="1" si="6">IF(AN7="",0,SUMIF(INDIRECT("'"&amp;AN7&amp;"'"&amp;"!E:E"),$AE$5,INDIRECT("'"&amp;AN7&amp;"'"&amp;"!F:F")))</f>
        <v>35.78</v>
      </c>
      <c r="AF7" s="1805"/>
      <c r="AG7" s="146">
        <f t="shared" ref="AG7:AG13" si="7">IF(AF7="",0,AE7-AF7)</f>
        <v>0</v>
      </c>
      <c r="AH7" s="83"/>
      <c r="AI7" s="85">
        <v>365</v>
      </c>
      <c r="AJ7" s="86"/>
      <c r="AK7" s="87">
        <v>1.4999999999999999E-2</v>
      </c>
      <c r="AL7" s="88">
        <v>1.5E-3</v>
      </c>
      <c r="AM7" s="89">
        <v>0.01</v>
      </c>
      <c r="AN7" s="2306" t="s">
        <v>3117</v>
      </c>
      <c r="AO7" s="55">
        <f t="shared" ref="AO7:AO13" ca="1" si="8">SUMIF(INDIRECT("'"&amp;AN7&amp;"'"&amp;"!A:A"),"总价",INDIRECT("'"&amp;AN7&amp;"'"&amp;"!B:B"))</f>
        <v>5566</v>
      </c>
      <c r="AP7" s="2307">
        <f t="shared" ref="AP7:AP13" si="9">IF(C7="住宅",K7*L7,0)</f>
        <v>0</v>
      </c>
      <c r="AQ7" s="55">
        <f t="shared" ref="AQ7:AQ13" si="10">ROUND($L$14*$N$14*S7/10000,0)</f>
        <v>23</v>
      </c>
      <c r="AR7" s="55">
        <f t="shared" ref="AR7:AR13" si="11">ROUND($L$14*(1-$N$14)*S7/10000,0)</f>
        <v>88</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办公</v>
      </c>
      <c r="B8" s="2304" t="str">
        <f t="shared" si="1"/>
        <v>经营性</v>
      </c>
      <c r="C8" s="2305" t="s">
        <v>27</v>
      </c>
      <c r="D8" s="1053">
        <f>SUMIF(项目基本情况!D$12:I$12,C8,项目基本情况!D$14:I$14)</f>
        <v>50</v>
      </c>
      <c r="E8" s="1050">
        <f>IF(B8="","",SUMIF(项目基本情况!D$12:I$12,C8,项目基本情况!D$13:I$13))</f>
        <v>60252</v>
      </c>
      <c r="F8" s="72">
        <f>SUMIF(项目基本情况!D$12:I$12,C8,项目基本情况!D$15:I$15)</f>
        <v>47.29</v>
      </c>
      <c r="G8" s="73">
        <f t="shared" si="2"/>
        <v>0.98599999999999999</v>
      </c>
      <c r="H8" s="801">
        <v>0.05</v>
      </c>
      <c r="I8" s="801">
        <v>5.5E-2</v>
      </c>
      <c r="J8" s="74">
        <v>8.5000000000000006E-2</v>
      </c>
      <c r="K8" s="1253">
        <f>SUMIF('数据-汇总表'!C$19:C$33,A8,'数据-汇总表'!E$19:E$33)</f>
        <v>21142</v>
      </c>
      <c r="L8" s="802">
        <v>2000</v>
      </c>
      <c r="M8" s="75">
        <f>ROUND(K8*L8/10000,0)</f>
        <v>4228</v>
      </c>
      <c r="N8" s="800">
        <v>0</v>
      </c>
      <c r="O8" s="75">
        <f t="shared" si="3"/>
        <v>0</v>
      </c>
      <c r="P8" s="76">
        <f t="shared" si="4"/>
        <v>4228</v>
      </c>
      <c r="Q8" s="803">
        <v>0.2</v>
      </c>
      <c r="R8" s="77">
        <f ca="1">SUMIF('数据-汇总表'!C$19:C$33,A8,'数据-汇总表'!R$19:R$27)</f>
        <v>5803.91</v>
      </c>
      <c r="S8" s="54">
        <f>IF('数据-汇总表'!$I$17="按面积比例",SUMIF('数据-汇总表'!C$19:C$33,A8,'数据-汇总表'!K$19:K$33),SUMIF('数据-汇总表'!C$19:C$33,A8,'数据-汇总表'!N$19:N$33))</f>
        <v>2878.81</v>
      </c>
      <c r="T8" s="1445">
        <f t="shared" si="5"/>
        <v>576</v>
      </c>
      <c r="U8" s="804">
        <v>2.5</v>
      </c>
      <c r="V8" s="805">
        <v>0</v>
      </c>
      <c r="W8" s="805">
        <v>0.1</v>
      </c>
      <c r="X8" s="1263"/>
      <c r="Y8" s="806">
        <v>1</v>
      </c>
      <c r="Z8" s="81"/>
      <c r="AA8" s="74"/>
      <c r="AB8" s="74"/>
      <c r="AC8" s="1263"/>
      <c r="AD8" s="82"/>
      <c r="AE8" s="1264">
        <f t="shared" ca="1" si="6"/>
        <v>45.79</v>
      </c>
      <c r="AF8" s="1805"/>
      <c r="AG8" s="146">
        <f t="shared" si="7"/>
        <v>0</v>
      </c>
      <c r="AH8" s="807"/>
      <c r="AI8" s="85">
        <v>365</v>
      </c>
      <c r="AJ8" s="86"/>
      <c r="AK8" s="808">
        <v>1.4999999999999999E-2</v>
      </c>
      <c r="AL8" s="809">
        <v>1.5E-3</v>
      </c>
      <c r="AM8" s="810">
        <v>0.01</v>
      </c>
      <c r="AN8" s="2306" t="s">
        <v>3118</v>
      </c>
      <c r="AO8" s="55">
        <f t="shared" ca="1" si="8"/>
        <v>21517</v>
      </c>
      <c r="AP8" s="2307">
        <f t="shared" si="9"/>
        <v>0</v>
      </c>
      <c r="AQ8" s="55">
        <f t="shared" si="10"/>
        <v>121</v>
      </c>
      <c r="AR8" s="55">
        <f t="shared" si="11"/>
        <v>455</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t="str">
        <f>'数据-汇总表'!C22</f>
        <v>地下车库</v>
      </c>
      <c r="B9" s="2304" t="str">
        <f t="shared" si="1"/>
        <v>经营性</v>
      </c>
      <c r="C9" s="2305" t="s">
        <v>3114</v>
      </c>
      <c r="D9" s="1053">
        <f>SUMIF(项目基本情况!D$12:I$12,C9,项目基本情况!D$14:I$14)</f>
        <v>50</v>
      </c>
      <c r="E9" s="1050">
        <f>IF(B9="","",SUMIF(项目基本情况!D$12:I$12,C9,项目基本情况!D$13:I$13))</f>
        <v>60252</v>
      </c>
      <c r="F9" s="72">
        <f>SUMIF(项目基本情况!D$12:I$12,C9,项目基本情况!D$15:I$15)</f>
        <v>47.29</v>
      </c>
      <c r="G9" s="73">
        <f t="shared" si="2"/>
        <v>0.98399999999999999</v>
      </c>
      <c r="H9" s="74">
        <v>4.4999999999999998E-2</v>
      </c>
      <c r="I9" s="74">
        <v>0.05</v>
      </c>
      <c r="J9" s="74">
        <v>8.5000000000000006E-2</v>
      </c>
      <c r="K9" s="1253">
        <f>SUMIF('数据-汇总表'!C$19:C$33,A9,'数据-汇总表'!E$19:E$33)</f>
        <v>26841</v>
      </c>
      <c r="L9" s="802">
        <v>2000</v>
      </c>
      <c r="M9" s="75">
        <f t="shared" si="0"/>
        <v>5368</v>
      </c>
      <c r="N9" s="800">
        <v>0.3</v>
      </c>
      <c r="O9" s="75">
        <f t="shared" si="3"/>
        <v>1610</v>
      </c>
      <c r="P9" s="76">
        <f t="shared" si="4"/>
        <v>3758</v>
      </c>
      <c r="Q9" s="90">
        <v>0.03</v>
      </c>
      <c r="R9" s="77">
        <f ca="1">SUMIF('数据-汇总表'!C$19:C$33,A9,'数据-汇总表'!R$19:R$27)</f>
        <v>7368.41</v>
      </c>
      <c r="S9" s="54">
        <f>IF('数据-汇总表'!$I$17="按面积比例",SUMIF('数据-汇总表'!C$19:C$33,A9,'数据-汇总表'!K$19:K$33),SUMIF('数据-汇总表'!C$19:C$33,A9,'数据-汇总表'!N$19:N$33))</f>
        <v>3654.82</v>
      </c>
      <c r="T9" s="1445">
        <f t="shared" si="5"/>
        <v>731</v>
      </c>
      <c r="U9" s="78">
        <v>300</v>
      </c>
      <c r="V9" s="79">
        <v>0</v>
      </c>
      <c r="W9" s="79">
        <v>0.1</v>
      </c>
      <c r="X9" s="1263"/>
      <c r="Y9" s="80">
        <v>1</v>
      </c>
      <c r="Z9" s="81"/>
      <c r="AA9" s="74"/>
      <c r="AB9" s="74"/>
      <c r="AC9" s="1263"/>
      <c r="AD9" s="82"/>
      <c r="AE9" s="1264">
        <f t="shared" ca="1" si="6"/>
        <v>45.79</v>
      </c>
      <c r="AF9" s="1805"/>
      <c r="AG9" s="146">
        <f t="shared" si="7"/>
        <v>0</v>
      </c>
      <c r="AH9" s="83">
        <v>766</v>
      </c>
      <c r="AI9" s="85">
        <v>12</v>
      </c>
      <c r="AJ9" s="86"/>
      <c r="AK9" s="87">
        <v>1.4999999999999999E-2</v>
      </c>
      <c r="AL9" s="88">
        <v>1.5E-3</v>
      </c>
      <c r="AM9" s="89">
        <v>0.01</v>
      </c>
      <c r="AN9" s="2306" t="s">
        <v>3119</v>
      </c>
      <c r="AO9" s="55">
        <f t="shared" ca="1" si="8"/>
        <v>1947</v>
      </c>
      <c r="AP9" s="2307">
        <f t="shared" si="9"/>
        <v>0</v>
      </c>
      <c r="AQ9" s="55">
        <f t="shared" si="10"/>
        <v>154</v>
      </c>
      <c r="AR9" s="55">
        <f t="shared" si="11"/>
        <v>577</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800"/>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2"/>
      <c r="AA11" s="74"/>
      <c r="AB11" s="74"/>
      <c r="AC11" s="1263"/>
      <c r="AD11" s="82"/>
      <c r="AE11" s="1264">
        <f t="shared" ca="1" si="6"/>
        <v>0</v>
      </c>
      <c r="AF11" s="1805"/>
      <c r="AG11" s="146">
        <f t="shared" si="7"/>
        <v>0</v>
      </c>
      <c r="AH11" s="83"/>
      <c r="AI11" s="85"/>
      <c r="AJ11" s="86"/>
      <c r="AK11" s="93"/>
      <c r="AL11" s="94"/>
      <c r="AM11" s="95"/>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800"/>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2"/>
      <c r="AA12" s="74"/>
      <c r="AB12" s="74"/>
      <c r="AC12" s="1263"/>
      <c r="AD12" s="82"/>
      <c r="AE12" s="1264">
        <f t="shared" ca="1" si="6"/>
        <v>0</v>
      </c>
      <c r="AF12" s="1805"/>
      <c r="AG12" s="146">
        <f t="shared" si="7"/>
        <v>0</v>
      </c>
      <c r="AH12" s="83"/>
      <c r="AI12" s="85"/>
      <c r="AJ12" s="86"/>
      <c r="AK12" s="93"/>
      <c r="AL12" s="94"/>
      <c r="AM12" s="95"/>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800"/>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1996</v>
      </c>
      <c r="B14" s="2304" t="s">
        <v>1997</v>
      </c>
      <c r="C14" s="2309" t="s">
        <v>1996</v>
      </c>
      <c r="D14" s="1053"/>
      <c r="E14" s="1050"/>
      <c r="F14" s="72"/>
      <c r="G14" s="73"/>
      <c r="H14" s="1252"/>
      <c r="I14" s="1252"/>
      <c r="J14" s="1252"/>
      <c r="K14" s="1253">
        <f>SUMIF('数据-汇总表'!C$19:C$33,A14,'数据-汇总表'!E$19:E$33)</f>
        <v>25738</v>
      </c>
      <c r="L14" s="91">
        <v>2000</v>
      </c>
      <c r="M14" s="75">
        <f t="shared" si="0"/>
        <v>5148</v>
      </c>
      <c r="N14" s="800">
        <v>0.21</v>
      </c>
      <c r="O14" s="75">
        <f t="shared" si="3"/>
        <v>1081</v>
      </c>
      <c r="P14" s="76">
        <f t="shared" si="4"/>
        <v>4067</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1998</v>
      </c>
      <c r="B15" s="2304" t="s">
        <v>1997</v>
      </c>
      <c r="C15" s="2309" t="s">
        <v>1999</v>
      </c>
      <c r="D15" s="1053"/>
      <c r="E15" s="1050"/>
      <c r="F15" s="72"/>
      <c r="G15" s="73"/>
      <c r="H15" s="1252"/>
      <c r="I15" s="1252"/>
      <c r="J15" s="1252"/>
      <c r="K15" s="1253">
        <f>SUMIF('数据-汇总表'!C$19:C$33,A15,'数据-汇总表'!E$19:E$33)</f>
        <v>7735</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2000</v>
      </c>
      <c r="B16" s="96"/>
      <c r="C16" s="1007"/>
      <c r="D16" s="2311"/>
      <c r="E16" s="96"/>
      <c r="F16" s="96"/>
      <c r="G16" s="97">
        <f>ROUND(SUMPRODUCT(G6:G13,K6:K13)/SUMPRODUCT((G6:G13&gt;0)*(K6:K13)),3)</f>
        <v>0.99099999999999999</v>
      </c>
      <c r="H16" s="98">
        <f>ROUND(SUMPRODUCT(H6:H13,K6:K13)/SUMPRODUCT((H6:H13&gt;0)*(K6:K13)),3)</f>
        <v>4.5999999999999999E-2</v>
      </c>
      <c r="I16" s="99"/>
      <c r="J16" s="99"/>
      <c r="K16" s="100">
        <f>SUM(K6:K15)</f>
        <v>222493</v>
      </c>
      <c r="L16" s="101">
        <f>ROUND(M16*10000/SUM(K6:K14),0)</f>
        <v>2319</v>
      </c>
      <c r="M16" s="101">
        <f>SUM(M6:M14)</f>
        <v>49800</v>
      </c>
      <c r="N16" s="102">
        <f>ROUND(SUMPRODUCT(M6:M14,N6:N14)/M16,3)</f>
        <v>0.26400000000000001</v>
      </c>
      <c r="O16" s="101">
        <f>SUM(O6:O14)</f>
        <v>13127</v>
      </c>
      <c r="P16" s="101">
        <f>SUM(P6:P14)</f>
        <v>36673</v>
      </c>
      <c r="Q16" s="103">
        <f>ROUND(SUMPRODUCT(Q6:Q13,K6:K13)/SUMPRODUCT((Q6:Q13&gt;0)*(K6:K13)),2)</f>
        <v>7.0000000000000007E-2</v>
      </c>
      <c r="R16" s="1257">
        <f ca="1">SUM(R6:R13)</f>
        <v>53758.8</v>
      </c>
      <c r="S16" s="104">
        <f>SUM(S6:S13)</f>
        <v>25738</v>
      </c>
      <c r="T16" s="105">
        <f>IF(SUMIF(T6:T13,"&lt;9E307")=M14,SUMIF(T6:T13,"&lt;9E307"),"有误，请检查")</f>
        <v>5148</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2001</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2002</v>
      </c>
      <c r="B19" s="111">
        <v>0</v>
      </c>
      <c r="C19" s="2274" t="s">
        <v>2003</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2004</v>
      </c>
      <c r="B20" s="112">
        <v>3</v>
      </c>
      <c r="C20" s="2274" t="s">
        <v>2005</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2006</v>
      </c>
      <c r="B21" s="112">
        <v>1.5</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2007</v>
      </c>
      <c r="B22" s="113">
        <f>B19+B20</f>
        <v>3</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2008</v>
      </c>
      <c r="B23" s="113">
        <f>B19+B21</f>
        <v>1.5</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2009</v>
      </c>
      <c r="B24" s="114">
        <f>B20-B21</f>
        <v>1.5</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2010</v>
      </c>
      <c r="B26" s="2317" t="s">
        <v>2011</v>
      </c>
      <c r="C26" s="2318" t="s">
        <v>2012</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2013</v>
      </c>
      <c r="B27" s="115">
        <v>160</v>
      </c>
      <c r="C27" s="1765" t="s">
        <v>2014</v>
      </c>
      <c r="D27" s="2320"/>
      <c r="E27" s="1429"/>
      <c r="F27" s="1429"/>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2015</v>
      </c>
      <c r="B28" s="118">
        <v>200</v>
      </c>
      <c r="C28" s="2323"/>
      <c r="D28" s="2320"/>
      <c r="E28" s="1429"/>
      <c r="F28" s="1429"/>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2016</v>
      </c>
      <c r="B29" s="120">
        <f ca="1">成本法!C9+成本法!C10</f>
        <v>3902</v>
      </c>
      <c r="C29" s="1765" t="s">
        <v>2017</v>
      </c>
      <c r="D29" s="2320"/>
      <c r="E29" s="1429"/>
      <c r="F29" s="1429"/>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2018</v>
      </c>
      <c r="B30" s="723">
        <v>200</v>
      </c>
      <c r="C30" s="2323"/>
      <c r="D30" s="2320"/>
      <c r="E30" s="1429"/>
      <c r="F30" s="1429"/>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2019</v>
      </c>
      <c r="B31" s="119">
        <f>B30-B32</f>
        <v>200</v>
      </c>
      <c r="C31" s="1765"/>
      <c r="D31" s="2320"/>
      <c r="E31" s="1429"/>
      <c r="F31" s="1429"/>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2020</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2021</v>
      </c>
      <c r="B33" s="725">
        <v>0.03</v>
      </c>
      <c r="C33" s="1764" t="s">
        <v>2022</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2023</v>
      </c>
      <c r="B34" s="121">
        <v>0.02</v>
      </c>
      <c r="C34" s="1764" t="s">
        <v>2024</v>
      </c>
      <c r="D34" s="2275" t="s">
        <v>2025</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2026</v>
      </c>
      <c r="B35" s="118">
        <v>200</v>
      </c>
      <c r="C35" s="1764" t="s">
        <v>2027</v>
      </c>
      <c r="D35" s="2320"/>
      <c r="E35" s="1429"/>
      <c r="F35" s="1429"/>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2028</v>
      </c>
      <c r="B36" s="122">
        <v>1.4999999999999999E-2</v>
      </c>
      <c r="C36" s="1764" t="s">
        <v>2029</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2030</v>
      </c>
      <c r="B37" s="123">
        <v>0.01</v>
      </c>
      <c r="C37" s="1764" t="s">
        <v>2031</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2032</v>
      </c>
      <c r="B38" s="121">
        <v>0.01</v>
      </c>
      <c r="C38" s="1764" t="s">
        <v>2031</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2033</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2034</v>
      </c>
      <c r="B40" s="1302">
        <f ca="1">存贷款利率!G1</f>
        <v>4.7500000000000001E-2</v>
      </c>
      <c r="C40" s="1764" t="s">
        <v>2035</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2036</v>
      </c>
      <c r="B41" s="124">
        <f>B42+B43</f>
        <v>5.5000000000000007E-2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2037</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2038</v>
      </c>
      <c r="B43" s="126">
        <f>B42*(B44+B45+B46)+B47</f>
        <v>5.000000000000001E-3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2039</v>
      </c>
      <c r="B44" s="127">
        <v>0.05</v>
      </c>
      <c r="C44" s="1764" t="s">
        <v>2040</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2041</v>
      </c>
      <c r="B45" s="125">
        <v>0.03</v>
      </c>
      <c r="C45" s="1765" t="s">
        <v>2042</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2043</v>
      </c>
      <c r="B46" s="125">
        <v>0.02</v>
      </c>
      <c r="C46" s="1765" t="s">
        <v>2044</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2045</v>
      </c>
      <c r="B47" s="128">
        <v>0</v>
      </c>
      <c r="C47" s="1765" t="s">
        <v>2046</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2047</v>
      </c>
      <c r="B48" s="129">
        <v>0.03</v>
      </c>
      <c r="C48" s="1772" t="s">
        <v>2048</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2049</v>
      </c>
      <c r="B49" s="125">
        <v>5.0000000000000001E-4</v>
      </c>
      <c r="C49" s="1772" t="s">
        <v>2050</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2051</v>
      </c>
      <c r="B50" s="130">
        <v>1.2E-2</v>
      </c>
      <c r="C50" s="1429"/>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2052</v>
      </c>
      <c r="B51" s="131">
        <v>0.12</v>
      </c>
      <c r="C51" s="1429"/>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2053</v>
      </c>
      <c r="B52" s="132">
        <f>SUMIF(A54:A63,B53,B54:B63)</f>
        <v>1.5</v>
      </c>
      <c r="C52" s="1429"/>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2054</v>
      </c>
      <c r="B53" s="2333" t="s">
        <v>56</v>
      </c>
      <c r="C53" s="1429" t="s">
        <v>2055</v>
      </c>
      <c r="D53" s="2334" t="s">
        <v>2056</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2057</v>
      </c>
      <c r="B54" s="84">
        <v>30</v>
      </c>
      <c r="C54" s="1429">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2058</v>
      </c>
      <c r="B55" s="84">
        <v>24</v>
      </c>
      <c r="C55" s="1429">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2059</v>
      </c>
      <c r="B56" s="84">
        <v>18</v>
      </c>
      <c r="C56" s="1429">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2060</v>
      </c>
      <c r="B57" s="84">
        <v>12</v>
      </c>
      <c r="C57" s="1429">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2061</v>
      </c>
      <c r="B58" s="84">
        <v>3</v>
      </c>
      <c r="C58" s="1429">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2062</v>
      </c>
      <c r="B59" s="84">
        <v>1.5</v>
      </c>
      <c r="C59" s="1429">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2063</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2064</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2065</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2066</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9" t="s">
        <v>2067</v>
      </c>
      <c r="B1" s="3050"/>
      <c r="C1" s="3050"/>
      <c r="D1" s="3050"/>
      <c r="E1" s="3050"/>
      <c r="F1" s="3050"/>
      <c r="G1" s="30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2068</v>
      </c>
      <c r="D2" s="2363"/>
      <c r="E2" s="2364"/>
      <c r="F2" s="2283"/>
      <c r="G2" s="2362" t="s">
        <v>2069</v>
      </c>
      <c r="H2" s="2365"/>
      <c r="I2" s="2365"/>
      <c r="J2" s="2365"/>
      <c r="K2" s="2365"/>
      <c r="L2" s="2365"/>
      <c r="M2" s="2365"/>
      <c r="N2" s="2365"/>
      <c r="O2" s="2365"/>
      <c r="P2" s="2365"/>
      <c r="Q2" s="2365"/>
      <c r="R2" s="2365"/>
    </row>
    <row r="3" spans="1:29" ht="54">
      <c r="A3" s="414" t="s">
        <v>2070</v>
      </c>
      <c r="B3" s="1270" t="s">
        <v>2071</v>
      </c>
      <c r="C3" s="2367" t="s">
        <v>2072</v>
      </c>
      <c r="D3" s="2368"/>
      <c r="E3" s="430" t="s">
        <v>2070</v>
      </c>
      <c r="F3" s="2369" t="s">
        <v>2073</v>
      </c>
      <c r="G3" s="2370" t="s">
        <v>2074</v>
      </c>
      <c r="H3" s="2365"/>
      <c r="I3" s="2365"/>
      <c r="J3" s="2365"/>
      <c r="K3" s="2365"/>
      <c r="L3" s="2365"/>
      <c r="M3" s="2365"/>
      <c r="N3" s="2365"/>
      <c r="O3" s="2365"/>
      <c r="P3" s="2365"/>
      <c r="Q3" s="2365"/>
      <c r="R3" s="2365"/>
    </row>
    <row r="4" spans="1:29" ht="41.25">
      <c r="A4" s="430"/>
      <c r="B4" s="1796" t="s">
        <v>2075</v>
      </c>
      <c r="C4" s="2371" t="s">
        <v>2076</v>
      </c>
      <c r="D4" s="2368"/>
      <c r="E4" s="2372"/>
      <c r="F4" s="42" t="s">
        <v>2077</v>
      </c>
      <c r="G4" s="2373" t="s">
        <v>2078</v>
      </c>
      <c r="H4" s="2365"/>
      <c r="I4" s="2365"/>
      <c r="J4" s="2365"/>
      <c r="K4" s="2365"/>
      <c r="L4" s="2365"/>
      <c r="M4" s="2365"/>
      <c r="N4" s="2365"/>
      <c r="O4" s="2365"/>
      <c r="P4" s="2365"/>
      <c r="Q4" s="2365"/>
      <c r="R4" s="2365"/>
    </row>
    <row r="5" spans="1:29" ht="41.25">
      <c r="A5" s="430"/>
      <c r="B5" s="1796" t="s">
        <v>2079</v>
      </c>
      <c r="C5" s="2371" t="s">
        <v>2080</v>
      </c>
      <c r="D5" s="2368"/>
      <c r="E5" s="2372"/>
      <c r="F5" s="1796" t="s">
        <v>2081</v>
      </c>
      <c r="G5" s="2373" t="s">
        <v>2082</v>
      </c>
      <c r="H5" s="2365"/>
      <c r="I5" s="2365"/>
      <c r="J5" s="2365"/>
      <c r="K5" s="2365"/>
      <c r="L5" s="2365"/>
      <c r="M5" s="2365"/>
      <c r="N5" s="2365"/>
      <c r="O5" s="2365"/>
      <c r="P5" s="2365"/>
      <c r="Q5" s="2365"/>
      <c r="R5" s="2365"/>
    </row>
    <row r="6" spans="1:29" ht="54">
      <c r="A6" s="430"/>
      <c r="B6" s="1796" t="s">
        <v>2083</v>
      </c>
      <c r="C6" s="2373" t="s">
        <v>2078</v>
      </c>
      <c r="D6" s="2368"/>
      <c r="E6" s="2372"/>
      <c r="F6" s="1796" t="s">
        <v>2084</v>
      </c>
      <c r="G6" s="2373" t="s">
        <v>2085</v>
      </c>
      <c r="H6" s="2365"/>
      <c r="I6" s="2365"/>
      <c r="J6" s="2365"/>
      <c r="K6" s="2365"/>
      <c r="L6" s="2365"/>
      <c r="M6" s="2365"/>
      <c r="N6" s="2365"/>
      <c r="O6" s="2365"/>
      <c r="P6" s="2365"/>
      <c r="Q6" s="2365"/>
      <c r="R6" s="2365"/>
    </row>
    <row r="7" spans="1:29" ht="41.25" thickBot="1">
      <c r="A7" s="430"/>
      <c r="B7" s="1796" t="s">
        <v>2081</v>
      </c>
      <c r="C7" s="2373" t="s">
        <v>2082</v>
      </c>
      <c r="D7" s="2374"/>
      <c r="E7" s="2375"/>
      <c r="F7" s="2376" t="s">
        <v>2086</v>
      </c>
      <c r="G7" s="2377" t="s">
        <v>2087</v>
      </c>
      <c r="H7" s="2365"/>
      <c r="I7" s="2365"/>
      <c r="J7" s="2365"/>
      <c r="K7" s="2365"/>
      <c r="L7" s="2365"/>
      <c r="M7" s="2365"/>
      <c r="N7" s="2365"/>
      <c r="O7" s="2365"/>
      <c r="P7" s="2365"/>
      <c r="Q7" s="2365"/>
      <c r="R7" s="2365"/>
    </row>
    <row r="8" spans="1:29" ht="27">
      <c r="A8" s="430"/>
      <c r="B8" s="1796" t="s">
        <v>2084</v>
      </c>
      <c r="C8" s="2373" t="s">
        <v>2085</v>
      </c>
      <c r="D8" s="2374"/>
      <c r="E8" s="2374"/>
      <c r="F8" s="1135"/>
      <c r="G8" s="1135"/>
      <c r="H8" s="2365"/>
      <c r="I8" s="2365"/>
      <c r="J8" s="2365"/>
      <c r="K8" s="2365"/>
      <c r="L8" s="2365"/>
      <c r="M8" s="2365"/>
      <c r="N8" s="2365"/>
      <c r="O8" s="2365"/>
      <c r="P8" s="2365"/>
      <c r="Q8" s="2365"/>
      <c r="R8" s="2365"/>
    </row>
    <row r="9" spans="1:29" ht="27">
      <c r="A9" s="430"/>
      <c r="B9" s="1796" t="s">
        <v>2088</v>
      </c>
      <c r="C9" s="2371" t="s">
        <v>2089</v>
      </c>
      <c r="D9" s="2368"/>
      <c r="E9" s="2374"/>
      <c r="F9" s="1135"/>
      <c r="G9" s="1135"/>
      <c r="H9" s="2365"/>
      <c r="I9" s="2365"/>
      <c r="J9" s="2365"/>
      <c r="K9" s="2365"/>
      <c r="L9" s="2365"/>
      <c r="M9" s="2365"/>
      <c r="N9" s="2365"/>
      <c r="O9" s="2365"/>
      <c r="P9" s="2365"/>
      <c r="Q9" s="2365"/>
      <c r="R9" s="2365"/>
    </row>
    <row r="10" spans="1:29" s="116" customFormat="1" ht="15.75" thickBot="1">
      <c r="A10" s="2378"/>
      <c r="B10" s="2379" t="s">
        <v>2090</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2091</v>
      </c>
      <c r="B13" s="2385"/>
      <c r="C13" s="2385"/>
      <c r="D13" s="2392"/>
      <c r="E13" s="2385"/>
      <c r="F13" s="2385"/>
      <c r="G13" s="2385"/>
    </row>
    <row r="14" spans="1:29" ht="15.75" thickBot="1">
      <c r="A14" s="2396"/>
      <c r="B14" s="2397"/>
      <c r="C14" s="2398" t="s">
        <v>2092</v>
      </c>
      <c r="D14" s="2368"/>
      <c r="E14" s="2399"/>
      <c r="F14" s="2399"/>
      <c r="G14" s="2362" t="s">
        <v>2093</v>
      </c>
    </row>
    <row r="15" spans="1:29" ht="57">
      <c r="A15" s="68" t="s">
        <v>2094</v>
      </c>
      <c r="B15" s="1269" t="s">
        <v>2071</v>
      </c>
      <c r="C15" s="2400" t="str">
        <f>C3</f>
        <v>估价对象周边居住用地比例、居住小区规模和社区发展完善程度，综合评价居住社区成熟度一般</v>
      </c>
      <c r="D15" s="2368"/>
      <c r="E15" s="2401" t="s">
        <v>2095</v>
      </c>
      <c r="F15" s="1269" t="s">
        <v>2096</v>
      </c>
      <c r="G15" s="134" t="str">
        <f>G3</f>
        <v>估价对象位于XX开发区，园区建设成熟度XX，产业集聚程度XX</v>
      </c>
    </row>
    <row r="16" spans="1:29" ht="42.75">
      <c r="A16" s="644"/>
      <c r="B16" s="2402" t="s">
        <v>2075</v>
      </c>
      <c r="C16" s="2403" t="str">
        <f>C4</f>
        <v>估价对象位于XX商圈，周边商业氛围成熟，人流量大，商业繁华度好</v>
      </c>
      <c r="D16" s="2368"/>
      <c r="E16" s="2404"/>
      <c r="F16" s="2405" t="s">
        <v>2077</v>
      </c>
      <c r="G16" s="135" t="str">
        <f>G4</f>
        <v>估价对象周边道路状况、公共交通通达情况、停车便捷程度，综合评价交通便捷度较好</v>
      </c>
    </row>
    <row r="17" spans="1:18" ht="42.75">
      <c r="A17" s="644"/>
      <c r="B17" s="2402" t="s">
        <v>2079</v>
      </c>
      <c r="C17" s="2403" t="str">
        <f>C5</f>
        <v>估价对象位于XX商圈，周边办公楼项目较多，入驻率高，办公集聚程度较好</v>
      </c>
      <c r="D17" s="2374"/>
      <c r="E17" s="2404"/>
      <c r="F17" s="2405" t="s">
        <v>2097</v>
      </c>
      <c r="G17" s="1570"/>
    </row>
    <row r="18" spans="1:18" ht="57">
      <c r="A18" s="644"/>
      <c r="B18" s="2405" t="s">
        <v>2083</v>
      </c>
      <c r="C18" s="135" t="str">
        <f>C6</f>
        <v>估价对象周边道路状况、公共交通通达情况、停车便捷程度，综合评价交通便捷度较好</v>
      </c>
      <c r="D18" s="2374"/>
      <c r="E18" s="2404"/>
      <c r="F18" s="2405" t="s">
        <v>2086</v>
      </c>
      <c r="G18" s="135" t="str">
        <f>G7</f>
        <v>该园区内是否有污染型企业，绿化情况，卫生条件，整体环境状况判断</v>
      </c>
    </row>
    <row r="19" spans="1:18" ht="28.5">
      <c r="A19" s="644"/>
      <c r="B19" s="2405" t="s">
        <v>2098</v>
      </c>
      <c r="C19" s="1570"/>
      <c r="D19" s="2368"/>
      <c r="E19" s="2404"/>
      <c r="F19" s="1796" t="s">
        <v>2081</v>
      </c>
      <c r="G19" s="135" t="str">
        <f>G5</f>
        <v>估价对象所在区域公共配套设施齐备情况</v>
      </c>
    </row>
    <row r="20" spans="1:18" ht="28.5">
      <c r="A20" s="644"/>
      <c r="B20" s="2405" t="s">
        <v>2099</v>
      </c>
      <c r="C20" s="2403" t="str">
        <f>C9</f>
        <v>区域自然环境：；人文环境；综合评价环境状况一般</v>
      </c>
      <c r="D20" s="2374"/>
      <c r="E20" s="2404"/>
      <c r="F20" s="1796" t="s">
        <v>2100</v>
      </c>
      <c r="G20" s="135" t="str">
        <f>G6</f>
        <v>估价对象所在区域基础设施水平</v>
      </c>
    </row>
    <row r="21" spans="1:18" ht="28.5">
      <c r="A21" s="644"/>
      <c r="B21" s="1796" t="s">
        <v>2081</v>
      </c>
      <c r="C21" s="135" t="str">
        <f>C7</f>
        <v>估价对象所在区域公共配套设施齐备情况</v>
      </c>
      <c r="D21" s="2368"/>
      <c r="E21" s="2404"/>
      <c r="F21" s="2405" t="s">
        <v>2101</v>
      </c>
      <c r="G21" s="2406"/>
    </row>
    <row r="22" spans="1:18" ht="13.5" customHeight="1">
      <c r="A22" s="644"/>
      <c r="B22" s="1796" t="s">
        <v>2084</v>
      </c>
      <c r="C22" s="135" t="str">
        <f>C8</f>
        <v>估价对象所在区域基础设施水平</v>
      </c>
      <c r="D22" s="2368"/>
      <c r="E22" s="2404"/>
      <c r="F22" s="2405" t="s">
        <v>2090</v>
      </c>
      <c r="G22" s="1570"/>
    </row>
    <row r="23" spans="1:18" s="2365" customFormat="1" ht="15.75" thickBot="1">
      <c r="A23" s="644"/>
      <c r="B23" s="2405" t="s">
        <v>2101</v>
      </c>
      <c r="C23" s="2406"/>
      <c r="D23" s="2393"/>
      <c r="E23" s="2407"/>
      <c r="F23" s="2408" t="s">
        <v>2102</v>
      </c>
      <c r="G23" s="2409"/>
      <c r="H23" s="2393"/>
      <c r="I23" s="2394"/>
      <c r="J23" s="2393"/>
      <c r="K23" s="2393"/>
      <c r="L23" s="2394"/>
      <c r="M23" s="2393"/>
      <c r="N23" s="2393"/>
      <c r="O23" s="2394"/>
      <c r="P23" s="2393"/>
      <c r="Q23" s="2393"/>
      <c r="R23" s="2395"/>
    </row>
    <row r="24" spans="1:18" s="2365" customFormat="1" ht="15.75" thickBot="1">
      <c r="A24" s="2410"/>
      <c r="B24" s="2408" t="s">
        <v>2103</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1361</v>
      </c>
      <c r="B1" s="1744">
        <f>SUM(B14:B23)</f>
        <v>222493</v>
      </c>
      <c r="C1" s="1743"/>
      <c r="D1" s="1743"/>
      <c r="E1" s="1743"/>
      <c r="F1" s="1743"/>
      <c r="G1" s="1741"/>
    </row>
    <row r="2" spans="1:10" ht="16.5">
      <c r="A2" s="1744" t="s">
        <v>1349</v>
      </c>
      <c r="B2" s="1744">
        <f>SUM(C14:C23)</f>
        <v>53758.79</v>
      </c>
      <c r="C2" s="1743"/>
      <c r="D2" s="1743"/>
      <c r="E2" s="1743"/>
      <c r="F2" s="1743"/>
      <c r="G2" s="1741"/>
    </row>
    <row r="3" spans="1:10" ht="16.5">
      <c r="A3" s="1744" t="s">
        <v>1358</v>
      </c>
      <c r="B3" s="1745">
        <f>项目基本情况!D3</f>
        <v>42990</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51203</v>
      </c>
      <c r="C5" s="1744">
        <f ca="1">ROUND(B5*10000/$B$1,0)</f>
        <v>2301</v>
      </c>
      <c r="D5" s="1744">
        <f ca="1">ROUND(B5*10000/$B$2,0)</f>
        <v>9525</v>
      </c>
      <c r="E5" s="1743"/>
      <c r="F5" s="1741"/>
      <c r="G5" s="1741"/>
    </row>
    <row r="6" spans="1:10" ht="16.5">
      <c r="A6" s="1744" t="s">
        <v>1352</v>
      </c>
      <c r="B6" s="1744">
        <f ca="1">SUM(G14:G23)</f>
        <v>51203</v>
      </c>
      <c r="C6" s="1744">
        <f ca="1">ROUND(B6*10000/$B$1,0)</f>
        <v>2301</v>
      </c>
      <c r="D6" s="1744">
        <f ca="1">ROUND(B6*10000/$B$2,0)</f>
        <v>9525</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222493</v>
      </c>
      <c r="C14" s="1742">
        <f>结果表!C118</f>
        <v>53758.79</v>
      </c>
      <c r="D14" s="1742">
        <f ca="1">结果表!H118</f>
        <v>51203</v>
      </c>
      <c r="E14" s="1742">
        <f ca="1">ROUND(D14*10000/B14,0)</f>
        <v>2301</v>
      </c>
      <c r="F14" s="1742">
        <f ca="1">ROUND(D14*10000/C14,0)</f>
        <v>9525</v>
      </c>
      <c r="G14" s="1742">
        <f ca="1">结果表!D122</f>
        <v>51203</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2104</v>
      </c>
      <c r="B1" s="2416"/>
      <c r="C1" s="2417"/>
      <c r="D1" s="2416"/>
      <c r="E1" s="2416"/>
      <c r="F1" s="2418" t="s">
        <v>2105</v>
      </c>
      <c r="G1" s="2068" t="s">
        <v>3108</v>
      </c>
      <c r="H1" s="2419" t="str">
        <f>IF(G1="现房","——","估价对象范围")</f>
        <v>估价对象范围</v>
      </c>
      <c r="I1" s="2420" t="s">
        <v>3133</v>
      </c>
    </row>
    <row r="2" spans="1:12" ht="21.75" customHeight="1" thickBot="1">
      <c r="A2" s="3123" t="str">
        <f>项目基本情况!S2</f>
        <v>北京市昌平区沙河镇西沙屯南侧出让国有建设用地使用权及在建建筑物房地产</v>
      </c>
      <c r="B2" s="3124"/>
      <c r="C2" s="3124"/>
      <c r="D2" s="3124"/>
      <c r="E2" s="3124"/>
      <c r="F2" s="3124"/>
      <c r="G2" s="3124"/>
      <c r="H2" s="3124"/>
      <c r="I2" s="3125"/>
    </row>
    <row r="3" spans="1:12" ht="12.75">
      <c r="A3" s="3126" t="s">
        <v>2106</v>
      </c>
      <c r="B3" s="3127"/>
      <c r="C3" s="3127"/>
      <c r="D3" s="3127"/>
      <c r="E3" s="3127"/>
      <c r="F3" s="3127"/>
      <c r="G3" s="3127"/>
      <c r="H3" s="3127"/>
      <c r="I3" s="3127"/>
    </row>
    <row r="4" spans="1:12" ht="14.25">
      <c r="A4" s="2423" t="s">
        <v>2107</v>
      </c>
      <c r="B4" s="2424" t="s">
        <v>2108</v>
      </c>
      <c r="C4" s="2425" t="s">
        <v>3050</v>
      </c>
      <c r="D4" s="2425" t="s">
        <v>3121</v>
      </c>
      <c r="E4" s="3107" t="s">
        <v>2109</v>
      </c>
      <c r="F4" s="3120"/>
      <c r="G4" s="3120"/>
      <c r="H4" s="3120"/>
      <c r="I4" s="310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2110</v>
      </c>
      <c r="B5" s="3025">
        <v>25</v>
      </c>
      <c r="C5" s="3128"/>
      <c r="D5" s="3116"/>
      <c r="E5" s="139" t="s">
        <v>2111</v>
      </c>
      <c r="F5" s="2427"/>
      <c r="G5" s="2427"/>
      <c r="H5" s="2427"/>
      <c r="I5" s="1832"/>
    </row>
    <row r="6" spans="1:12" ht="12.75">
      <c r="A6" s="3098"/>
      <c r="B6" s="3025"/>
      <c r="C6" s="3130"/>
      <c r="D6" s="3116"/>
      <c r="E6" s="139" t="s">
        <v>2112</v>
      </c>
      <c r="F6" s="2427"/>
      <c r="G6" s="2427"/>
      <c r="H6" s="2427"/>
      <c r="I6" s="1832"/>
      <c r="K6" s="2958" t="s">
        <v>3067</v>
      </c>
      <c r="L6" s="137">
        <f ca="1">ROUND(G19/'数据-汇总表'!F19*10000,0)</f>
        <v>3738</v>
      </c>
    </row>
    <row r="7" spans="1:12" ht="12.75">
      <c r="A7" s="3098"/>
      <c r="B7" s="3025"/>
      <c r="C7" s="3129"/>
      <c r="D7" s="3116"/>
      <c r="E7" s="139" t="s">
        <v>2113</v>
      </c>
      <c r="F7" s="2427"/>
      <c r="G7" s="2427"/>
      <c r="H7" s="2427"/>
      <c r="I7" s="1832"/>
      <c r="K7" s="137" t="s">
        <v>3063</v>
      </c>
      <c r="L7" s="137">
        <f ca="1">ROUND(L6*2/1.7,0)</f>
        <v>4398</v>
      </c>
    </row>
    <row r="8" spans="1:12" ht="12.75">
      <c r="A8" s="3098" t="s">
        <v>2114</v>
      </c>
      <c r="B8" s="3025">
        <v>15</v>
      </c>
      <c r="C8" s="3128"/>
      <c r="D8" s="3116"/>
      <c r="E8" s="139" t="s">
        <v>2115</v>
      </c>
      <c r="F8" s="2427"/>
      <c r="G8" s="2427"/>
      <c r="H8" s="2427"/>
      <c r="I8" s="1832"/>
      <c r="K8" s="137" t="s">
        <v>3066</v>
      </c>
      <c r="L8" s="137">
        <f ca="1">ROUND(L7*0.7,0)</f>
        <v>3079</v>
      </c>
    </row>
    <row r="9" spans="1:12" ht="12.75">
      <c r="A9" s="3098"/>
      <c r="B9" s="3025"/>
      <c r="C9" s="3129"/>
      <c r="D9" s="3116"/>
      <c r="E9" s="139" t="s">
        <v>2116</v>
      </c>
      <c r="F9" s="2427"/>
      <c r="G9" s="2427"/>
      <c r="H9" s="2427"/>
      <c r="I9" s="1832"/>
    </row>
    <row r="10" spans="1:12" ht="12.75">
      <c r="A10" s="3098" t="s">
        <v>2117</v>
      </c>
      <c r="B10" s="3025">
        <v>15</v>
      </c>
      <c r="C10" s="3128"/>
      <c r="D10" s="3116"/>
      <c r="E10" s="139" t="s">
        <v>2118</v>
      </c>
      <c r="F10" s="2427"/>
      <c r="G10" s="2427"/>
      <c r="H10" s="2427"/>
      <c r="I10" s="1832"/>
    </row>
    <row r="11" spans="1:12" ht="12.75">
      <c r="A11" s="3098"/>
      <c r="B11" s="3025"/>
      <c r="C11" s="3129"/>
      <c r="D11" s="3116"/>
      <c r="E11" s="139" t="s">
        <v>2119</v>
      </c>
      <c r="F11" s="2427"/>
      <c r="G11" s="2427"/>
      <c r="H11" s="2427"/>
      <c r="I11" s="1832"/>
    </row>
    <row r="12" spans="1:12" ht="12.75">
      <c r="A12" s="3098" t="s">
        <v>2120</v>
      </c>
      <c r="B12" s="3025">
        <v>15</v>
      </c>
      <c r="C12" s="3128"/>
      <c r="D12" s="3116"/>
      <c r="E12" s="139" t="s">
        <v>2121</v>
      </c>
      <c r="F12" s="2427"/>
      <c r="G12" s="2427"/>
      <c r="H12" s="2427"/>
      <c r="I12" s="1832"/>
    </row>
    <row r="13" spans="1:12" ht="12.75">
      <c r="A13" s="3098"/>
      <c r="B13" s="3025"/>
      <c r="C13" s="3129"/>
      <c r="D13" s="3116"/>
      <c r="E13" s="139" t="s">
        <v>2122</v>
      </c>
      <c r="F13" s="2427"/>
      <c r="G13" s="2427"/>
      <c r="H13" s="2427"/>
      <c r="I13" s="1832"/>
    </row>
    <row r="14" spans="1:12" ht="12.75">
      <c r="A14" s="3098" t="s">
        <v>2123</v>
      </c>
      <c r="B14" s="3025">
        <v>30</v>
      </c>
      <c r="C14" s="3128">
        <v>0</v>
      </c>
      <c r="D14" s="3116">
        <v>100</v>
      </c>
      <c r="E14" s="139" t="s">
        <v>2124</v>
      </c>
      <c r="F14" s="2427"/>
      <c r="G14" s="2427"/>
      <c r="H14" s="2427"/>
      <c r="I14" s="1832"/>
    </row>
    <row r="15" spans="1:12" ht="12.75">
      <c r="A15" s="3098"/>
      <c r="B15" s="3025"/>
      <c r="C15" s="3130"/>
      <c r="D15" s="3116"/>
      <c r="E15" s="139" t="s">
        <v>2125</v>
      </c>
      <c r="F15" s="2427"/>
      <c r="G15" s="2427"/>
      <c r="H15" s="2427"/>
      <c r="I15" s="1832"/>
    </row>
    <row r="16" spans="1:12" ht="12.75">
      <c r="A16" s="3098"/>
      <c r="B16" s="3025"/>
      <c r="C16" s="3129"/>
      <c r="D16" s="3116"/>
      <c r="E16" s="139" t="s">
        <v>2126</v>
      </c>
      <c r="F16" s="2427"/>
      <c r="G16" s="2427"/>
      <c r="H16" s="2427"/>
      <c r="I16" s="1832"/>
    </row>
    <row r="17" spans="1:35" ht="15">
      <c r="A17" s="2428" t="s">
        <v>2127</v>
      </c>
      <c r="B17" s="64"/>
      <c r="C17" s="140">
        <f>SUM(C5:C16)</f>
        <v>0</v>
      </c>
      <c r="D17" s="140">
        <f>SUM(D5:D16)</f>
        <v>100</v>
      </c>
      <c r="E17" s="137"/>
      <c r="F17" s="137"/>
      <c r="G17" s="137"/>
      <c r="H17" s="137"/>
      <c r="I17" s="137"/>
      <c r="K17" s="2426"/>
      <c r="L17" s="2429" t="s">
        <v>2128</v>
      </c>
      <c r="M17" s="2429" t="s">
        <v>2129</v>
      </c>
    </row>
    <row r="18" spans="1:35" ht="15.75" thickBot="1">
      <c r="A18" s="2430" t="s">
        <v>2130</v>
      </c>
      <c r="B18" s="2431"/>
      <c r="C18" s="141">
        <f>ROUND(C17/SUM(C17:D17),2)</f>
        <v>0</v>
      </c>
      <c r="D18" s="141">
        <f>1-C18</f>
        <v>1</v>
      </c>
      <c r="E18" s="137"/>
      <c r="F18" s="137"/>
      <c r="G18" s="137"/>
      <c r="H18" s="137"/>
      <c r="I18" s="137"/>
      <c r="K18" s="2426" t="s">
        <v>2131</v>
      </c>
      <c r="L18" s="2426">
        <f>IF(C1="",'数据-汇总表'!E3,SUMIF(项目类型,C1,'数据-汇总表'!E17:E26)+SUMIF(项目类型,C1,'数据-汇总表'!I17:I26))</f>
        <v>222493</v>
      </c>
      <c r="M18" s="2426">
        <f>IF(C1="",'数据-汇总表'!E3,SUMIF(项目类型,C1,'数据-汇总表'!E17:E26))</f>
        <v>222493</v>
      </c>
    </row>
    <row r="19" spans="1:35" ht="15">
      <c r="A19" s="2432" t="s">
        <v>2132</v>
      </c>
      <c r="B19" s="2433" t="s">
        <v>2133</v>
      </c>
      <c r="C19" s="142">
        <f ca="1">SUMIF(INDIRECT("'"&amp;C4&amp;"'"&amp;"!A:A"),结果表!B19,INDIRECT("'"&amp;C4&amp;"'"&amp;"!B:B"))</f>
        <v>140463</v>
      </c>
      <c r="D19" s="143">
        <f ca="1">SUMIF(INDIRECT("'"&amp;D4&amp;"'"&amp;"!A:A"),结果表!B19,INDIRECT("'"&amp;D4&amp;"'"&amp;"!B:B"))</f>
        <v>51203</v>
      </c>
      <c r="E19" s="2432" t="s">
        <v>2134</v>
      </c>
      <c r="F19" s="2433" t="s">
        <v>2133</v>
      </c>
      <c r="G19" s="144">
        <f ca="1">ROUND(C19*$C$18+D19*$D$18,0)</f>
        <v>51203</v>
      </c>
      <c r="H19" s="2434" t="s">
        <v>2135</v>
      </c>
      <c r="I19" s="137"/>
      <c r="K19" s="2426" t="s">
        <v>2136</v>
      </c>
      <c r="L19" s="2426">
        <f>IF(C1="",'数据-汇总表'!D3,SUMIF(项目类型,C1,'数据-汇总表'!D17:D26)+SUMIF(项目类型,C1,'数据-汇总表'!H17:H27))</f>
        <v>53758.79</v>
      </c>
      <c r="M19" s="2426">
        <f>IF(C1="",'数据-汇总表'!D3,SUMIF(项目类型,C1,'数据-汇总表'!D17:D26))</f>
        <v>53758.79</v>
      </c>
    </row>
    <row r="20" spans="1:35" ht="15">
      <c r="A20" s="2435"/>
      <c r="B20" s="1249" t="s">
        <v>2137</v>
      </c>
      <c r="C20" s="145">
        <f ca="1">SUMIF(INDIRECT("'"&amp;C4&amp;"'"&amp;"!A:A"),结果表!B20,INDIRECT("'"&amp;C4&amp;"'"&amp;"!B:B"))</f>
        <v>6313</v>
      </c>
      <c r="D20" s="146">
        <f ca="1">SUMIF(INDIRECT("'"&amp;D4&amp;"'"&amp;"!A:A"),结果表!B20,INDIRECT("'"&amp;D4&amp;"'"&amp;"!B:B"))</f>
        <v>2301</v>
      </c>
      <c r="E20" s="2435"/>
      <c r="F20" s="1249" t="s">
        <v>2137</v>
      </c>
      <c r="G20" s="147">
        <f ca="1">ROUND(C20*$C$18+D20*$D$18,0)</f>
        <v>2301</v>
      </c>
      <c r="H20" s="982" t="s">
        <v>2138</v>
      </c>
      <c r="I20" s="137"/>
    </row>
    <row r="21" spans="1:35" ht="15" customHeight="1" thickBot="1">
      <c r="A21" s="1002"/>
      <c r="B21" s="2436" t="s">
        <v>2139</v>
      </c>
      <c r="C21" s="788">
        <f ca="1">ROUND(C19*10000/L19,0)</f>
        <v>26128</v>
      </c>
      <c r="D21" s="789">
        <f ca="1">ROUND(D19*10000/L19,0)</f>
        <v>9525</v>
      </c>
      <c r="E21" s="1002"/>
      <c r="F21" s="2436" t="s">
        <v>2139</v>
      </c>
      <c r="G21" s="148">
        <f ca="1">ROUND(G19*10000/L19,0)</f>
        <v>9525</v>
      </c>
      <c r="H21" s="2437" t="s">
        <v>2138</v>
      </c>
      <c r="I21" s="137"/>
    </row>
    <row r="22" spans="1:35" ht="15" thickBot="1">
      <c r="A22" s="2278" t="s">
        <v>2140</v>
      </c>
      <c r="B22" s="2438"/>
      <c r="C22" s="2439"/>
      <c r="D22" s="790">
        <f ca="1">IF(C19&lt;D19,D19/C19-1,C19/D19-1)</f>
        <v>1.7432572310216199</v>
      </c>
      <c r="E22" s="137"/>
      <c r="F22" s="2958"/>
      <c r="G22" s="137"/>
      <c r="H22" s="137"/>
      <c r="I22" s="137"/>
    </row>
    <row r="23" spans="1:35" ht="13.5" hidden="1" thickBot="1">
      <c r="A23" s="2416"/>
      <c r="B23" s="2416"/>
      <c r="C23" s="2416"/>
      <c r="D23" s="2416"/>
      <c r="E23" s="137"/>
      <c r="F23" s="137"/>
      <c r="G23" s="137"/>
      <c r="H23" s="137"/>
      <c r="I23" s="137"/>
    </row>
    <row r="24" spans="1:35" ht="14.25" hidden="1">
      <c r="A24" s="3137" t="s">
        <v>2141</v>
      </c>
      <c r="B24" s="2433" t="s">
        <v>2133</v>
      </c>
      <c r="C24" s="144">
        <f>IF(B30=0,0,D30)</f>
        <v>0</v>
      </c>
      <c r="D24" s="2440"/>
      <c r="E24" s="137"/>
      <c r="F24" s="137"/>
      <c r="G24" s="137"/>
      <c r="H24" s="137"/>
      <c r="I24" s="137"/>
    </row>
    <row r="25" spans="1:35" ht="14.25" hidden="1">
      <c r="A25" s="3138"/>
      <c r="B25" s="1249" t="s">
        <v>2137</v>
      </c>
      <c r="C25" s="149">
        <f>IF(B30=0,0,C30)</f>
        <v>0</v>
      </c>
      <c r="D25" s="2441"/>
      <c r="E25" s="137"/>
      <c r="F25" s="137"/>
      <c r="G25" s="137"/>
      <c r="H25" s="137"/>
      <c r="I25" s="137"/>
    </row>
    <row r="26" spans="1:35" ht="13.5" hidden="1" customHeight="1">
      <c r="A26" s="2442" t="s">
        <v>2142</v>
      </c>
      <c r="B26" s="150" t="s">
        <v>2143</v>
      </c>
      <c r="C26" s="150" t="s">
        <v>2144</v>
      </c>
      <c r="D26" s="151" t="s">
        <v>2145</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2146</v>
      </c>
      <c r="B30" s="150"/>
      <c r="C30" s="150"/>
      <c r="D30" s="150"/>
      <c r="E30" s="2924" t="s">
        <v>3020</v>
      </c>
      <c r="F30" s="137"/>
      <c r="G30" s="137"/>
      <c r="H30" s="137"/>
      <c r="I30" s="137"/>
    </row>
    <row r="31" spans="1:35" s="2444" customFormat="1" ht="15" hidden="1"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2147</v>
      </c>
      <c r="B32" s="2446"/>
      <c r="C32" s="152">
        <f ca="1">IF(D32="总价",G19-C24,G20-C25)</f>
        <v>51203</v>
      </c>
      <c r="D32" s="2447" t="s">
        <v>2148</v>
      </c>
      <c r="E32" s="137"/>
      <c r="F32" s="137"/>
      <c r="G32" s="137"/>
      <c r="H32" s="137"/>
      <c r="I32" s="137"/>
    </row>
    <row r="33" spans="1:15" ht="15">
      <c r="A33" s="959" t="s">
        <v>2149</v>
      </c>
      <c r="B33" s="2448"/>
      <c r="C33" s="2449" t="s">
        <v>3134</v>
      </c>
      <c r="D33" s="2450" t="s">
        <v>3050</v>
      </c>
      <c r="E33" s="2451" t="s">
        <v>2150</v>
      </c>
      <c r="F33" s="2452" t="str">
        <f>IF(D32="楼面单价","取值（单价）","取值（总价）")</f>
        <v>取值（总价）</v>
      </c>
      <c r="G33" s="137"/>
      <c r="H33" s="137"/>
      <c r="I33" s="137"/>
    </row>
    <row r="34" spans="1:15" ht="15">
      <c r="A34" s="2453"/>
      <c r="B34" s="2454" t="s">
        <v>2151</v>
      </c>
      <c r="C34" s="156">
        <f ca="1">IF(C33="自定义",F34,C32-C35)</f>
        <v>44649</v>
      </c>
      <c r="D34" s="1057">
        <f ca="1">IF(C33="自定义",ROUND(C34/C32,3),IF(C33="收益比率",SUMIF(INDIRECT("'"&amp;D33&amp;"'"&amp;"!b:b"),"土地收益比率",INDIRECT("'"&amp;D33&amp;"'"&amp;"!c:c")),SUMIF(INDIRECT("'"&amp;D33&amp;"'"&amp;"!b:b"),"土地成本比率",INDIRECT("'"&amp;D33&amp;"'"&amp;"!c:c"))))</f>
        <v>0.872</v>
      </c>
      <c r="E34" s="2455" t="s">
        <v>2152</v>
      </c>
      <c r="F34" s="1737"/>
      <c r="G34" s="137"/>
      <c r="H34" s="137"/>
      <c r="I34" s="137"/>
    </row>
    <row r="35" spans="1:15" ht="15.75" thickBot="1">
      <c r="A35" s="2456"/>
      <c r="B35" s="2457" t="s">
        <v>2153</v>
      </c>
      <c r="C35" s="1443">
        <f ca="1">IF(C33="自定义",F35,ROUND(C32*D35,0))</f>
        <v>6554</v>
      </c>
      <c r="D35" s="1444">
        <f ca="1">IF(C33="自定义",ROUND(C35/C32,3),IF(C33="收益比率",SUMIF(INDIRECT("'"&amp;D33&amp;"'"&amp;"!b:b"),"建筑物收益比率",INDIRECT("'"&amp;D33&amp;"'"&amp;"!c:c")),SUMIF(INDIRECT("'"&amp;D33&amp;"'"&amp;"!b:b"),"建筑物成本比率",INDIRECT("'"&amp;D33&amp;"'"&amp;"!c:c"))))</f>
        <v>0.128</v>
      </c>
      <c r="E35" s="2458" t="s">
        <v>2154</v>
      </c>
      <c r="F35" s="162"/>
      <c r="G35" s="137"/>
      <c r="H35" s="137"/>
      <c r="I35" s="137"/>
    </row>
    <row r="36" spans="1:15" ht="15.75" hidden="1" thickBot="1">
      <c r="A36" s="3117" t="s">
        <v>2155</v>
      </c>
      <c r="B36" s="2459" t="s">
        <v>2156</v>
      </c>
      <c r="C36" s="153"/>
      <c r="D36" s="2460"/>
      <c r="E36" s="2461"/>
      <c r="F36" s="2462"/>
      <c r="G36" s="137"/>
      <c r="H36" s="137"/>
      <c r="I36" s="137"/>
    </row>
    <row r="37" spans="1:15" ht="15.75" hidden="1" thickBot="1">
      <c r="A37" s="3118"/>
      <c r="B37" s="2264" t="s">
        <v>2157</v>
      </c>
      <c r="C37" s="155"/>
      <c r="D37" s="1394"/>
      <c r="E37" s="1394"/>
      <c r="F37" s="2462"/>
      <c r="G37" s="137"/>
      <c r="H37" s="137"/>
      <c r="I37" s="137"/>
    </row>
    <row r="38" spans="1:15" ht="15.75" hidden="1" thickBot="1">
      <c r="A38" s="3119"/>
      <c r="B38" s="2463" t="s">
        <v>2158</v>
      </c>
      <c r="C38" s="726"/>
      <c r="D38" s="2464" t="s">
        <v>2159</v>
      </c>
      <c r="E38" s="1394"/>
      <c r="F38" s="2462"/>
      <c r="G38" s="137"/>
      <c r="H38" s="137"/>
      <c r="I38" s="137"/>
    </row>
    <row r="39" spans="1:15" ht="15" hidden="1">
      <c r="A39" s="2435" t="s">
        <v>2160</v>
      </c>
      <c r="B39" s="2465" t="s">
        <v>2161</v>
      </c>
      <c r="C39" s="2466" t="s">
        <v>2162</v>
      </c>
      <c r="D39" s="2466" t="s">
        <v>2163</v>
      </c>
      <c r="E39" s="2467" t="s">
        <v>2164</v>
      </c>
      <c r="F39" s="2462"/>
      <c r="G39" s="137"/>
      <c r="H39" s="137"/>
      <c r="I39" s="137"/>
    </row>
    <row r="40" spans="1:15" ht="14.25" hidden="1">
      <c r="A40" s="2468" t="s">
        <v>2165</v>
      </c>
      <c r="B40" s="157"/>
      <c r="C40" s="158"/>
      <c r="D40" s="158"/>
      <c r="E40" s="159"/>
      <c r="F40" s="2462"/>
      <c r="G40" s="137"/>
      <c r="H40" s="137"/>
      <c r="I40" s="137"/>
    </row>
    <row r="41" spans="1:15" ht="14.25" hidden="1">
      <c r="A41" s="2468" t="s">
        <v>2166</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2167</v>
      </c>
      <c r="B44" s="2473"/>
      <c r="C44" s="2473"/>
      <c r="D44" s="2474"/>
      <c r="E44" s="2474"/>
      <c r="F44" s="2475"/>
      <c r="G44" s="2475"/>
      <c r="H44" s="2475"/>
      <c r="I44" s="2475"/>
      <c r="J44" s="2476" t="s">
        <v>2168</v>
      </c>
      <c r="K44" s="2477"/>
      <c r="L44" s="2477"/>
      <c r="M44" s="2477"/>
      <c r="N44" s="2477"/>
      <c r="O44" s="2477"/>
    </row>
    <row r="45" spans="1:15" ht="14.25" hidden="1" customHeight="1" thickBot="1">
      <c r="A45" s="3134" t="s">
        <v>2169</v>
      </c>
      <c r="B45" s="3135"/>
      <c r="C45" s="3136"/>
      <c r="D45" s="163">
        <f ca="1">ROUND(H101*F45,0)</f>
        <v>51203</v>
      </c>
      <c r="E45" s="164" t="s">
        <v>2170</v>
      </c>
      <c r="F45" s="165">
        <v>1</v>
      </c>
      <c r="G45" s="166" t="s">
        <v>2171</v>
      </c>
      <c r="H45" s="137"/>
      <c r="I45" s="137"/>
      <c r="J45" s="3053" t="s">
        <v>2172</v>
      </c>
      <c r="K45" s="3053"/>
      <c r="L45" s="3053"/>
      <c r="M45" s="3053"/>
      <c r="N45" s="3053"/>
      <c r="O45" s="3053"/>
    </row>
    <row r="46" spans="1:15" ht="14.25" hidden="1" customHeight="1">
      <c r="A46" s="3131" t="s">
        <v>2173</v>
      </c>
      <c r="B46" s="3132"/>
      <c r="C46" s="3132"/>
      <c r="D46" s="3132"/>
      <c r="E46" s="3132"/>
      <c r="F46" s="3132"/>
      <c r="G46" s="3133"/>
      <c r="H46" s="2478"/>
      <c r="I46" s="167"/>
      <c r="J46" s="1810">
        <v>1</v>
      </c>
      <c r="K46" s="3053" t="s">
        <v>2174</v>
      </c>
      <c r="L46" s="3053"/>
      <c r="M46" s="3054"/>
      <c r="N46" s="3054"/>
      <c r="O46" s="3054"/>
    </row>
    <row r="47" spans="1:15" ht="12" hidden="1" customHeight="1">
      <c r="A47" s="168" t="s">
        <v>2175</v>
      </c>
      <c r="B47" s="169"/>
      <c r="C47" s="170"/>
      <c r="D47" s="171" t="s">
        <v>2176</v>
      </c>
      <c r="E47" s="24" t="s">
        <v>2177</v>
      </c>
      <c r="F47" s="172" t="s">
        <v>2178</v>
      </c>
      <c r="G47" s="173" t="s">
        <v>2179</v>
      </c>
      <c r="H47" s="2478"/>
      <c r="I47" s="167"/>
      <c r="J47" s="1810">
        <v>2</v>
      </c>
      <c r="K47" s="3053" t="s">
        <v>2180</v>
      </c>
      <c r="L47" s="3053"/>
      <c r="M47" s="3055">
        <f>'数据-取费表'!B2</f>
        <v>42990</v>
      </c>
      <c r="N47" s="3055"/>
      <c r="O47" s="3055"/>
    </row>
    <row r="48" spans="1:15" ht="25.5" hidden="1">
      <c r="A48" s="3121" t="s">
        <v>2181</v>
      </c>
      <c r="B48" s="3122"/>
      <c r="C48" s="3122"/>
      <c r="D48" s="139">
        <f>IF(H48="情况1",0,IF(H48="情况2",D52,IF(H48="情况3",D53,IF(H48="情况4",D54))))</f>
        <v>0</v>
      </c>
      <c r="E48" s="1799" t="str">
        <f>IF(H48="情况4","(销售额-原购置价)×税（费）率","销售额×税（费）率")</f>
        <v>销售额×税（费）率</v>
      </c>
      <c r="F48" s="174" t="str">
        <f>IF(H48="情况1","免征",'数据-取费表'!B41)</f>
        <v>免征</v>
      </c>
      <c r="G48" s="2479" t="s">
        <v>2182</v>
      </c>
      <c r="H48" s="2480" t="s">
        <v>2183</v>
      </c>
      <c r="I48" s="2478"/>
      <c r="J48" s="1810">
        <v>3</v>
      </c>
      <c r="K48" s="3053" t="s">
        <v>2184</v>
      </c>
      <c r="L48" s="3053"/>
      <c r="M48" s="3056">
        <f ca="1">H101</f>
        <v>51203</v>
      </c>
      <c r="N48" s="3056"/>
      <c r="O48" s="3056"/>
    </row>
    <row r="49" spans="1:35" ht="25.5" hidden="1" customHeight="1">
      <c r="A49" s="175" t="s">
        <v>2185</v>
      </c>
      <c r="B49" s="3101" t="s">
        <v>2186</v>
      </c>
      <c r="C49" s="3101"/>
      <c r="D49" s="176">
        <v>0</v>
      </c>
      <c r="E49" s="23" t="s">
        <v>2187</v>
      </c>
      <c r="F49" s="28" t="s">
        <v>34</v>
      </c>
      <c r="G49" s="3082"/>
      <c r="H49" s="137"/>
      <c r="I49" s="2481"/>
      <c r="J49" s="1810">
        <v>4</v>
      </c>
      <c r="K49" s="3053" t="str">
        <f>IF(项目基本情况!E8="房地产抵押价值","房地产抵押价值","抵押担保权已注销时的房地产抵押价值")</f>
        <v>房地产抵押价值</v>
      </c>
      <c r="L49" s="3053"/>
      <c r="M49" s="3056">
        <f ca="1">IF(项目基本情况!E8="房地产抵押价值",H107,H109)</f>
        <v>51203</v>
      </c>
      <c r="N49" s="3056"/>
      <c r="O49" s="3056"/>
    </row>
    <row r="50" spans="1:35" ht="25.5" hidden="1" customHeight="1">
      <c r="A50" s="177"/>
      <c r="B50" s="3101" t="s">
        <v>2188</v>
      </c>
      <c r="C50" s="3101"/>
      <c r="D50" s="178"/>
      <c r="E50" s="31"/>
      <c r="F50" s="179"/>
      <c r="G50" s="3083"/>
      <c r="H50" s="137"/>
      <c r="I50" s="2481"/>
      <c r="J50" s="3053" t="s">
        <v>2189</v>
      </c>
      <c r="K50" s="3053"/>
      <c r="L50" s="3053"/>
      <c r="M50" s="3053"/>
      <c r="N50" s="3053"/>
      <c r="O50" s="3053"/>
    </row>
    <row r="51" spans="1:35" ht="12" hidden="1" customHeight="1">
      <c r="A51" s="180"/>
      <c r="B51" s="3101" t="s">
        <v>2190</v>
      </c>
      <c r="C51" s="3101"/>
      <c r="D51" s="181"/>
      <c r="E51" s="30"/>
      <c r="F51" s="179"/>
      <c r="G51" s="3084"/>
      <c r="H51" s="137"/>
      <c r="I51" s="2481"/>
      <c r="J51" s="2482" t="s">
        <v>2191</v>
      </c>
      <c r="K51" s="3053" t="s">
        <v>2192</v>
      </c>
      <c r="L51" s="3053"/>
      <c r="M51" s="2482" t="s">
        <v>2193</v>
      </c>
      <c r="N51" s="2482" t="s">
        <v>2194</v>
      </c>
      <c r="O51" s="2482" t="s">
        <v>2195</v>
      </c>
    </row>
    <row r="52" spans="1:35" ht="24" hidden="1" customHeight="1">
      <c r="A52" s="182" t="s">
        <v>2196</v>
      </c>
      <c r="B52" s="3101" t="s">
        <v>2197</v>
      </c>
      <c r="C52" s="3101"/>
      <c r="D52" s="181">
        <f ca="1">ROUND(D45*'数据-取费表'!B41/(1+'数据-取费表'!C42),0)</f>
        <v>2682</v>
      </c>
      <c r="E52" s="11" t="s">
        <v>2198</v>
      </c>
      <c r="F52" s="183">
        <f>'数据-取费表'!B41</f>
        <v>5.5000000000000007E-2</v>
      </c>
      <c r="G52" s="2483"/>
      <c r="H52" s="137"/>
      <c r="I52" s="2481"/>
      <c r="J52" s="1810">
        <v>1</v>
      </c>
      <c r="K52" s="3076" t="s">
        <v>2199</v>
      </c>
      <c r="L52" s="3076"/>
      <c r="M52" s="1752">
        <f>D48</f>
        <v>0</v>
      </c>
      <c r="N52" s="1810" t="str">
        <f>E48</f>
        <v>销售额×税（费）率</v>
      </c>
      <c r="O52" s="1753" t="str">
        <f>F48</f>
        <v>免征</v>
      </c>
    </row>
    <row r="53" spans="1:35" ht="12" hidden="1" customHeight="1">
      <c r="A53" s="182" t="s">
        <v>2200</v>
      </c>
      <c r="B53" s="3102" t="s">
        <v>2201</v>
      </c>
      <c r="C53" s="3103"/>
      <c r="D53" s="181">
        <f ca="1">ROUND(D45*'数据-取费表'!B41/(1+'数据-取费表'!C42),0)</f>
        <v>2682</v>
      </c>
      <c r="E53" s="11" t="s">
        <v>2198</v>
      </c>
      <c r="F53" s="183">
        <f>'数据-取费表'!B41</f>
        <v>5.5000000000000007E-2</v>
      </c>
      <c r="G53" s="2483"/>
      <c r="H53" s="137"/>
      <c r="I53" s="2481"/>
      <c r="J53" s="1810">
        <v>2</v>
      </c>
      <c r="K53" s="3076" t="s">
        <v>2202</v>
      </c>
      <c r="L53" s="3076"/>
      <c r="M53" s="1752">
        <f t="shared" ref="M53:O54" ca="1" si="0">D55</f>
        <v>26</v>
      </c>
      <c r="N53" s="1810" t="str">
        <f t="shared" si="0"/>
        <v>销售额×税（费）率</v>
      </c>
      <c r="O53" s="1753">
        <f t="shared" si="0"/>
        <v>5.0000000000000001E-4</v>
      </c>
    </row>
    <row r="54" spans="1:35" ht="12" hidden="1" customHeight="1">
      <c r="A54" s="182" t="s">
        <v>2203</v>
      </c>
      <c r="B54" s="3102" t="s">
        <v>2204</v>
      </c>
      <c r="C54" s="3103"/>
      <c r="D54" s="181">
        <f ca="1">C68</f>
        <v>2682</v>
      </c>
      <c r="E54" s="30" t="s">
        <v>2205</v>
      </c>
      <c r="F54" s="183">
        <f>'数据-取费表'!B41</f>
        <v>5.5000000000000007E-2</v>
      </c>
      <c r="G54" s="2483"/>
      <c r="H54" s="2484"/>
      <c r="I54" s="2481"/>
      <c r="J54" s="1810">
        <v>3</v>
      </c>
      <c r="K54" s="3076" t="s">
        <v>2206</v>
      </c>
      <c r="L54" s="3076"/>
      <c r="M54" s="1752">
        <f t="shared" ca="1" si="0"/>
        <v>29027</v>
      </c>
      <c r="N54" s="1810" t="str">
        <f t="shared" si="0"/>
        <v>增值额×税（费）率</v>
      </c>
      <c r="O54" s="1754" t="str">
        <f t="shared" si="0"/>
        <v>——</v>
      </c>
    </row>
    <row r="55" spans="1:35" ht="24" hidden="1" customHeight="1">
      <c r="A55" s="3140" t="s">
        <v>2207</v>
      </c>
      <c r="B55" s="3122"/>
      <c r="C55" s="3122"/>
      <c r="D55" s="184">
        <f ca="1">IF(H55="个人住宅",0,ROUND(D45*I55,0))</f>
        <v>26</v>
      </c>
      <c r="E55" s="11" t="s">
        <v>2208</v>
      </c>
      <c r="F55" s="183">
        <f>IF(H55="正常",I55,"免征")</f>
        <v>5.0000000000000001E-4</v>
      </c>
      <c r="G55" s="2483"/>
      <c r="H55" s="2480" t="s">
        <v>2209</v>
      </c>
      <c r="I55" s="185">
        <f>'数据-取费表'!B49</f>
        <v>5.0000000000000001E-4</v>
      </c>
      <c r="J55" s="1810" t="str">
        <f>IF(H59="非个人房产","",4)</f>
        <v/>
      </c>
      <c r="K55" s="3076" t="str">
        <f>IF(H59="非个人房产","——","个人所得税")</f>
        <v>——</v>
      </c>
      <c r="L55" s="3076"/>
      <c r="M55" s="1755" t="str">
        <f>D59</f>
        <v>——</v>
      </c>
      <c r="N55" s="1808" t="str">
        <f>E59</f>
        <v>——</v>
      </c>
      <c r="O55" s="1756" t="str">
        <f>F59</f>
        <v>——</v>
      </c>
    </row>
    <row r="56" spans="1:35" ht="24.75" hidden="1">
      <c r="A56" s="3140" t="s">
        <v>2210</v>
      </c>
      <c r="B56" s="3122"/>
      <c r="C56" s="3122"/>
      <c r="D56" s="184">
        <f ca="1">IF(H56="个人住宅",D57,D58)</f>
        <v>29027</v>
      </c>
      <c r="E56" s="11" t="s">
        <v>2211</v>
      </c>
      <c r="F56" s="183" t="str">
        <f>IF(H56="正常",F58,"免征")</f>
        <v>——</v>
      </c>
      <c r="G56" s="2485" t="s">
        <v>2212</v>
      </c>
      <c r="H56" s="2486" t="s">
        <v>2209</v>
      </c>
      <c r="I56" s="2487"/>
      <c r="J56" s="1810" t="str">
        <f>IF(项目基本情况!K6="上海银行",IF(J55="",4,J55+1),"")</f>
        <v/>
      </c>
      <c r="K56" s="3059" t="str">
        <f>IF(项目基本情况!K6="上海银行","其他处置费用","")</f>
        <v/>
      </c>
      <c r="L56" s="3060"/>
      <c r="M56" s="1752" t="str">
        <f>IF(项目基本情况!K6="上海银行",M69,"")</f>
        <v/>
      </c>
      <c r="N56" s="3062" t="str">
        <f>IF(项目基本情况!K6="上海银行","包含处置中涉及的律师、诉讼、拍卖、评估等费用","")</f>
        <v/>
      </c>
      <c r="O56" s="3063"/>
    </row>
    <row r="57" spans="1:35" ht="12.75" hidden="1">
      <c r="A57" s="182" t="s">
        <v>2185</v>
      </c>
      <c r="B57" s="3107" t="s">
        <v>2213</v>
      </c>
      <c r="C57" s="3108"/>
      <c r="D57" s="186">
        <v>0</v>
      </c>
      <c r="E57" s="23" t="s">
        <v>2187</v>
      </c>
      <c r="F57" s="154"/>
      <c r="G57" s="2483"/>
      <c r="H57" s="2487"/>
      <c r="I57" s="2487"/>
      <c r="J57" s="3076">
        <f>IF(AND(J55="",J56=""),4,IF(项目基本情况!K6="上海银行",结果表!J56+1,结果表!J55+1))</f>
        <v>4</v>
      </c>
      <c r="K57" s="3076" t="s">
        <v>2214</v>
      </c>
      <c r="L57" s="2488" t="s">
        <v>2215</v>
      </c>
      <c r="M57" s="1757"/>
      <c r="N57" s="1758">
        <f ca="1">SUMIF(M52:M56,"&lt;9e307")</f>
        <v>29053</v>
      </c>
      <c r="O57" s="2489"/>
      <c r="P57" s="1751">
        <f ca="1">N57/M49</f>
        <v>0.56740815967814384</v>
      </c>
    </row>
    <row r="58" spans="1:35" ht="24.75" hidden="1">
      <c r="A58" s="182" t="s">
        <v>2196</v>
      </c>
      <c r="B58" s="3107" t="s">
        <v>2216</v>
      </c>
      <c r="C58" s="3120"/>
      <c r="D58" s="184">
        <f ca="1">IF(H58="转让取得",C81,C97)</f>
        <v>29027</v>
      </c>
      <c r="E58" s="11" t="s">
        <v>2211</v>
      </c>
      <c r="F58" s="24" t="s">
        <v>34</v>
      </c>
      <c r="G58" s="2483"/>
      <c r="H58" s="2486" t="s">
        <v>2217</v>
      </c>
      <c r="I58" s="2487"/>
      <c r="J58" s="3076"/>
      <c r="K58" s="3076"/>
      <c r="L58" s="2488" t="s">
        <v>2218</v>
      </c>
      <c r="M58" s="1759"/>
      <c r="N58" s="2490" t="str">
        <f ca="1">NUMBERSTRING(INT(N57*10000),2)&amp;"元整"</f>
        <v>贰亿玖仟零伍拾叁万元整</v>
      </c>
      <c r="O58" s="2491"/>
    </row>
    <row r="59" spans="1:35" ht="24.75" hidden="1" thickBot="1">
      <c r="A59" s="3080" t="s">
        <v>2219</v>
      </c>
      <c r="B59" s="3081"/>
      <c r="C59" s="3081"/>
      <c r="D59" s="187" t="str">
        <f>IF(H59="非个人房产","——",IF(H59="个人住宅",0,ROUND(D45*I59,0)))</f>
        <v>——</v>
      </c>
      <c r="E59" s="188" t="str">
        <f>IF(H59="非个人房产","——","销售额×税（费）率")</f>
        <v>——</v>
      </c>
      <c r="F59" s="189" t="str">
        <f>IF(H59="非个人房产","——",IF(H59="个人住宅","免征",I59))</f>
        <v>——</v>
      </c>
      <c r="G59" s="2492" t="s">
        <v>2212</v>
      </c>
      <c r="H59" s="2486" t="s">
        <v>2220</v>
      </c>
      <c r="I59" s="190">
        <v>0.01</v>
      </c>
      <c r="J59" s="3078">
        <f>J57+1</f>
        <v>5</v>
      </c>
      <c r="K59" s="3076" t="s">
        <v>2221</v>
      </c>
      <c r="L59" s="1810" t="s">
        <v>2215</v>
      </c>
      <c r="M59" s="1760"/>
      <c r="N59" s="1761">
        <f ca="1">M49-N57</f>
        <v>22150</v>
      </c>
      <c r="O59" s="2493"/>
    </row>
    <row r="60" spans="1:35" ht="12" hidden="1" customHeight="1">
      <c r="A60" s="2494"/>
      <c r="B60" s="2416"/>
      <c r="C60" s="2416"/>
      <c r="D60" s="2416"/>
      <c r="E60" s="2163"/>
      <c r="F60" s="2487"/>
      <c r="G60" s="2487"/>
      <c r="H60" s="2495"/>
      <c r="I60" s="137"/>
      <c r="J60" s="3079"/>
      <c r="K60" s="3076"/>
      <c r="L60" s="2488" t="s">
        <v>2218</v>
      </c>
      <c r="M60" s="1759"/>
      <c r="N60" s="2490" t="str">
        <f ca="1">NUMBERSTRING(INT(N59*10000),2)&amp;"元整"</f>
        <v>贰亿贰仟壹佰伍拾万元整</v>
      </c>
      <c r="O60" s="2491"/>
    </row>
    <row r="61" spans="1:35" ht="13.5" hidden="1" thickBot="1">
      <c r="A61" s="3139" t="s">
        <v>2222</v>
      </c>
      <c r="B61" s="3139"/>
      <c r="C61" s="3139"/>
      <c r="D61" s="3139"/>
      <c r="E61" s="3139"/>
      <c r="F61" s="2487"/>
      <c r="G61" s="2487"/>
      <c r="H61" s="2495"/>
      <c r="I61" s="137"/>
      <c r="J61" s="1810">
        <f>J59+1</f>
        <v>6</v>
      </c>
      <c r="K61" s="3076" t="s">
        <v>2223</v>
      </c>
      <c r="L61" s="3076"/>
      <c r="M61" s="1762"/>
      <c r="N61" s="1763">
        <f ca="1">ROUND(N59*10000/'数据-汇总表'!E3,0)</f>
        <v>996</v>
      </c>
      <c r="O61" s="2496"/>
    </row>
    <row r="62" spans="1:35" ht="12.75" hidden="1">
      <c r="A62" s="3096" t="s">
        <v>2224</v>
      </c>
      <c r="B62" s="3097"/>
      <c r="C62" s="1802"/>
      <c r="D62" s="1802" t="s">
        <v>2225</v>
      </c>
      <c r="E62" s="191" t="s">
        <v>2226</v>
      </c>
      <c r="F62" s="2487"/>
      <c r="G62" s="2487"/>
      <c r="H62" s="2495"/>
      <c r="I62" s="137"/>
    </row>
    <row r="63" spans="1:35" ht="12.75" hidden="1">
      <c r="A63" s="202" t="s">
        <v>774</v>
      </c>
      <c r="B63" s="192" t="s">
        <v>2227</v>
      </c>
      <c r="C63" s="193">
        <f ca="1">ROUND((C64+C65)/(1+'数据-取费表'!C42),0)</f>
        <v>48765</v>
      </c>
      <c r="D63" s="194"/>
      <c r="E63" s="195"/>
      <c r="F63" s="2487"/>
      <c r="G63" s="2487"/>
      <c r="H63" s="2495"/>
      <c r="I63" s="137"/>
      <c r="J63" s="3061" t="s">
        <v>2228</v>
      </c>
      <c r="K63" s="2497" t="s">
        <v>2229</v>
      </c>
      <c r="L63" s="1750">
        <f ca="1">IF(M49&gt;10000,M49*0.5%,IF(AND(M49&gt;1000,M49&lt;=10000),M49*1%,IF(AND(M49&gt;100,M49&lt;=1000),M49*3%,IF(AND(M49&gt;10,M49&lt;=100),M49*5%,M49*8%))))</f>
        <v>256.01499999999999</v>
      </c>
      <c r="M63" s="24">
        <f ca="1">ROUND(L63,1)</f>
        <v>256</v>
      </c>
      <c r="Z63" s="2421"/>
      <c r="AI63" s="2422"/>
    </row>
    <row r="64" spans="1:35" ht="14.25" hidden="1" customHeight="1">
      <c r="A64" s="196" t="s">
        <v>769</v>
      </c>
      <c r="B64" s="197" t="s">
        <v>2230</v>
      </c>
      <c r="C64" s="198">
        <f ca="1">D45</f>
        <v>51203</v>
      </c>
      <c r="D64" s="199" t="s">
        <v>32</v>
      </c>
      <c r="E64" s="200"/>
      <c r="F64" s="2487"/>
      <c r="G64" s="2487"/>
      <c r="H64" s="2495"/>
      <c r="I64" s="137"/>
      <c r="J64" s="3061"/>
      <c r="K64" s="2497" t="s">
        <v>2231</v>
      </c>
      <c r="L64" s="1750">
        <f ca="1">IF(M49&gt;2000,M49*0.5%,IF(AND(M49&gt;1000,M49&lt;=2000),M49*0.6%,IF(AND(M49&gt;500,M49&lt;=1000),M49*0.7%,IF(AND(M49&gt;200,M49&lt;=500),M49*0.8%,IF(AND(M49&gt;100,M49&lt;=200),M49*0.9%,IF(AND(M49&gt;50,M49&lt;=100),M49*1%,IF(AND(M49&gt;20,M49&lt;=50),M49*1.5%,IF(AND(M49&gt;10,M49&lt;=20),M49*2%,IF(AND(M49&gt;1,M49&lt;=10),M49*2.5%)))))))))</f>
        <v>256.01499999999999</v>
      </c>
      <c r="M64" s="24">
        <f t="shared" ref="M64:M65" ca="1" si="1">ROUND(L64,1)</f>
        <v>256</v>
      </c>
      <c r="N64" s="137" t="s">
        <v>2232</v>
      </c>
      <c r="Z64" s="2421"/>
      <c r="AI64" s="2422"/>
    </row>
    <row r="65" spans="1:35" ht="14.25" hidden="1" customHeight="1">
      <c r="A65" s="196" t="s">
        <v>770</v>
      </c>
      <c r="B65" s="197" t="s">
        <v>2233</v>
      </c>
      <c r="C65" s="201"/>
      <c r="D65" s="199"/>
      <c r="E65" s="200"/>
      <c r="F65" s="2487"/>
      <c r="G65" s="2487"/>
      <c r="H65" s="2495"/>
      <c r="I65" s="137"/>
      <c r="J65" s="3061"/>
      <c r="K65" s="2497" t="s">
        <v>2234</v>
      </c>
      <c r="L65" s="1750">
        <f ca="1">IF(M49&gt;1000,M49*0.1%,IF(AND(M49&gt;500,M49&lt;=1000),M49*0.5%,IF(AND(M49&gt;50,M49&lt;=500),M49*1%,IF(AND(M49&gt;1,M49&lt;=50),M49*1.5%))))</f>
        <v>51.203000000000003</v>
      </c>
      <c r="M65" s="24">
        <f t="shared" ca="1" si="1"/>
        <v>51.2</v>
      </c>
      <c r="N65" s="137" t="s">
        <v>2232</v>
      </c>
      <c r="Z65" s="2421"/>
      <c r="AI65" s="2422"/>
    </row>
    <row r="66" spans="1:35" ht="14.25" hidden="1" customHeight="1">
      <c r="A66" s="202" t="s">
        <v>771</v>
      </c>
      <c r="B66" s="203" t="s">
        <v>2235</v>
      </c>
      <c r="C66" s="204"/>
      <c r="D66" s="205" t="s">
        <v>32</v>
      </c>
      <c r="E66" s="1774" t="s">
        <v>1367</v>
      </c>
      <c r="F66" s="2487"/>
      <c r="G66" s="2487"/>
      <c r="H66" s="2495"/>
      <c r="I66" s="137"/>
      <c r="J66" s="3061"/>
      <c r="K66" s="2497" t="s">
        <v>2236</v>
      </c>
      <c r="L66" s="1750">
        <f ca="1">M49*0.5%</f>
        <v>256.01499999999999</v>
      </c>
      <c r="M66" s="24">
        <f ca="1">IF(L66&gt;0.5,0.5,ROUND(L66,0))</f>
        <v>0.5</v>
      </c>
      <c r="N66" s="137" t="s">
        <v>2237</v>
      </c>
      <c r="Z66" s="2421"/>
      <c r="AI66" s="2422"/>
    </row>
    <row r="67" spans="1:35" ht="14.25" hidden="1" customHeight="1">
      <c r="A67" s="202" t="s">
        <v>772</v>
      </c>
      <c r="B67" s="203" t="s">
        <v>2238</v>
      </c>
      <c r="C67" s="206">
        <f ca="1">C63-C66</f>
        <v>48765</v>
      </c>
      <c r="D67" s="199" t="s">
        <v>32</v>
      </c>
      <c r="E67" s="200"/>
      <c r="F67" s="2487"/>
      <c r="G67" s="2487"/>
      <c r="H67" s="2495"/>
      <c r="I67" s="137"/>
      <c r="J67" s="3061"/>
      <c r="K67" s="2497" t="s">
        <v>2239</v>
      </c>
      <c r="L67" s="1750">
        <f ca="1">IF(M49&gt;=10000,(8.25+(M49-10000)*0.01%),IF(AND(M49&gt;=8000,M49&lt;10000),(7.85+(M49-8000)*0.02%),IF(AND(M49&gt;=5000,M49&lt;8000),(6.65+(M49-5000)*0.04%),IF(AND(M49&gt;=2000,M49&lt;5000),(4.25+(PM49-2000)*0.08%),IF(AND(M49&gt;=1000,M49&lt;2000),(2.75+(M49-1000)*0.15%),IF(AND(M49&gt;=100,M49&lt;1000),(0.5+(M49-100)*0.25%),IF(AND(M49&gt;0,M49&lt;100),M49*0.5%)))))))</f>
        <v>12.3703</v>
      </c>
      <c r="M67" s="24">
        <f ca="1">ROUND(L67*0.9,1)</f>
        <v>11.1</v>
      </c>
      <c r="Z67" s="2421"/>
      <c r="AI67" s="2422"/>
    </row>
    <row r="68" spans="1:35" ht="14.25" hidden="1" customHeight="1" thickBot="1">
      <c r="A68" s="207" t="s">
        <v>773</v>
      </c>
      <c r="B68" s="208" t="s">
        <v>2240</v>
      </c>
      <c r="C68" s="209">
        <f ca="1">IF(C67&lt;=0,0,ROUND(C67*D68,0))</f>
        <v>2682</v>
      </c>
      <c r="D68" s="210">
        <f>'数据-取费表'!B41</f>
        <v>5.5000000000000007E-2</v>
      </c>
      <c r="E68" s="211"/>
      <c r="F68" s="2487"/>
      <c r="G68" s="2487"/>
      <c r="H68" s="2495"/>
      <c r="I68" s="137"/>
      <c r="J68" s="3061"/>
      <c r="K68" s="2497" t="s">
        <v>2241</v>
      </c>
      <c r="L68" s="1750">
        <f ca="1">IF(M49&gt;10000,M49*0.5%,IF(AND(M49&gt;5000,M49&lt;=10000),M49*1%,IF(AND(M49&gt;1000,M49&lt;=5000),M49*2%,IF(AND(M49&gt;200,M49&lt;=1000),M49*3%,M49*5%))))</f>
        <v>256.01499999999999</v>
      </c>
      <c r="M68" s="24">
        <f ca="1">ROUND(L68,1)</f>
        <v>256</v>
      </c>
      <c r="Z68" s="2421"/>
      <c r="AI68" s="2422"/>
    </row>
    <row r="69" spans="1:35" s="2444" customFormat="1" ht="16.5" hidden="1" customHeight="1">
      <c r="A69" s="2498"/>
      <c r="B69" s="2499"/>
      <c r="C69" s="2500"/>
      <c r="D69" s="2501"/>
      <c r="E69" s="2502"/>
      <c r="F69" s="2163"/>
      <c r="G69" s="2163"/>
      <c r="H69" s="2162"/>
      <c r="I69" s="2416"/>
      <c r="J69" s="3061"/>
      <c r="K69" s="2497" t="s">
        <v>2242</v>
      </c>
      <c r="L69" s="2503"/>
      <c r="M69" s="24">
        <f ca="1">ROUND(SUM(M63:M68),0)</f>
        <v>831</v>
      </c>
      <c r="N69" s="1751">
        <f ca="1">M69/M49</f>
        <v>1.6229517801691306E-2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hidden="1" thickBot="1">
      <c r="A70" s="3105" t="s">
        <v>2243</v>
      </c>
      <c r="B70" s="3106"/>
      <c r="C70" s="3106"/>
      <c r="D70" s="3106"/>
      <c r="E70" s="3106"/>
      <c r="F70" s="3106"/>
      <c r="G70" s="3106"/>
      <c r="H70" s="31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096" t="s">
        <v>2224</v>
      </c>
      <c r="B71" s="3097"/>
      <c r="C71" s="1802"/>
      <c r="D71" s="1802" t="s">
        <v>2225</v>
      </c>
      <c r="E71" s="212" t="s">
        <v>2226</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774</v>
      </c>
      <c r="B72" s="203" t="s">
        <v>2244</v>
      </c>
      <c r="C72" s="206">
        <f ca="1">ROUND(D45/(1+'数据-取费表'!C42),0)</f>
        <v>48765</v>
      </c>
      <c r="D72" s="199" t="s">
        <v>32</v>
      </c>
      <c r="E72" s="1801"/>
      <c r="F72" s="1795"/>
      <c r="G72" s="1795"/>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771</v>
      </c>
      <c r="B73" s="172" t="s">
        <v>2245</v>
      </c>
      <c r="C73" s="206">
        <f ca="1">C74+C78</f>
        <v>244</v>
      </c>
      <c r="D73" s="199" t="s">
        <v>32</v>
      </c>
      <c r="E73" s="1801"/>
      <c r="F73" s="1795"/>
      <c r="G73" s="1795"/>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769</v>
      </c>
      <c r="B74" s="197" t="s">
        <v>2246</v>
      </c>
      <c r="C74" s="199">
        <f>ROUND(IF(G77="2016年5月1日后购买",C75/(1+'数据-取费表'!C42)+C76+C77,C75+C76+C77),0)</f>
        <v>0</v>
      </c>
      <c r="D74" s="199" t="s">
        <v>32</v>
      </c>
      <c r="E74" s="1801"/>
      <c r="F74" s="1795"/>
      <c r="G74" s="1795"/>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775</v>
      </c>
      <c r="B75" s="197" t="s">
        <v>2247</v>
      </c>
      <c r="C75" s="217"/>
      <c r="D75" s="199" t="s">
        <v>32</v>
      </c>
      <c r="E75" s="218" t="s">
        <v>2248</v>
      </c>
      <c r="F75" s="2509" t="s">
        <v>2249</v>
      </c>
      <c r="G75" s="218" t="s">
        <v>2250</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776</v>
      </c>
      <c r="B76" s="220" t="s">
        <v>2251</v>
      </c>
      <c r="C76" s="199">
        <f>IF(F75="购房发票",ROUND(C75*H75*D76,0),0)</f>
        <v>0</v>
      </c>
      <c r="D76" s="221">
        <v>0.05</v>
      </c>
      <c r="E76" s="3102" t="s">
        <v>2252</v>
      </c>
      <c r="F76" s="3101"/>
      <c r="G76" s="3101"/>
      <c r="H76" s="31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777</v>
      </c>
      <c r="B77" s="197" t="s">
        <v>2253</v>
      </c>
      <c r="C77" s="199">
        <f>ROUND(IF(G77="个人住宅",0,IF(G77="2016年5月1日前购买",C75*D77,C75*D77/(1+'数据-取费表'!C42))),0)</f>
        <v>0</v>
      </c>
      <c r="D77" s="222">
        <f>'数据-取费表'!B48+'数据-取费表'!B49</f>
        <v>3.0499999999999999E-2</v>
      </c>
      <c r="E77" s="15" t="s">
        <v>2254</v>
      </c>
      <c r="F77" s="223"/>
      <c r="G77" s="2511" t="s">
        <v>2255</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770</v>
      </c>
      <c r="B78" s="197" t="s">
        <v>2256</v>
      </c>
      <c r="C78" s="224">
        <f ca="1">ROUND(D45*D78/(1+'数据-取费表'!C42),0)</f>
        <v>244</v>
      </c>
      <c r="D78" s="225">
        <f>'数据-取费表'!B43</f>
        <v>5.000000000000001E-3</v>
      </c>
      <c r="E78" s="3093" t="s">
        <v>2257</v>
      </c>
      <c r="F78" s="3094"/>
      <c r="G78" s="3094"/>
      <c r="H78" s="309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778</v>
      </c>
      <c r="B79" s="203" t="s">
        <v>2258</v>
      </c>
      <c r="C79" s="206">
        <f ca="1">C72-C73</f>
        <v>48521</v>
      </c>
      <c r="D79" s="199" t="s">
        <v>32</v>
      </c>
      <c r="E79" s="1801"/>
      <c r="F79" s="1795"/>
      <c r="G79" s="1795"/>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779</v>
      </c>
      <c r="B80" s="203" t="s">
        <v>2259</v>
      </c>
      <c r="C80" s="226">
        <f ca="1">IF(C79&lt;=0,0,C79/C73)</f>
        <v>198.85655737704917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780</v>
      </c>
      <c r="B81" s="208" t="s">
        <v>2260</v>
      </c>
      <c r="C81" s="227">
        <f ca="1">ROUND(IF(C79&lt;=0,0,IF(C80&gt;=200%,C79*60%-C73*35%,IF(C80&gt;=100%,C79*50%-C73*15%,IF(C80&gt;=50%,C79*40%-C73*5%,IF(C80&lt;50%,C79*30%,0))))),0)</f>
        <v>29027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05" t="s">
        <v>2261</v>
      </c>
      <c r="B83" s="3106"/>
      <c r="C83" s="3106"/>
      <c r="D83" s="3106"/>
      <c r="E83" s="3106"/>
      <c r="F83" s="3106"/>
      <c r="G83" s="3106"/>
      <c r="H83" s="31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096" t="s">
        <v>2224</v>
      </c>
      <c r="B84" s="3097"/>
      <c r="C84" s="1802"/>
      <c r="D84" s="1802" t="s">
        <v>2225</v>
      </c>
      <c r="E84" s="212" t="s">
        <v>2226</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774</v>
      </c>
      <c r="B85" s="203" t="s">
        <v>2244</v>
      </c>
      <c r="C85" s="206">
        <f ca="1">ROUND(D45/(1+'数据-取费表'!C42),0)</f>
        <v>48765</v>
      </c>
      <c r="D85" s="199" t="s">
        <v>32</v>
      </c>
      <c r="E85" s="1801"/>
      <c r="F85" s="1795"/>
      <c r="G85" s="1795"/>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771</v>
      </c>
      <c r="B86" s="172" t="s">
        <v>2245</v>
      </c>
      <c r="C86" s="206">
        <f ca="1">IF(H88="仅含出让金",C87+C90+C91+C92+C93+C94,C87+C91+C92+C93+C94)</f>
        <v>244</v>
      </c>
      <c r="D86" s="234"/>
      <c r="E86" s="1801"/>
      <c r="F86" s="1795"/>
      <c r="G86" s="1795"/>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769</v>
      </c>
      <c r="B87" s="197" t="s">
        <v>2262</v>
      </c>
      <c r="C87" s="224">
        <f>C88+C89</f>
        <v>0</v>
      </c>
      <c r="D87" s="225"/>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775</v>
      </c>
      <c r="B88" s="197" t="s">
        <v>2263</v>
      </c>
      <c r="C88" s="235"/>
      <c r="D88" s="225"/>
      <c r="E88" s="236" t="s">
        <v>2264</v>
      </c>
      <c r="F88" s="1798"/>
      <c r="G88" s="237" t="s">
        <v>2265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776</v>
      </c>
      <c r="B89" s="197" t="s">
        <v>2253</v>
      </c>
      <c r="C89" s="224">
        <f>ROUND(C88*D89,0)</f>
        <v>0</v>
      </c>
      <c r="D89" s="225">
        <f>'数据-取费表'!B48+'数据-取费表'!B49</f>
        <v>3.0499999999999999E-2</v>
      </c>
      <c r="E89" s="236" t="s">
        <v>2266</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770</v>
      </c>
      <c r="B90" s="197" t="s">
        <v>2267</v>
      </c>
      <c r="C90" s="235"/>
      <c r="D90" s="225"/>
      <c r="E90" s="236"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2268</v>
      </c>
      <c r="B91" s="197" t="s">
        <v>2269</v>
      </c>
      <c r="C91" s="224">
        <f>IF(H91="——",成本法!C33,I91)</f>
        <v>0</v>
      </c>
      <c r="D91" s="225"/>
      <c r="E91" s="3093" t="s">
        <v>2270</v>
      </c>
      <c r="F91" s="3094"/>
      <c r="G91" s="3094"/>
      <c r="H91" s="2516" t="s">
        <v>2271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2272</v>
      </c>
      <c r="B92" s="197" t="s">
        <v>2273</v>
      </c>
      <c r="C92" s="224">
        <f>ROUND((C87+C90+C91)*D92,0)</f>
        <v>0</v>
      </c>
      <c r="D92" s="225">
        <v>0.1</v>
      </c>
      <c r="E92" s="3093" t="s">
        <v>2274</v>
      </c>
      <c r="F92" s="3094"/>
      <c r="G92" s="3094"/>
      <c r="H92" s="309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2275</v>
      </c>
      <c r="B93" s="197" t="s">
        <v>2256</v>
      </c>
      <c r="C93" s="224">
        <f ca="1">ROUND(D45*D93/(1+'数据-取费表'!C42),0)</f>
        <v>244</v>
      </c>
      <c r="D93" s="225">
        <f>'数据-取费表'!B43</f>
        <v>5.000000000000001E-3</v>
      </c>
      <c r="E93" s="3093" t="s">
        <v>2257</v>
      </c>
      <c r="F93" s="3094"/>
      <c r="G93" s="3094"/>
      <c r="H93" s="309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2276</v>
      </c>
      <c r="B94" s="197" t="s">
        <v>2277</v>
      </c>
      <c r="C94" s="235">
        <f>ROUND((C87+C90+C91)*D94,0)</f>
        <v>0</v>
      </c>
      <c r="D94" s="225">
        <v>0.2</v>
      </c>
      <c r="E94" s="3141" t="s">
        <v>2278</v>
      </c>
      <c r="F94" s="3142"/>
      <c r="G94" s="3142"/>
      <c r="H94" s="314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778</v>
      </c>
      <c r="B95" s="203" t="s">
        <v>2258</v>
      </c>
      <c r="C95" s="206">
        <f ca="1">ROUND(C85-C86,0)</f>
        <v>48521</v>
      </c>
      <c r="D95" s="199" t="s">
        <v>32</v>
      </c>
      <c r="E95" s="1801"/>
      <c r="F95" s="1795"/>
      <c r="G95" s="1795"/>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779</v>
      </c>
      <c r="B96" s="203" t="s">
        <v>2259</v>
      </c>
      <c r="C96" s="226">
        <f ca="1">IF(C95&lt;=0,0,C95/C86)</f>
        <v>198.85655737704917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780</v>
      </c>
      <c r="B97" s="208" t="s">
        <v>2260</v>
      </c>
      <c r="C97" s="227">
        <f ca="1">ROUND(IF(C95&lt;=0,0,IF(C96&gt;=200%,C95*60%-C86*35%,IF(C96&gt;=100%,C95*50%-C86*15%,IF(C96&gt;=50%,C95*40%-C86*5%,IF(C96&lt;50%,C95*30%,0))))),0)</f>
        <v>29027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2279</v>
      </c>
      <c r="B99" s="2416"/>
      <c r="C99" s="2416"/>
      <c r="D99" s="2416"/>
      <c r="E99" s="2163"/>
      <c r="F99" s="2163"/>
      <c r="G99" s="2163"/>
      <c r="H99" s="2162"/>
      <c r="I99" s="137"/>
    </row>
    <row r="100" spans="1:35" ht="18.75" customHeight="1">
      <c r="A100" s="3045" t="s">
        <v>2280</v>
      </c>
      <c r="B100" s="3046"/>
      <c r="C100" s="3046"/>
      <c r="D100" s="3077"/>
      <c r="E100" s="3046" t="s">
        <v>2281</v>
      </c>
      <c r="F100" s="3046"/>
      <c r="G100" s="3046"/>
      <c r="H100" s="3077"/>
      <c r="I100" s="137"/>
    </row>
    <row r="101" spans="1:35" ht="18.75" customHeight="1">
      <c r="A101" s="3085" t="s">
        <v>2282</v>
      </c>
      <c r="B101" s="3086"/>
      <c r="C101" s="735" t="str">
        <f>C4</f>
        <v>成本法</v>
      </c>
      <c r="D101" s="736" t="str">
        <f>D4</f>
        <v>假设开发法</v>
      </c>
      <c r="E101" s="3057" t="s">
        <v>2283</v>
      </c>
      <c r="F101" s="3058"/>
      <c r="G101" s="2518" t="s">
        <v>2284</v>
      </c>
      <c r="H101" s="1047">
        <f ca="1">H118</f>
        <v>51203</v>
      </c>
      <c r="I101" s="137"/>
    </row>
    <row r="102" spans="1:35" ht="18.75" customHeight="1">
      <c r="A102" s="3087" t="s">
        <v>2285</v>
      </c>
      <c r="B102" s="2518" t="s">
        <v>2284</v>
      </c>
      <c r="C102" s="735">
        <f ca="1">C19</f>
        <v>140463</v>
      </c>
      <c r="D102" s="736">
        <f ca="1">D19</f>
        <v>51203</v>
      </c>
      <c r="E102" s="3057"/>
      <c r="F102" s="3058"/>
      <c r="G102" s="2518" t="s">
        <v>2286</v>
      </c>
      <c r="H102" s="370">
        <f ca="1">I118</f>
        <v>2301</v>
      </c>
      <c r="I102" s="137"/>
    </row>
    <row r="103" spans="1:35" ht="42.75" customHeight="1">
      <c r="A103" s="3087"/>
      <c r="B103" s="2518" t="s">
        <v>2286</v>
      </c>
      <c r="C103" s="737">
        <f ca="1">C20</f>
        <v>6313</v>
      </c>
      <c r="D103" s="738">
        <f ca="1">D20</f>
        <v>2301</v>
      </c>
      <c r="E103" s="3051" t="s">
        <v>2287</v>
      </c>
      <c r="F103" s="3052"/>
      <c r="G103" s="2519" t="s">
        <v>2288</v>
      </c>
      <c r="H103" s="1047">
        <f>IF(D36="正常操作",H104+H105+H106,H105+H106)</f>
        <v>0</v>
      </c>
      <c r="I103" s="137"/>
    </row>
    <row r="104" spans="1:35" ht="18.75" customHeight="1">
      <c r="A104" s="3087" t="s">
        <v>2289</v>
      </c>
      <c r="B104" s="2520" t="s">
        <v>2284</v>
      </c>
      <c r="C104" s="739">
        <f ca="1">H118</f>
        <v>51203</v>
      </c>
      <c r="D104" s="740"/>
      <c r="E104" s="2264" t="s">
        <v>2290</v>
      </c>
      <c r="F104" s="2255"/>
      <c r="G104" s="2519" t="s">
        <v>2288</v>
      </c>
      <c r="H104" s="1048">
        <f>IF(D36="同一抵押权人同一抵押物续贷",C36&amp;"（未扣减，详见特别提示）",C36)</f>
        <v>0</v>
      </c>
      <c r="I104" s="137"/>
    </row>
    <row r="105" spans="1:35" ht="18.75" customHeight="1" thickBot="1">
      <c r="A105" s="3099"/>
      <c r="B105" s="2521" t="s">
        <v>2286</v>
      </c>
      <c r="C105" s="741">
        <f ca="1">I118</f>
        <v>2301</v>
      </c>
      <c r="D105" s="742"/>
      <c r="E105" s="2264" t="s">
        <v>2291</v>
      </c>
      <c r="F105" s="2255"/>
      <c r="G105" s="2519" t="s">
        <v>2288</v>
      </c>
      <c r="H105" s="1048">
        <f>C37</f>
        <v>0</v>
      </c>
      <c r="I105" s="137"/>
    </row>
    <row r="106" spans="1:35" ht="18.75" customHeight="1">
      <c r="A106" s="2416" t="s">
        <v>2292</v>
      </c>
      <c r="B106" s="2416"/>
      <c r="C106" s="2416"/>
      <c r="D106" s="2416"/>
      <c r="E106" s="2522" t="s">
        <v>2293</v>
      </c>
      <c r="F106" s="2255"/>
      <c r="G106" s="2519" t="s">
        <v>2288</v>
      </c>
      <c r="H106" s="1048">
        <f>C38</f>
        <v>0</v>
      </c>
      <c r="I106" s="137"/>
    </row>
    <row r="107" spans="1:35" ht="18.75" customHeight="1">
      <c r="A107" s="137"/>
      <c r="B107" s="137"/>
      <c r="C107" s="137"/>
      <c r="D107" s="137"/>
      <c r="E107" s="3088" t="str">
        <f>IF(项目基本情况!E8="已注销","——","3.房地产抵押价值")</f>
        <v>3.房地产抵押价值</v>
      </c>
      <c r="F107" s="3058"/>
      <c r="G107" s="2518" t="s">
        <v>2284</v>
      </c>
      <c r="H107" s="1047">
        <f ca="1">IF(E107="——","——",H101-H103)</f>
        <v>51203</v>
      </c>
      <c r="I107" s="137"/>
    </row>
    <row r="108" spans="1:35" ht="18.75" customHeight="1" thickBot="1">
      <c r="A108" s="137"/>
      <c r="B108" s="137"/>
      <c r="C108" s="137"/>
      <c r="D108" s="137"/>
      <c r="E108" s="3088"/>
      <c r="F108" s="3058"/>
      <c r="G108" s="2518" t="s">
        <v>2286</v>
      </c>
      <c r="H108" s="370">
        <f ca="1">ROUND(H107*10000/'数据-汇总表'!E3,0)</f>
        <v>2301</v>
      </c>
      <c r="I108" s="137"/>
    </row>
    <row r="109" spans="1:35" ht="18.75" hidden="1" customHeight="1">
      <c r="A109" s="137"/>
      <c r="B109" s="137"/>
      <c r="C109" s="137"/>
      <c r="D109" s="137"/>
      <c r="E109" s="3088" t="str">
        <f>IF(项目基本情况!E8="已注销及未注销","4.抵押担保权已注销时的房地产抵押价值",IF(项目基本情况!E8="已注销","3.抵押担保权已注销时的房地产抵押价值","——"))</f>
        <v>——</v>
      </c>
      <c r="F109" s="3058"/>
      <c r="G109" s="2518" t="s">
        <v>2284</v>
      </c>
      <c r="H109" s="347" t="str">
        <f>IF(E109="——","——",H101-H105-H106)</f>
        <v>——</v>
      </c>
      <c r="I109" s="137"/>
    </row>
    <row r="110" spans="1:35" ht="18.75" hidden="1" customHeight="1">
      <c r="A110" s="137"/>
      <c r="B110" s="137"/>
      <c r="C110" s="137"/>
      <c r="D110" s="137"/>
      <c r="E110" s="3088"/>
      <c r="F110" s="3058"/>
      <c r="G110" s="2518" t="s">
        <v>2286</v>
      </c>
      <c r="H110" s="370" t="str">
        <f>IF(H109="——","——",ROUND(H109*10000/'数据-汇总表'!E3,0))</f>
        <v>——</v>
      </c>
      <c r="I110" s="137"/>
    </row>
    <row r="111" spans="1:35" ht="18.75" hidden="1" customHeight="1">
      <c r="A111" s="137"/>
      <c r="B111" s="137"/>
      <c r="C111" s="137"/>
      <c r="D111" s="137"/>
      <c r="E111" s="3089" t="str">
        <f>IF(项目基本情况!E9="抵押净值",IF(OR(项目基本情况!E8="已注销",项目基本情况!E8="房地产抵押价值"),"4.抵押净值","5.抵押净值"),"——")</f>
        <v>——</v>
      </c>
      <c r="F111" s="3090"/>
      <c r="G111" s="2518" t="s">
        <v>2284</v>
      </c>
      <c r="H111" s="1047" t="str">
        <f>IF(E111="——","——",N59)</f>
        <v>——</v>
      </c>
      <c r="I111" s="137"/>
    </row>
    <row r="112" spans="1:35" ht="18.75" hidden="1" customHeight="1" thickBot="1">
      <c r="A112" s="137"/>
      <c r="B112" s="137"/>
      <c r="C112" s="137"/>
      <c r="D112" s="137"/>
      <c r="E112" s="3091"/>
      <c r="F112" s="3092"/>
      <c r="G112" s="2523" t="s">
        <v>2286</v>
      </c>
      <c r="H112" s="789" t="str">
        <f>IF(E111="——","——",N61)</f>
        <v>——</v>
      </c>
      <c r="I112" s="137"/>
    </row>
    <row r="113" spans="1:11" ht="12.75">
      <c r="A113" s="137"/>
      <c r="B113" s="137"/>
      <c r="C113" s="137"/>
      <c r="D113" s="137"/>
      <c r="E113" s="3100" t="s">
        <v>2292</v>
      </c>
      <c r="F113" s="3100"/>
      <c r="G113" s="3100"/>
      <c r="H113" s="3100"/>
      <c r="I113" s="137"/>
    </row>
    <row r="114" spans="1:11" ht="12.75">
      <c r="A114" s="2416"/>
      <c r="B114" s="2416"/>
      <c r="C114" s="2416"/>
      <c r="D114" s="2416"/>
      <c r="E114" s="2494"/>
      <c r="F114" s="2494"/>
      <c r="G114" s="2494"/>
      <c r="H114" s="2494"/>
      <c r="I114" s="2416"/>
    </row>
    <row r="115" spans="1:11" ht="18.75" customHeight="1">
      <c r="A115" s="3113" t="s">
        <v>2294</v>
      </c>
      <c r="B115" s="3114"/>
      <c r="C115" s="3114"/>
      <c r="D115" s="3114"/>
      <c r="E115" s="3114"/>
      <c r="F115" s="3114"/>
      <c r="G115" s="3114"/>
      <c r="H115" s="3114"/>
      <c r="I115" s="3115"/>
    </row>
    <row r="116" spans="1:11" ht="27" customHeight="1">
      <c r="A116" s="3025" t="s">
        <v>2295</v>
      </c>
      <c r="B116" s="3067" t="s">
        <v>3065</v>
      </c>
      <c r="C116" s="3067" t="s">
        <v>3064</v>
      </c>
      <c r="D116" s="3073" t="s">
        <v>2296</v>
      </c>
      <c r="E116" s="3074"/>
      <c r="F116" s="3109" t="s">
        <v>2297</v>
      </c>
      <c r="G116" s="3109"/>
      <c r="H116" s="3025" t="s">
        <v>2298</v>
      </c>
      <c r="I116" s="3025"/>
    </row>
    <row r="117" spans="1:11" ht="18.75" customHeight="1">
      <c r="A117" s="3025"/>
      <c r="B117" s="3068"/>
      <c r="C117" s="3068"/>
      <c r="D117" s="1796" t="s">
        <v>2299</v>
      </c>
      <c r="E117" s="1796" t="s">
        <v>2300</v>
      </c>
      <c r="F117" s="1796" t="s">
        <v>2299</v>
      </c>
      <c r="G117" s="1796" t="s">
        <v>2301</v>
      </c>
      <c r="H117" s="1796" t="s">
        <v>2299</v>
      </c>
      <c r="I117" s="1796" t="s">
        <v>2301</v>
      </c>
    </row>
    <row r="118" spans="1:11" ht="24.75" customHeight="1">
      <c r="A118" s="2524" t="str">
        <f>项目基本情况!S2</f>
        <v>北京市昌平区沙河镇西沙屯南侧出让国有建设用地使用权及在建建筑物房地产</v>
      </c>
      <c r="B118" s="1796">
        <f>M18</f>
        <v>222493</v>
      </c>
      <c r="C118" s="1796">
        <f>M19</f>
        <v>53758.79</v>
      </c>
      <c r="D118" s="1796">
        <f ca="1">ROUND(IF(D32="总价",C34,E118*B118/10000),0)</f>
        <v>44649</v>
      </c>
      <c r="E118" s="1796">
        <f ca="1">ROUND(IF(C33="自定义",IF(D32="楼面单价",C34,D118*10000/B118),I118-G118),0)</f>
        <v>2006</v>
      </c>
      <c r="F118" s="1796">
        <f ca="1">ROUND(IF(D32="总价",C35,G118*B118/10000),0)</f>
        <v>6554</v>
      </c>
      <c r="G118" s="1796">
        <f ca="1">ROUND(IF(D32="楼面单价",C35,F118*10000/B118),0)</f>
        <v>295</v>
      </c>
      <c r="H118" s="1796">
        <f ca="1">ROUND(IF(D32="总价",C32,I118*B118/10000),0)</f>
        <v>51203</v>
      </c>
      <c r="I118" s="1796">
        <f ca="1">ROUND(IF(D32="楼面单价",C32,H118*10000/B118),0)</f>
        <v>2301</v>
      </c>
    </row>
    <row r="119" spans="1:11" ht="18.75" customHeight="1">
      <c r="A119" s="3025" t="s">
        <v>2302</v>
      </c>
      <c r="B119" s="3025"/>
      <c r="C119" s="3025"/>
      <c r="D119" s="3069" t="str">
        <f ca="1">NUMBERSTRING(INT(D118*10000),2)&amp;"元整"</f>
        <v>肆亿肆仟陆佰肆拾玖万元整</v>
      </c>
      <c r="E119" s="3070"/>
      <c r="F119" s="3069" t="str">
        <f ca="1">NUMBERSTRING(INT(F118*10000),2)&amp;"元整"</f>
        <v>陆仟伍佰伍拾肆万元整</v>
      </c>
      <c r="G119" s="3070"/>
      <c r="H119" s="3069" t="str">
        <f ca="1">NUMBERSTRING(INT(H118*10000),2)&amp;"元整"</f>
        <v>伍亿壹仟贰佰零叁万元整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1" t="str">
        <f>IF(D120=0,"故，本次评估不存在"&amp;A120,"故，本次评估"&amp;A120&amp;"为人民币"&amp;D120&amp;"万元整。")</f>
        <v>故，本次评估不存在估价师知悉的法定优先受偿款</v>
      </c>
    </row>
    <row r="121" spans="1:11" ht="18.75" customHeight="1">
      <c r="A121" s="3110" t="s">
        <v>2302</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51203</v>
      </c>
      <c r="E122" s="3065"/>
      <c r="F122" s="3065"/>
      <c r="G122" s="3065"/>
      <c r="H122" s="3065"/>
      <c r="I122" s="3066"/>
    </row>
    <row r="123" spans="1:11" ht="18.75" customHeight="1">
      <c r="A123" s="3025" t="s">
        <v>2302</v>
      </c>
      <c r="B123" s="3025"/>
      <c r="C123" s="3025"/>
      <c r="D123" s="3069" t="str">
        <f ca="1">NUMBERSTRING(INT(D122*10000),2)&amp;"元整"</f>
        <v>伍亿壹仟贰佰零叁万元整</v>
      </c>
      <c r="E123" s="3071"/>
      <c r="F123" s="3071"/>
      <c r="G123" s="3071"/>
      <c r="H123" s="3071"/>
      <c r="I123" s="3070"/>
    </row>
    <row r="124" spans="1:11" ht="18.75" hidden="1" customHeight="1">
      <c r="A124" s="3075" t="str">
        <f>IF(项目基本情况!B9="房地产市场价值","",MID(E109,3,LEN(E109)-2))</f>
        <v/>
      </c>
      <c r="B124" s="3075"/>
      <c r="C124" s="3075"/>
      <c r="D124" s="3064" t="str">
        <f>H109</f>
        <v>——</v>
      </c>
      <c r="E124" s="3065"/>
      <c r="F124" s="3065"/>
      <c r="G124" s="3065"/>
      <c r="H124" s="3065"/>
      <c r="I124" s="3066"/>
    </row>
    <row r="125" spans="1:11" ht="18.75" hidden="1" customHeight="1">
      <c r="A125" s="3025" t="s">
        <v>2302</v>
      </c>
      <c r="B125" s="3025"/>
      <c r="C125" s="3025"/>
      <c r="D125" s="3069" t="e">
        <f>NUMBERSTRING(INT(D124*10000),2)&amp;"元整"</f>
        <v>#VALUE!</v>
      </c>
      <c r="E125" s="3071"/>
      <c r="F125" s="3071"/>
      <c r="G125" s="3071"/>
      <c r="H125" s="3071"/>
      <c r="I125" s="3070"/>
    </row>
    <row r="126" spans="1:11" ht="18.75" hidden="1" customHeight="1">
      <c r="A126" s="3075" t="str">
        <f>IF(项目基本情况!B9="房地产市场价值","",MID(E111,3,LEN(E111)-2))</f>
        <v/>
      </c>
      <c r="B126" s="3075"/>
      <c r="C126" s="3075"/>
      <c r="D126" s="3064" t="str">
        <f>H111</f>
        <v>——</v>
      </c>
      <c r="E126" s="3065"/>
      <c r="F126" s="3065"/>
      <c r="G126" s="3065"/>
      <c r="H126" s="3065"/>
      <c r="I126" s="3066"/>
    </row>
    <row r="127" spans="1:11" ht="18.75" hidden="1" customHeight="1">
      <c r="A127" s="3025" t="s">
        <v>2302</v>
      </c>
      <c r="B127" s="3025"/>
      <c r="C127" s="3025"/>
      <c r="D127" s="3069" t="e">
        <f>NUMBERSTRING(INT(D126*10000),2)&amp;"元整"</f>
        <v>#VALUE!</v>
      </c>
      <c r="E127" s="3071"/>
      <c r="F127" s="3071"/>
      <c r="G127" s="3071"/>
      <c r="H127" s="3071"/>
      <c r="I127" s="3070"/>
    </row>
    <row r="128" spans="1:11" ht="21.75" customHeight="1">
      <c r="A128" s="3072" t="s">
        <v>2303</v>
      </c>
      <c r="B128" s="3072"/>
      <c r="C128" s="3072"/>
      <c r="D128" s="3072"/>
      <c r="E128" s="3072"/>
      <c r="F128" s="3072"/>
      <c r="G128" s="3072"/>
      <c r="H128" s="3072"/>
      <c r="I128" s="3072"/>
    </row>
    <row r="129" spans="1:35" ht="21.75" customHeight="1">
      <c r="A129" s="2525" t="s">
        <v>2304</v>
      </c>
      <c r="B129" s="2526"/>
      <c r="C129" s="2527" t="s">
        <v>2305</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2306</v>
      </c>
      <c r="G135" s="2542"/>
      <c r="H135" s="2542"/>
      <c r="I135" s="2543" t="s">
        <v>2307</v>
      </c>
    </row>
    <row r="136" spans="1:35" ht="21.75" customHeight="1">
      <c r="A136" s="794"/>
      <c r="B136" s="2544"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2309</v>
      </c>
    </row>
    <row r="139" spans="1:35" ht="21.75" customHeight="1">
      <c r="A139" s="794"/>
      <c r="B139" s="2544" t="s">
        <v>2310</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2309</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2960" t="str">
        <f>项目基本情况!B1</f>
        <v>北京市昌平区沙河镇西沙屯南侧出让国有建设用地使用权及在建建筑物房地产抵押价值预评估</v>
      </c>
      <c r="C37" s="2960"/>
      <c r="D37" s="2960"/>
      <c r="E37" s="2960"/>
      <c r="F37" s="2960"/>
      <c r="G37" s="2960"/>
      <c r="H37" s="2960"/>
      <c r="I37" s="2960"/>
    </row>
    <row r="38" spans="1:9">
      <c r="A38" s="1018"/>
      <c r="B38" s="1018"/>
    </row>
    <row r="39" spans="1:9">
      <c r="A39" s="1016" t="s">
        <v>817</v>
      </c>
      <c r="B39" s="1016" t="s">
        <v>819</v>
      </c>
    </row>
    <row r="40" spans="1:9">
      <c r="A40" s="1016"/>
      <c r="B40" s="1943" t="str">
        <f>项目基本情况!B5</f>
        <v>北京金河水务建设有限公司</v>
      </c>
    </row>
    <row r="41" spans="1:9">
      <c r="A41" s="1016"/>
      <c r="B41" s="1016"/>
    </row>
    <row r="42" spans="1:9">
      <c r="A42" s="1016" t="s">
        <v>817</v>
      </c>
      <c r="B42" s="1016" t="s">
        <v>820</v>
      </c>
    </row>
    <row r="43" spans="1:9">
      <c r="A43" s="1016"/>
      <c r="B43" s="1943" t="s">
        <v>821</v>
      </c>
    </row>
    <row r="44" spans="1:9">
      <c r="A44" s="1016"/>
      <c r="B44" s="1016"/>
    </row>
    <row r="45" spans="1:9">
      <c r="A45" s="1016" t="s">
        <v>817</v>
      </c>
      <c r="B45" s="1016" t="s">
        <v>822</v>
      </c>
    </row>
    <row r="46" spans="1:9" s="1016" customFormat="1" ht="12.75">
      <c r="B46" s="1943" t="str">
        <f ca="1">项目基本情况!K4</f>
        <v>王鹏（注册号：1120050019)、郑燚（注册号：1120070131)</v>
      </c>
    </row>
    <row r="47" spans="1:9">
      <c r="A47" s="1016"/>
      <c r="B47" s="1016" t="str">
        <f>项目基本情况!K5</f>
        <v/>
      </c>
    </row>
    <row r="48" spans="1:9">
      <c r="A48" s="1016" t="s">
        <v>817</v>
      </c>
      <c r="B48" s="1016" t="s">
        <v>823</v>
      </c>
    </row>
    <row r="49" spans="2:2">
      <c r="B49" s="1943" t="str">
        <f>"康正预评字"&amp;项目基本情况!B2&amp;"号"</f>
        <v>康正预评字2017-1-0844-P02DYGJ3号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8"/>
      <c r="C1" s="241"/>
      <c r="D1" s="241"/>
      <c r="E1" s="241"/>
      <c r="F1" s="241"/>
      <c r="G1" s="1381">
        <f>MATCH(B1,'数据-取费表'!A6:A16,0)+5</f>
        <v>10</v>
      </c>
    </row>
    <row r="2" spans="1:9" s="243" customFormat="1" ht="18" customHeight="1">
      <c r="A2" s="244" t="s">
        <v>2312</v>
      </c>
      <c r="B2" s="245">
        <f ca="1">IF(D2="——",C52,C52-E2)</f>
        <v>140463</v>
      </c>
      <c r="C2" s="242" t="s">
        <v>2313</v>
      </c>
      <c r="D2" s="2547" t="s">
        <v>70</v>
      </c>
      <c r="E2" s="1442" t="e">
        <f ca="1">SUMIF(INDIRECT("'"&amp;G2&amp;"'"&amp;"!A:A"),"承租人权益价值",INDIRECT("'"&amp;G2&amp;"'"&amp;"!c:c"))</f>
        <v>#REF!</v>
      </c>
      <c r="F2" s="2548" t="s">
        <v>2313</v>
      </c>
      <c r="G2" s="2549"/>
    </row>
    <row r="3" spans="1:9" s="243" customFormat="1" ht="18" customHeight="1" thickBot="1">
      <c r="A3" s="246" t="s">
        <v>2314</v>
      </c>
      <c r="B3" s="247">
        <f ca="1">ROUND(B2*10000/(IF(B1="",'数据-汇总表'!E3,INDIRECT("'数据-取费表'!k"&amp;$G$1))),0)</f>
        <v>6313</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102635</v>
      </c>
      <c r="D5" s="254" t="s">
        <v>2319</v>
      </c>
      <c r="E5" s="255" t="s">
        <v>2320</v>
      </c>
      <c r="F5" s="255" t="s">
        <v>2321</v>
      </c>
      <c r="G5" s="256"/>
    </row>
    <row r="6" spans="1:9" s="257" customFormat="1" ht="13.5" customHeight="1">
      <c r="A6" s="951" t="s">
        <v>2322</v>
      </c>
      <c r="B6" s="258" t="s">
        <v>2323</v>
      </c>
      <c r="C6" s="259">
        <f ca="1">'基准地价修正-居住'!B2+'基准地价修正-商业'!B2+'基准地价修正-办公'!B2</f>
        <v>95811</v>
      </c>
      <c r="D6" s="260"/>
      <c r="E6" s="261"/>
      <c r="F6" s="261"/>
      <c r="G6" s="262"/>
    </row>
    <row r="7" spans="1:9" s="257" customFormat="1" ht="13.5" customHeight="1">
      <c r="A7" s="951" t="s">
        <v>2324</v>
      </c>
      <c r="B7" s="258" t="s">
        <v>2325</v>
      </c>
      <c r="C7" s="263">
        <f ca="1">ROUND(C6*F7,0)</f>
        <v>2922</v>
      </c>
      <c r="D7" s="263"/>
      <c r="E7" s="261"/>
      <c r="F7" s="264">
        <f>'数据-取费表'!B48+'数据-取费表'!B49</f>
        <v>3.0499999999999999E-2</v>
      </c>
      <c r="G7" s="262"/>
    </row>
    <row r="8" spans="1:9" s="266" customFormat="1">
      <c r="A8" s="951" t="s">
        <v>2326</v>
      </c>
      <c r="B8" s="258" t="s">
        <v>2327</v>
      </c>
      <c r="C8" s="263">
        <f ca="1">IF(G8="已包含在土地购买价格中","0",IF(B1="",'数据-取费表'!B29,IF(G9="全部缴纳",C9+C10,H9)))</f>
        <v>3902</v>
      </c>
      <c r="D8" s="265"/>
      <c r="E8" s="263"/>
      <c r="F8" s="264"/>
      <c r="G8" s="2550" t="s">
        <v>3047</v>
      </c>
    </row>
    <row r="9" spans="1:9" s="257" customFormat="1" ht="13.5" customHeight="1">
      <c r="A9" s="952" t="s">
        <v>799</v>
      </c>
      <c r="B9" s="267" t="s">
        <v>2328</v>
      </c>
      <c r="C9" s="268">
        <f ca="1">ROUND(D9*E9/10000,0)</f>
        <v>2192</v>
      </c>
      <c r="D9" s="1034">
        <f ca="1">IF(B1="",'数据-汇总表'!E5,IF(INDIRECT("'数据-取费表'!c"&amp;$G$1)="住宅",INDIRECT("'数据-取费表'!k"&amp;$G$1),0))</f>
        <v>136969</v>
      </c>
      <c r="E9" s="268">
        <f>'数据-取费表'!B27</f>
        <v>160</v>
      </c>
      <c r="F9" s="264"/>
      <c r="G9" s="2551" t="s">
        <v>3048</v>
      </c>
      <c r="H9" s="1392"/>
      <c r="I9" s="2552" t="s">
        <v>2329</v>
      </c>
    </row>
    <row r="10" spans="1:9" s="257" customFormat="1" ht="13.5" customHeight="1">
      <c r="A10" s="952" t="s">
        <v>800</v>
      </c>
      <c r="B10" s="267" t="s">
        <v>2330</v>
      </c>
      <c r="C10" s="268">
        <f ca="1">ROUND(D10*E10/10000,0)</f>
        <v>1710</v>
      </c>
      <c r="D10" s="1034">
        <f ca="1">IF(B1="",'数据-汇总表'!E6,IF(INDIRECT("'数据-取费表'!c"&amp;$G$1)="住宅",INDIRECT("'数据-取费表'!s"&amp;$G$1),INDIRECT("'数据-取费表'!k"&amp;$G$1)+INDIRECT("'数据-取费表'!s"&amp;$G$1)))</f>
        <v>85524</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222493</v>
      </c>
      <c r="E19" s="254">
        <f>'数据-取费表'!B31</f>
        <v>200</v>
      </c>
      <c r="F19" s="274"/>
      <c r="G19" s="2550" t="s">
        <v>3049</v>
      </c>
    </row>
    <row r="20" spans="1:7" s="257" customFormat="1" ht="13.5" customHeight="1">
      <c r="A20" s="298" t="s">
        <v>2343</v>
      </c>
      <c r="B20" s="253" t="s">
        <v>2344</v>
      </c>
      <c r="C20" s="275">
        <f ca="1">ROUND((C5+C19)*F20,0)</f>
        <v>1026</v>
      </c>
      <c r="D20" s="275"/>
      <c r="E20" s="275"/>
      <c r="F20" s="276">
        <f>'数据-取费表'!B37</f>
        <v>0.01</v>
      </c>
      <c r="G20" s="277" t="s">
        <v>2345</v>
      </c>
    </row>
    <row r="21" spans="1:7" s="257" customFormat="1" ht="13.5" customHeight="1">
      <c r="A21" s="298" t="s">
        <v>2346</v>
      </c>
      <c r="B21" s="253" t="s">
        <v>2347</v>
      </c>
      <c r="C21" s="278">
        <f>F21</f>
        <v>0.01</v>
      </c>
      <c r="D21" s="279" t="s">
        <v>2348</v>
      </c>
      <c r="E21" s="275"/>
      <c r="F21" s="276">
        <f>'数据-取费表'!B38</f>
        <v>0.01</v>
      </c>
      <c r="G21" s="277" t="s">
        <v>2349</v>
      </c>
    </row>
    <row r="22" spans="1:7" s="257" customFormat="1" ht="13.5" customHeight="1">
      <c r="A22" s="298" t="s">
        <v>2350</v>
      </c>
      <c r="B22" s="253" t="s">
        <v>2351</v>
      </c>
      <c r="C22" s="1356">
        <f ca="1">ROUND(SUM(C23:C25),0)</f>
        <v>7435</v>
      </c>
      <c r="D22" s="278">
        <f ca="1">C26</f>
        <v>4.0000000000000002E-4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7399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36</v>
      </c>
      <c r="D25" s="281"/>
      <c r="E25" s="284"/>
      <c r="F25" s="282"/>
      <c r="G25" s="285" t="s">
        <v>2360</v>
      </c>
    </row>
    <row r="26" spans="1:7" s="257" customFormat="1">
      <c r="A26" s="953" t="s">
        <v>794</v>
      </c>
      <c r="B26" s="258" t="s">
        <v>2361</v>
      </c>
      <c r="C26" s="281">
        <f ca="1">ROUND(IF('数据-取费表'!B22&lt;=1,F21*F22*'数据-取费表'!B23/2,F21*(POWER((1+F22),'数据-取费表'!B23/2)-1)),4)</f>
        <v>4.0000000000000002E-4</v>
      </c>
      <c r="D26" s="281"/>
      <c r="E26" s="284"/>
      <c r="F26" s="282"/>
      <c r="G26" s="286"/>
    </row>
    <row r="27" spans="1:7" s="257" customFormat="1" ht="24.75">
      <c r="A27" s="298" t="s">
        <v>2362</v>
      </c>
      <c r="B27" s="287" t="s">
        <v>2363</v>
      </c>
      <c r="C27" s="288">
        <f ca="1">C28</f>
        <v>3628</v>
      </c>
      <c r="D27" s="278">
        <f ca="1">C29</f>
        <v>4.0000000000000002E-4</v>
      </c>
      <c r="E27" s="279" t="s">
        <v>2364</v>
      </c>
      <c r="F27" s="289">
        <f ca="1">IF(B1="",'数据-取费表'!Q16,INDIRECT("'数据-取费表'!q"&amp;$G$1))</f>
        <v>7.0000000000000007E-2</v>
      </c>
      <c r="G27" s="290" t="s">
        <v>2365</v>
      </c>
    </row>
    <row r="28" spans="1:7" s="257" customFormat="1" ht="13.5" customHeight="1">
      <c r="A28" s="953" t="s">
        <v>790</v>
      </c>
      <c r="B28" s="291" t="s">
        <v>2366</v>
      </c>
      <c r="C28" s="292">
        <f ca="1">ROUND((C5+C19+C20)*F27*'数据-取费表'!B21/'数据-取费表'!B20,0)</f>
        <v>3628</v>
      </c>
      <c r="D28" s="278"/>
      <c r="E28" s="279"/>
      <c r="F28" s="289"/>
      <c r="G28" s="290"/>
    </row>
    <row r="29" spans="1:7" s="257" customFormat="1" ht="13.5" customHeight="1">
      <c r="A29" s="953" t="s">
        <v>791</v>
      </c>
      <c r="B29" s="291" t="s">
        <v>2367</v>
      </c>
      <c r="C29" s="281">
        <f ca="1">ROUND(C21*F27*'数据-取费表'!B21/'数据-取费表'!B20,4)</f>
        <v>4.0000000000000002E-4</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122464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781</v>
      </c>
      <c r="B33" s="253" t="s">
        <v>2374</v>
      </c>
      <c r="C33" s="299">
        <f ca="1">SUM(C34:C38)</f>
        <v>15098</v>
      </c>
      <c r="D33" s="275"/>
      <c r="E33" s="255"/>
      <c r="F33" s="284"/>
      <c r="G33" s="277"/>
    </row>
    <row r="34" spans="1:7" s="301" customFormat="1" ht="13.5" customHeight="1">
      <c r="A34" s="953" t="s">
        <v>790</v>
      </c>
      <c r="B34" s="258" t="s">
        <v>2375</v>
      </c>
      <c r="C34" s="263">
        <f ca="1">IF(B1="",IF(F34=100%,'数据-取费表'!M16,'数据-取费表'!O16),IF(F34=100%,INDIRECT("'数据-取费表'!m"&amp;$G$1)+INDIRECT("'数据-取费表'!t"&amp;$G$1),INDIRECT("'数据-取费表'!o"&amp;$G$1)+INDIRECT("'数据-取费表'!aq"&amp;$G$1)))</f>
        <v>13127</v>
      </c>
      <c r="D34" s="260"/>
      <c r="E34" s="263"/>
      <c r="F34" s="300">
        <f ca="1">IF('数据-取费表'!B24=0,1,IF(B1="",'数据-取费表'!N16,INDIRECT("'数据-取费表'!n"&amp;$G$1)))</f>
        <v>0.26400000000000001</v>
      </c>
      <c r="G34" s="262" t="s">
        <v>2376</v>
      </c>
    </row>
    <row r="35" spans="1:7" ht="13.5" customHeight="1">
      <c r="A35" s="953" t="s">
        <v>795</v>
      </c>
      <c r="B35" s="258" t="s">
        <v>2377</v>
      </c>
      <c r="C35" s="263">
        <f ca="1">ROUND(C34*F35,0)</f>
        <v>394</v>
      </c>
      <c r="D35" s="263"/>
      <c r="E35" s="263"/>
      <c r="F35" s="302">
        <f>'数据-取费表'!B33</f>
        <v>0.03</v>
      </c>
      <c r="G35" s="262" t="s">
        <v>2378</v>
      </c>
    </row>
    <row r="36" spans="1:7" ht="24">
      <c r="A36" s="953" t="s">
        <v>796</v>
      </c>
      <c r="B36" s="258" t="s">
        <v>2379</v>
      </c>
      <c r="C36" s="263">
        <f ca="1">ROUND(IF(B1="",SUMIF('数据-取费表'!C:C,"住宅",IF(F34=100%,'数据-取费表'!M:M,'数据-取费表'!O:O))*F36,IF(INDIRECT("'数据-取费表'!c"&amp;$G$1)="住宅",IF(F34=100%,INDIRECT("'数据-取费表'!m"&amp;$G$1)*F36,INDIRECT("'数据-取费表'!o"&amp;$G$1)*F36),0)),0)</f>
        <v>205</v>
      </c>
      <c r="D36" s="263"/>
      <c r="E36" s="263"/>
      <c r="F36" s="302">
        <f>'数据-取费表'!B34</f>
        <v>0.02</v>
      </c>
      <c r="G36" s="303" t="s">
        <v>2380</v>
      </c>
    </row>
    <row r="37" spans="1:7" s="301" customFormat="1" ht="13.5" customHeight="1">
      <c r="A37" s="953" t="s">
        <v>797</v>
      </c>
      <c r="B37" s="258" t="s">
        <v>2381</v>
      </c>
      <c r="C37" s="292">
        <f ca="1">ROUND(E37*D37*F34/10000,0)</f>
        <v>1175</v>
      </c>
      <c r="D37" s="260">
        <f ca="1">D19</f>
        <v>222493</v>
      </c>
      <c r="E37" s="292">
        <f>'数据-取费表'!B35</f>
        <v>200</v>
      </c>
      <c r="F37" s="302"/>
      <c r="G37" s="304" t="s">
        <v>2382</v>
      </c>
    </row>
    <row r="38" spans="1:7" ht="13.5" customHeight="1">
      <c r="A38" s="953" t="s">
        <v>798</v>
      </c>
      <c r="B38" s="258" t="s">
        <v>2383</v>
      </c>
      <c r="C38" s="263">
        <f ca="1">ROUND(C34*F38,0)</f>
        <v>197</v>
      </c>
      <c r="D38" s="263"/>
      <c r="E38" s="263"/>
      <c r="F38" s="302">
        <f>'数据-取费表'!B36</f>
        <v>1.4999999999999999E-2</v>
      </c>
      <c r="G38" s="262" t="s">
        <v>2378</v>
      </c>
    </row>
    <row r="39" spans="1:7" s="257" customFormat="1" ht="13.5" customHeight="1">
      <c r="A39" s="298" t="s">
        <v>2384</v>
      </c>
      <c r="B39" s="253" t="s">
        <v>2385</v>
      </c>
      <c r="C39" s="275">
        <f ca="1">ROUND(C33*F20,0)</f>
        <v>151</v>
      </c>
      <c r="D39" s="275"/>
      <c r="E39" s="275"/>
      <c r="F39" s="276"/>
      <c r="G39" s="277" t="s">
        <v>2386</v>
      </c>
    </row>
    <row r="40" spans="1:7" s="257" customFormat="1" ht="13.5" customHeight="1">
      <c r="A40" s="298" t="s">
        <v>2387</v>
      </c>
      <c r="B40" s="253" t="s">
        <v>2388</v>
      </c>
      <c r="C40" s="1729">
        <f>F21</f>
        <v>0.01</v>
      </c>
      <c r="D40" s="279" t="s">
        <v>2389</v>
      </c>
      <c r="E40" s="275"/>
      <c r="F40" s="276"/>
      <c r="G40" s="277" t="s">
        <v>2390</v>
      </c>
    </row>
    <row r="41" spans="1:7" s="257" customFormat="1" ht="13.5" customHeight="1">
      <c r="A41" s="298" t="s">
        <v>2391</v>
      </c>
      <c r="B41" s="253" t="s">
        <v>2392</v>
      </c>
      <c r="C41" s="275">
        <f ca="1">ROUND(SUM(C42:C43),0)</f>
        <v>540</v>
      </c>
      <c r="D41" s="278">
        <f ca="1">C44</f>
        <v>4.0000000000000002E-4</v>
      </c>
      <c r="E41" s="279" t="s">
        <v>2389</v>
      </c>
      <c r="F41" s="280"/>
      <c r="G41" s="277" t="str">
        <f>IF('数据-取费表'!B22&lt;=1,"单利计息","复利计息")</f>
        <v>复利计息</v>
      </c>
    </row>
    <row r="42" spans="1:7" ht="13.5" customHeight="1">
      <c r="A42" s="953" t="s">
        <v>790</v>
      </c>
      <c r="B42" s="258" t="s">
        <v>2393</v>
      </c>
      <c r="C42" s="281">
        <f ca="1">ROUND(IF('数据-取费表'!B22&lt;=1,C33*F22*'数据-取费表'!B21/2,C33*(POWER((1+F22),'数据-取费表'!B21/2)-1)),0)</f>
        <v>535</v>
      </c>
      <c r="D42" s="281"/>
      <c r="E42" s="281"/>
      <c r="F42" s="282"/>
      <c r="G42" s="3144" t="s">
        <v>2394</v>
      </c>
    </row>
    <row r="43" spans="1:7" ht="13.5" customHeight="1">
      <c r="A43" s="953" t="s">
        <v>791</v>
      </c>
      <c r="B43" s="258" t="s">
        <v>2395</v>
      </c>
      <c r="C43" s="281">
        <f ca="1">ROUND(IF('数据-取费表'!B22&lt;=1,C39*F22*'数据-取费表'!B21/2,C39*(POWER((1+F22),'数据-取费表'!B21/2)-1)),0)</f>
        <v>5</v>
      </c>
      <c r="D43" s="281"/>
      <c r="E43" s="281"/>
      <c r="F43" s="282"/>
      <c r="G43" s="3145"/>
    </row>
    <row r="44" spans="1:7" ht="13.5" customHeight="1">
      <c r="A44" s="953" t="s">
        <v>792</v>
      </c>
      <c r="B44" s="258" t="s">
        <v>2396</v>
      </c>
      <c r="C44" s="281">
        <f ca="1">ROUND(IF('数据-取费表'!B22&lt;=1,C40*F22*'数据-取费表'!B21/2,C40*(POWER((1+F22),'数据-取费表'!B21/2)-1)),4)</f>
        <v>4.0000000000000002E-4</v>
      </c>
      <c r="D44" s="281"/>
      <c r="E44" s="281"/>
      <c r="F44" s="282"/>
      <c r="G44" s="3146"/>
    </row>
    <row r="45" spans="1:7" s="257" customFormat="1" ht="13.5" customHeight="1">
      <c r="A45" s="298" t="s">
        <v>2397</v>
      </c>
      <c r="B45" s="287" t="s">
        <v>2363</v>
      </c>
      <c r="C45" s="288">
        <f ca="1">C46</f>
        <v>1067</v>
      </c>
      <c r="D45" s="278">
        <f ca="1">C47</f>
        <v>6.9999999999999999E-4</v>
      </c>
      <c r="E45" s="279" t="s">
        <v>2389</v>
      </c>
      <c r="F45" s="289"/>
      <c r="G45" s="290" t="s">
        <v>2398</v>
      </c>
    </row>
    <row r="46" spans="1:7" s="257" customFormat="1" ht="13.5" customHeight="1">
      <c r="A46" s="953" t="s">
        <v>790</v>
      </c>
      <c r="B46" s="291" t="s">
        <v>2399</v>
      </c>
      <c r="C46" s="292">
        <f ca="1">ROUND((C33+C39)*F27,0)</f>
        <v>1067</v>
      </c>
      <c r="D46" s="306"/>
      <c r="E46" s="279"/>
      <c r="F46" s="289"/>
      <c r="G46" s="290"/>
    </row>
    <row r="47" spans="1:7" s="257" customFormat="1" ht="13.5" customHeight="1">
      <c r="A47" s="953" t="s">
        <v>791</v>
      </c>
      <c r="B47" s="291" t="s">
        <v>2400</v>
      </c>
      <c r="C47" s="281">
        <f ca="1">ROUND(C40*F27,4)</f>
        <v>6.9999999999999999E-4</v>
      </c>
      <c r="D47" s="306"/>
      <c r="E47" s="279"/>
      <c r="F47" s="289"/>
      <c r="G47" s="290"/>
    </row>
    <row r="48" spans="1:7" s="257" customFormat="1" ht="13.5" customHeight="1">
      <c r="A48" s="298" t="s">
        <v>2362</v>
      </c>
      <c r="B48" s="253" t="s">
        <v>2401</v>
      </c>
      <c r="C48" s="1729">
        <f>ROUND(F30/(1+'数据-取费表'!C42),4)</f>
        <v>5.2400000000000002E-2</v>
      </c>
      <c r="D48" s="279" t="s">
        <v>2389</v>
      </c>
      <c r="E48" s="275"/>
      <c r="F48" s="280"/>
      <c r="G48" s="277" t="s">
        <v>2402</v>
      </c>
    </row>
    <row r="49" spans="1:7" ht="16.5" customHeight="1">
      <c r="A49" s="298" t="s">
        <v>2368</v>
      </c>
      <c r="B49" s="253" t="s">
        <v>2403</v>
      </c>
      <c r="C49" s="275">
        <f ca="1">ROUND((C33+C39+C41+C45)/(1-C40-D41-D45-C48),0)</f>
        <v>17999</v>
      </c>
      <c r="D49" s="275"/>
      <c r="E49" s="275"/>
      <c r="F49" s="307"/>
      <c r="G49" s="277" t="s">
        <v>2404</v>
      </c>
    </row>
    <row r="50" spans="1:7" s="301" customFormat="1" ht="24">
      <c r="A50" s="298" t="s">
        <v>2405</v>
      </c>
      <c r="B50" s="253" t="s">
        <v>2406</v>
      </c>
      <c r="C50" s="275"/>
      <c r="D50" s="275"/>
      <c r="E50" s="275"/>
      <c r="F50" s="307">
        <f>IF('数据-取费表'!B24=0,'数据-取费表'!N16,1)</f>
        <v>1</v>
      </c>
      <c r="G50" s="290" t="s">
        <v>2407</v>
      </c>
    </row>
    <row r="51" spans="1:7" ht="16.5" customHeight="1">
      <c r="A51" s="298" t="s">
        <v>2408</v>
      </c>
      <c r="B51" s="253" t="s">
        <v>2409</v>
      </c>
      <c r="C51" s="275">
        <f ca="1">ROUND(C49*F50,0)</f>
        <v>17999</v>
      </c>
      <c r="D51" s="275"/>
      <c r="E51" s="275"/>
      <c r="F51" s="307"/>
      <c r="G51" s="277" t="s">
        <v>2410</v>
      </c>
    </row>
    <row r="52" spans="1:7" s="251" customFormat="1" ht="16.5" thickBot="1">
      <c r="A52" s="308" t="s">
        <v>2411</v>
      </c>
      <c r="B52" s="309"/>
      <c r="C52" s="310">
        <f ca="1">C31+C51</f>
        <v>140463</v>
      </c>
      <c r="D52" s="309"/>
      <c r="E52" s="309"/>
      <c r="F52" s="309"/>
      <c r="G52" s="311"/>
    </row>
    <row r="55" spans="1:7" ht="15">
      <c r="B55" s="313" t="s">
        <v>2412</v>
      </c>
      <c r="C55" s="314"/>
    </row>
    <row r="56" spans="1:7">
      <c r="B56" s="316" t="s">
        <v>1510</v>
      </c>
      <c r="C56" s="318">
        <f ca="1">1-C57</f>
        <v>0.872</v>
      </c>
    </row>
    <row r="57" spans="1:7">
      <c r="B57" s="316" t="s">
        <v>1511</v>
      </c>
      <c r="C57" s="317">
        <f ca="1">ROUND(C51/C52,3)</f>
        <v>0.128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8"/>
      <c r="C1" s="2553" t="s">
        <v>2413</v>
      </c>
      <c r="D1" s="241"/>
      <c r="E1" s="241"/>
      <c r="F1" s="241"/>
      <c r="G1" s="1381">
        <f>MATCH(B1,'数据-取费表'!A6:A16,0)+5</f>
        <v>10</v>
      </c>
      <c r="H1" s="1284" t="str">
        <f>IF(ISERROR(FIND("住宅",B1)),"非住宅","住宅")</f>
        <v>非住宅</v>
      </c>
    </row>
    <row r="2" spans="1:8" s="243" customFormat="1" ht="18" customHeight="1">
      <c r="A2" s="244" t="s">
        <v>2312</v>
      </c>
      <c r="B2" s="245">
        <f ca="1">ROUND(IF(D2="——",C52/10000,C52/10000-E2),0)</f>
        <v>81427</v>
      </c>
      <c r="C2" s="242" t="s">
        <v>2313</v>
      </c>
      <c r="D2" s="2547" t="s">
        <v>70</v>
      </c>
      <c r="E2" s="1442" t="e">
        <f ca="1">SUMIF(INDIRECT("'"&amp;G2&amp;"'"&amp;"!A:A"),"承租人权益价值",INDIRECT("'"&amp;G2&amp;"'"&amp;"!c:c"))</f>
        <v>#REF!</v>
      </c>
      <c r="F2" s="2548" t="s">
        <v>2313</v>
      </c>
      <c r="G2" s="2549"/>
    </row>
    <row r="3" spans="1:8" s="243" customFormat="1" ht="18" customHeight="1" thickBot="1">
      <c r="A3" s="246" t="s">
        <v>2314</v>
      </c>
      <c r="B3" s="247">
        <f ca="1">ROUND(B2*10000/(IF(B1="",'数据-汇总表'!E3,INDIRECT("'数据-取费表'!k"&amp;$G$1))),0)</f>
        <v>3660</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39019840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39019840</v>
      </c>
      <c r="D8" s="265"/>
      <c r="E8" s="263"/>
      <c r="F8" s="264"/>
      <c r="G8" s="2550"/>
    </row>
    <row r="9" spans="1:8" s="257" customFormat="1" ht="13.5" customHeight="1">
      <c r="A9" s="952" t="s">
        <v>799</v>
      </c>
      <c r="B9" s="267" t="s">
        <v>2328</v>
      </c>
      <c r="C9" s="268">
        <f ca="1">ROUND(D9*E9,0)</f>
        <v>21915040</v>
      </c>
      <c r="D9" s="1034">
        <f ca="1">IF(B1="",'数据-汇总表'!E5,IF(INDIRECT("'数据-取费表'!c"&amp;$G$1)="住宅",INDIRECT("'数据-取费表'!k"&amp;$G$1),0))</f>
        <v>136969</v>
      </c>
      <c r="E9" s="268">
        <f>'数据-取费表'!B27</f>
        <v>160</v>
      </c>
      <c r="F9" s="264"/>
      <c r="G9" s="269"/>
    </row>
    <row r="10" spans="1:8" s="257" customFormat="1" ht="13.5" customHeight="1">
      <c r="A10" s="952" t="s">
        <v>800</v>
      </c>
      <c r="B10" s="267" t="s">
        <v>2330</v>
      </c>
      <c r="C10" s="268">
        <f ca="1">ROUND(D10*E10,0)</f>
        <v>17104800</v>
      </c>
      <c r="D10" s="1034">
        <f ca="1">IF(B1="",'数据-汇总表'!E6,IF(INDIRECT("'数据-取费表'!c"&amp;$G$1)="住宅",INDIRECT("'数据-取费表'!s"&amp;$G$1),INDIRECT("'数据-取费表'!k"&amp;$G$1)+INDIRECT("'数据-取费表'!s"&amp;$G$1)))</f>
        <v>85524</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44498600</v>
      </c>
      <c r="D19" s="1038">
        <f ca="1">D9+D10</f>
        <v>222493</v>
      </c>
      <c r="E19" s="254">
        <f>'数据-取费表'!B31</f>
        <v>200</v>
      </c>
      <c r="F19" s="274"/>
      <c r="G19" s="2550"/>
    </row>
    <row r="20" spans="1:7" s="257" customFormat="1" ht="13.5" customHeight="1">
      <c r="A20" s="298" t="s">
        <v>2424</v>
      </c>
      <c r="B20" s="253" t="s">
        <v>2425</v>
      </c>
      <c r="C20" s="275">
        <f ca="1">ROUND((C5+C19)*F20,0)</f>
        <v>835184</v>
      </c>
      <c r="D20" s="275"/>
      <c r="E20" s="275"/>
      <c r="F20" s="276">
        <f>'数据-取费表'!B37</f>
        <v>0.01</v>
      </c>
      <c r="G20" s="277" t="s">
        <v>2426</v>
      </c>
    </row>
    <row r="21" spans="1:7" s="257" customFormat="1" ht="13.5" customHeight="1">
      <c r="A21" s="298" t="s">
        <v>2427</v>
      </c>
      <c r="B21" s="253" t="s">
        <v>2428</v>
      </c>
      <c r="C21" s="278">
        <f>F21</f>
        <v>0.01</v>
      </c>
      <c r="D21" s="279" t="s">
        <v>2429</v>
      </c>
      <c r="E21" s="275"/>
      <c r="F21" s="276">
        <f>'数据-取费表'!B38</f>
        <v>0.01</v>
      </c>
      <c r="G21" s="277" t="s">
        <v>2430</v>
      </c>
    </row>
    <row r="22" spans="1:7" s="257" customFormat="1" ht="13.5" customHeight="1">
      <c r="A22" s="298" t="s">
        <v>2431</v>
      </c>
      <c r="B22" s="253" t="s">
        <v>2432</v>
      </c>
      <c r="C22" s="1382">
        <f ca="1">ROUND(SUM(C23:C25),0)</f>
        <v>12535852</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5828625</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6647019</v>
      </c>
      <c r="D24" s="281"/>
      <c r="E24" s="281"/>
      <c r="F24" s="282"/>
      <c r="G24" s="283" t="s">
        <v>2436</v>
      </c>
    </row>
    <row r="25" spans="1:7" s="257" customFormat="1" ht="24">
      <c r="A25" s="953" t="s">
        <v>2326</v>
      </c>
      <c r="B25" s="258" t="s">
        <v>2437</v>
      </c>
      <c r="C25" s="1383">
        <f ca="1">ROUND(IF('数据-取费表'!B22&lt;=1,C20*F22*'数据-取费表'!B22/2,C20*(POWER((1+F22),'数据-取费表'!B22/2)-1)),0)</f>
        <v>60208</v>
      </c>
      <c r="D25" s="281"/>
      <c r="E25" s="284"/>
      <c r="F25" s="282"/>
      <c r="G25" s="285" t="s">
        <v>2438</v>
      </c>
    </row>
    <row r="26" spans="1:7" s="257" customFormat="1">
      <c r="A26" s="953" t="s">
        <v>794</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5904754</v>
      </c>
      <c r="D27" s="278">
        <f ca="1">C29</f>
        <v>6.9999999999999999E-4</v>
      </c>
      <c r="E27" s="279" t="s">
        <v>2364</v>
      </c>
      <c r="F27" s="289">
        <f ca="1">IF(B1="",'数据-取费表'!Q16,INDIRECT("'数据-取费表'!q"&amp;$G$1))</f>
        <v>7.0000000000000007E-2</v>
      </c>
      <c r="G27" s="290" t="s">
        <v>2365</v>
      </c>
    </row>
    <row r="28" spans="1:7" s="257" customFormat="1" ht="13.5" customHeight="1">
      <c r="A28" s="953" t="s">
        <v>790</v>
      </c>
      <c r="B28" s="291" t="s">
        <v>2366</v>
      </c>
      <c r="C28" s="292">
        <f ca="1">ROUND((C5+C19+C20)*F27,0)</f>
        <v>5904754</v>
      </c>
      <c r="D28" s="278"/>
      <c r="E28" s="279"/>
      <c r="F28" s="289"/>
      <c r="G28" s="290"/>
    </row>
    <row r="29" spans="1:7" s="257" customFormat="1" ht="13.5" customHeight="1">
      <c r="A29" s="953" t="s">
        <v>791</v>
      </c>
      <c r="B29" s="291" t="s">
        <v>2367</v>
      </c>
      <c r="C29" s="281">
        <f ca="1">ROUND(C21*F27,4)</f>
        <v>6.9999999999999999E-4</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109799434</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781</v>
      </c>
      <c r="B33" s="253" t="s">
        <v>2440</v>
      </c>
      <c r="C33" s="299">
        <f ca="1">SUM(C34:C38)</f>
        <v>571757573</v>
      </c>
      <c r="D33" s="275"/>
      <c r="E33" s="255"/>
      <c r="F33" s="284"/>
      <c r="G33" s="277"/>
    </row>
    <row r="34" spans="1:7" s="301" customFormat="1" ht="13.5" customHeight="1">
      <c r="A34" s="953" t="s">
        <v>790</v>
      </c>
      <c r="B34" s="258" t="s">
        <v>2375</v>
      </c>
      <c r="C34" s="263">
        <f ca="1">ROUND(IF(B1="",SUMPRODUCT('数据-取费表'!K6:K14,'数据-取费表'!L6:L14),INDIRECT("'数据-取费表'!l"&amp;$G$1)*INDIRECT("'数据-取费表'!k"&amp;$G$1)+'数据-取费表'!L14*INDIRECT("'数据-取费表'!S"&amp;$G$1)),0)</f>
        <v>498000500</v>
      </c>
      <c r="D34" s="260"/>
      <c r="E34" s="263"/>
      <c r="F34" s="300"/>
      <c r="G34" s="262"/>
    </row>
    <row r="35" spans="1:7" ht="13.5" customHeight="1">
      <c r="A35" s="953" t="s">
        <v>795</v>
      </c>
      <c r="B35" s="258" t="s">
        <v>2377</v>
      </c>
      <c r="C35" s="263">
        <f ca="1">ROUND(C34*F35,0)</f>
        <v>14940015</v>
      </c>
      <c r="D35" s="263"/>
      <c r="E35" s="263"/>
      <c r="F35" s="302">
        <f>'数据-取费表'!B33</f>
        <v>0.03</v>
      </c>
      <c r="G35" s="262" t="s">
        <v>2378</v>
      </c>
    </row>
    <row r="36" spans="1:7" ht="24">
      <c r="A36" s="953" t="s">
        <v>796</v>
      </c>
      <c r="B36" s="258" t="s">
        <v>2379</v>
      </c>
      <c r="C36" s="263">
        <f ca="1">ROUND(IF(B1="",SUM('数据-取费表'!AP6:AP13)*F36,IF(INDIRECT("'数据-取费表'!c"&amp;$G$1)="住宅",INDIRECT("'数据-取费表'!k"&amp;$G$1)*INDIRECT("'数据-取费表'!l"&amp;$G$1)*F36,0)),0)</f>
        <v>6848450</v>
      </c>
      <c r="D36" s="263"/>
      <c r="E36" s="263"/>
      <c r="F36" s="302">
        <f>'数据-取费表'!B34</f>
        <v>0.02</v>
      </c>
      <c r="G36" s="303" t="s">
        <v>2380</v>
      </c>
    </row>
    <row r="37" spans="1:7" s="301" customFormat="1" ht="13.5" customHeight="1">
      <c r="A37" s="953" t="s">
        <v>797</v>
      </c>
      <c r="B37" s="258" t="s">
        <v>2381</v>
      </c>
      <c r="C37" s="292">
        <f ca="1">ROUND(E37*D37,0)</f>
        <v>44498600</v>
      </c>
      <c r="D37" s="260">
        <f ca="1">D19</f>
        <v>222493</v>
      </c>
      <c r="E37" s="292">
        <f>'数据-取费表'!B35</f>
        <v>200</v>
      </c>
      <c r="F37" s="302"/>
      <c r="G37" s="304"/>
    </row>
    <row r="38" spans="1:7" ht="13.5" customHeight="1">
      <c r="A38" s="953" t="s">
        <v>798</v>
      </c>
      <c r="B38" s="258" t="s">
        <v>2383</v>
      </c>
      <c r="C38" s="263">
        <f ca="1">ROUND(C34*F38,0)</f>
        <v>7470008</v>
      </c>
      <c r="D38" s="263"/>
      <c r="E38" s="263"/>
      <c r="F38" s="302">
        <f>'数据-取费表'!B36</f>
        <v>1.4999999999999999E-2</v>
      </c>
      <c r="G38" s="262" t="s">
        <v>2378</v>
      </c>
    </row>
    <row r="39" spans="1:7" s="257" customFormat="1" ht="13.5" customHeight="1">
      <c r="A39" s="298" t="s">
        <v>2384</v>
      </c>
      <c r="B39" s="253" t="s">
        <v>2385</v>
      </c>
      <c r="C39" s="275">
        <f ca="1">ROUND(C33*F20,0)</f>
        <v>5717576</v>
      </c>
      <c r="D39" s="275"/>
      <c r="E39" s="275"/>
      <c r="F39" s="276"/>
      <c r="G39" s="277" t="s">
        <v>2386</v>
      </c>
    </row>
    <row r="40" spans="1:7" s="257" customFormat="1" ht="13.5" customHeight="1">
      <c r="A40" s="298" t="s">
        <v>2387</v>
      </c>
      <c r="B40" s="253" t="s">
        <v>2388</v>
      </c>
      <c r="C40" s="1729">
        <f>F21</f>
        <v>0.01</v>
      </c>
      <c r="D40" s="279" t="s">
        <v>2389</v>
      </c>
      <c r="E40" s="275"/>
      <c r="F40" s="276"/>
      <c r="G40" s="277" t="s">
        <v>2390</v>
      </c>
    </row>
    <row r="41" spans="1:7" s="257" customFormat="1" ht="13.5" customHeight="1">
      <c r="A41" s="298" t="s">
        <v>2391</v>
      </c>
      <c r="B41" s="253" t="s">
        <v>2392</v>
      </c>
      <c r="C41" s="275">
        <f ca="1">ROUND(SUM(C42:C43),0)</f>
        <v>41629901</v>
      </c>
      <c r="D41" s="278">
        <f ca="1">C44</f>
        <v>6.9999999999999999E-4</v>
      </c>
      <c r="E41" s="279" t="s">
        <v>2389</v>
      </c>
      <c r="F41" s="280"/>
      <c r="G41" s="277" t="str">
        <f>IF('数据-取费表'!B22&lt;=1,"单利计息","复利计息")</f>
        <v>复利计息</v>
      </c>
    </row>
    <row r="42" spans="1:7" ht="13.5" customHeight="1">
      <c r="A42" s="953" t="s">
        <v>790</v>
      </c>
      <c r="B42" s="258" t="s">
        <v>2393</v>
      </c>
      <c r="C42" s="281">
        <f ca="1">ROUND(IF('数据-取费表'!B22&lt;=1,C33*F22*'数据-取费表'!B20/2,C33*(POWER((1+F22),'数据-取费表'!B20/2)-1)),0)</f>
        <v>41217724</v>
      </c>
      <c r="D42" s="281"/>
      <c r="E42" s="281"/>
      <c r="F42" s="282"/>
      <c r="G42" s="3144" t="s">
        <v>2441</v>
      </c>
    </row>
    <row r="43" spans="1:7" ht="13.5" customHeight="1">
      <c r="A43" s="953" t="s">
        <v>791</v>
      </c>
      <c r="B43" s="258" t="s">
        <v>2395</v>
      </c>
      <c r="C43" s="281">
        <f ca="1">ROUND(IF('数据-取费表'!B22&lt;=1,C39*F22*'数据-取费表'!B20/2,C39*(POWER((1+F22),'数据-取费表'!B20/2)-1)),0)</f>
        <v>412177</v>
      </c>
      <c r="D43" s="281"/>
      <c r="E43" s="281"/>
      <c r="F43" s="282"/>
      <c r="G43" s="3145"/>
    </row>
    <row r="44" spans="1:7" ht="13.5" customHeight="1">
      <c r="A44" s="953" t="s">
        <v>792</v>
      </c>
      <c r="B44" s="258" t="s">
        <v>2396</v>
      </c>
      <c r="C44" s="281">
        <f ca="1">ROUND(IF('数据-取费表'!B22&lt;=1,C40*F22*'数据-取费表'!B20/2,C40*(POWER((1+F22),'数据-取费表'!B20/2)-1)),4)</f>
        <v>6.9999999999999999E-4</v>
      </c>
      <c r="D44" s="281"/>
      <c r="E44" s="281"/>
      <c r="F44" s="282"/>
      <c r="G44" s="3146"/>
    </row>
    <row r="45" spans="1:7" s="257" customFormat="1" ht="13.5" customHeight="1">
      <c r="A45" s="298" t="s">
        <v>2397</v>
      </c>
      <c r="B45" s="287" t="s">
        <v>2363</v>
      </c>
      <c r="C45" s="288">
        <f ca="1">C46</f>
        <v>40423260</v>
      </c>
      <c r="D45" s="278">
        <f ca="1">C47</f>
        <v>6.9999999999999999E-4</v>
      </c>
      <c r="E45" s="279" t="s">
        <v>2389</v>
      </c>
      <c r="F45" s="289"/>
      <c r="G45" s="290" t="s">
        <v>2398</v>
      </c>
    </row>
    <row r="46" spans="1:7" s="257" customFormat="1" ht="13.5" customHeight="1">
      <c r="A46" s="953" t="s">
        <v>790</v>
      </c>
      <c r="B46" s="291" t="s">
        <v>2399</v>
      </c>
      <c r="C46" s="292">
        <f ca="1">ROUND((C33+C39)*F27,0)</f>
        <v>40423260</v>
      </c>
      <c r="D46" s="306"/>
      <c r="E46" s="279"/>
      <c r="F46" s="289"/>
      <c r="G46" s="290"/>
    </row>
    <row r="47" spans="1:7" s="257" customFormat="1" ht="13.5" customHeight="1">
      <c r="A47" s="953" t="s">
        <v>791</v>
      </c>
      <c r="B47" s="291" t="s">
        <v>2400</v>
      </c>
      <c r="C47" s="281">
        <f ca="1">ROUND(C40*F27,4)</f>
        <v>6.9999999999999999E-4</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704473734</v>
      </c>
      <c r="D49" s="275"/>
      <c r="E49" s="275"/>
      <c r="F49" s="307"/>
      <c r="G49" s="277" t="s">
        <v>2404</v>
      </c>
    </row>
    <row r="50" spans="1:7" s="301" customFormat="1">
      <c r="A50" s="298" t="s">
        <v>2405</v>
      </c>
      <c r="B50" s="253" t="s">
        <v>2406</v>
      </c>
      <c r="C50" s="275"/>
      <c r="D50" s="275"/>
      <c r="E50" s="275"/>
      <c r="F50" s="307">
        <f>IF('数据-取费表'!B24=0,'数据-取费表'!N16,1)</f>
        <v>1</v>
      </c>
      <c r="G50" s="290"/>
    </row>
    <row r="51" spans="1:7" ht="16.5" customHeight="1">
      <c r="A51" s="298" t="s">
        <v>2408</v>
      </c>
      <c r="B51" s="253" t="s">
        <v>2443</v>
      </c>
      <c r="C51" s="275">
        <f ca="1">ROUND(C49*F50,0)</f>
        <v>704473734</v>
      </c>
      <c r="D51" s="275"/>
      <c r="E51" s="275"/>
      <c r="F51" s="307"/>
      <c r="G51" s="277" t="s">
        <v>2410</v>
      </c>
    </row>
    <row r="52" spans="1:7" s="251" customFormat="1" ht="16.5" thickBot="1">
      <c r="A52" s="308" t="s">
        <v>2411</v>
      </c>
      <c r="B52" s="309"/>
      <c r="C52" s="310">
        <f ca="1">C31+C51</f>
        <v>814273168</v>
      </c>
      <c r="D52" s="309"/>
      <c r="E52" s="309"/>
      <c r="F52" s="309"/>
      <c r="G52" s="311"/>
    </row>
    <row r="55" spans="1:7" ht="15">
      <c r="B55" s="313" t="s">
        <v>2412</v>
      </c>
      <c r="C55" s="314"/>
    </row>
    <row r="56" spans="1:7">
      <c r="B56" s="316" t="s">
        <v>1510</v>
      </c>
      <c r="C56" s="318">
        <f ca="1">1-C57</f>
        <v>0.13500000000000001</v>
      </c>
    </row>
    <row r="57" spans="1:7">
      <c r="B57" s="316" t="s">
        <v>1511</v>
      </c>
      <c r="C57" s="317">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2" sqref="H12"/>
    </sheetView>
  </sheetViews>
  <sheetFormatPr defaultColWidth="12" defaultRowHeight="12.75"/>
  <cols>
    <col min="1" max="1" width="9.75" style="2796"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2784</v>
      </c>
      <c r="B1" s="240"/>
      <c r="C1" s="244" t="s">
        <v>2785</v>
      </c>
      <c r="D1" s="387">
        <f>SUM(D29:D30,D33:D39)</f>
        <v>163810</v>
      </c>
      <c r="E1" s="2717"/>
      <c r="F1" s="2717"/>
      <c r="G1" s="2717"/>
      <c r="H1" s="2717"/>
      <c r="I1" s="2717"/>
      <c r="J1" s="2717"/>
      <c r="K1" s="1372"/>
      <c r="L1" s="2718" t="s">
        <v>2786</v>
      </c>
      <c r="M1" s="1082">
        <f>SUMPRODUCT((区片价!B5:B9=I2)*(区片价!C3:F3=E2)*(区片价!C5:F9))</f>
        <v>0</v>
      </c>
      <c r="N1" s="1085">
        <f>SUMPRODUCT((因素修正幅度!B5:B9=I2)*(因素修正幅度!C3:F3=E2)*(因素修正幅度!C5:F9))</f>
        <v>0</v>
      </c>
      <c r="O1" s="2719"/>
      <c r="P1" s="2719"/>
      <c r="Q1" s="1372"/>
      <c r="R1" s="1603" t="s">
        <v>2787</v>
      </c>
      <c r="S1" s="1603" t="s">
        <v>2788</v>
      </c>
      <c r="T1" s="1603" t="s">
        <v>2789</v>
      </c>
      <c r="U1" s="1603" t="s">
        <v>2790</v>
      </c>
      <c r="V1" s="1603" t="s">
        <v>2791</v>
      </c>
      <c r="W1" s="1607"/>
      <c r="X1" s="1607"/>
      <c r="Y1" s="1607"/>
      <c r="Z1" s="1607"/>
      <c r="AA1" s="1607"/>
      <c r="AB1" s="1607"/>
      <c r="AC1" s="1608"/>
      <c r="AD1" s="1609"/>
      <c r="AE1" s="1609"/>
      <c r="AF1" s="1609"/>
      <c r="AG1" s="1609"/>
      <c r="AH1" s="1609"/>
      <c r="AI1" s="1609"/>
      <c r="AJ1" s="1610"/>
    </row>
    <row r="2" spans="1:36" ht="15.75">
      <c r="A2" s="244" t="s">
        <v>2792</v>
      </c>
      <c r="B2" s="247">
        <f ca="1">C26</f>
        <v>80199</v>
      </c>
      <c r="C2" s="2721" t="s">
        <v>2793</v>
      </c>
      <c r="D2" s="2722" t="s">
        <v>2794</v>
      </c>
      <c r="E2" s="2723" t="s">
        <v>3109</v>
      </c>
      <c r="F2" s="2722" t="s">
        <v>2795</v>
      </c>
      <c r="G2" s="2724" t="str">
        <f>IF(E2="商业",项目基本情况!B37,IF(E2="办公",项目基本情况!C37,IF(E2="住宅",项目基本情况!D37,项目基本情况!E37)))</f>
        <v>八级</v>
      </c>
      <c r="H2" s="2722" t="s">
        <v>2796</v>
      </c>
      <c r="I2" s="2724" t="str">
        <f>IF(E2="商业",项目基本情况!B38,IF(E2="办公",项目基本情况!C38,IF(E2="住宅",项目基本情况!D38,项目基本情况!E38)))</f>
        <v>Ⅷ-昌2</v>
      </c>
      <c r="J2" s="2725"/>
      <c r="K2" s="1372"/>
      <c r="L2" s="2726" t="s">
        <v>2797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13228</v>
      </c>
      <c r="U2" s="1604"/>
      <c r="V2" s="1603">
        <f ca="1">ROUND(T2*U2/10000,0)</f>
        <v>0</v>
      </c>
      <c r="W2" s="1607"/>
      <c r="X2" s="1607"/>
      <c r="Y2" s="1607"/>
      <c r="Z2" s="1607"/>
      <c r="AA2" s="1607"/>
      <c r="AB2" s="1607"/>
      <c r="AC2" s="1608"/>
      <c r="AD2" s="1609"/>
      <c r="AE2" s="1609"/>
      <c r="AF2" s="1609"/>
      <c r="AG2" s="1609"/>
      <c r="AH2" s="1609"/>
      <c r="AI2" s="1609"/>
      <c r="AJ2" s="1610"/>
    </row>
    <row r="3" spans="1:36" ht="25.5">
      <c r="A3" s="246" t="s">
        <v>2798</v>
      </c>
      <c r="B3" s="247">
        <f ca="1">ROUND(B2*10000/D1,0)</f>
        <v>4896</v>
      </c>
      <c r="C3" s="2721" t="s">
        <v>2799</v>
      </c>
      <c r="D3" s="2722" t="s">
        <v>2800</v>
      </c>
      <c r="E3" s="2727" t="s">
        <v>3135</v>
      </c>
      <c r="F3" s="2728" t="s">
        <v>2801</v>
      </c>
      <c r="G3" s="915">
        <f>IF(F3="宗地容积率",'数据-汇总表'!I4,IF(F3="估价对象容积率",'数据-汇总表'!I6,'数据-汇总表'!I7))</f>
        <v>2.88</v>
      </c>
      <c r="H3" s="197" t="s">
        <v>2802</v>
      </c>
      <c r="I3" s="946"/>
      <c r="J3" s="2725" t="s">
        <v>2803</v>
      </c>
      <c r="K3" s="1372"/>
      <c r="L3" s="2726" t="s">
        <v>2804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8718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0"/>
      <c r="B4" s="3261"/>
      <c r="C4" s="3261"/>
      <c r="D4" s="3262"/>
      <c r="E4" s="3262"/>
      <c r="F4" s="3262"/>
      <c r="G4" s="3262"/>
      <c r="H4" s="3262"/>
      <c r="I4" s="3262"/>
      <c r="J4" s="3263"/>
      <c r="K4" s="1372"/>
      <c r="L4" s="2726" t="s">
        <v>2805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6860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806</v>
      </c>
      <c r="B5" s="2730" t="s">
        <v>2806</v>
      </c>
      <c r="C5" s="916">
        <f>ROUND(IF(E2="商业",IF(F16="增加",C6*C7+C16,C6*C7-C16),IF(E2="住宅",IF(F16="增加",C6*C12+C16,C6*C12-C16),IF(F16="增加",C6+C16,C6-C16)))*0.7,0)</f>
        <v>4414</v>
      </c>
      <c r="D5" s="1788">
        <f>ROUND(IF(E2="商业",IF(F16="增加",C6+C16,C6-C16)),0)</f>
        <v>0</v>
      </c>
      <c r="E5" s="2731"/>
      <c r="F5" s="2731"/>
      <c r="G5" s="2732"/>
      <c r="H5" s="2732"/>
      <c r="I5" s="2732"/>
      <c r="J5" s="2733"/>
      <c r="K5" s="2734"/>
      <c r="L5" s="2726" t="s">
        <v>2807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5126</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2808</v>
      </c>
      <c r="B6" s="2740" t="s">
        <v>2809</v>
      </c>
      <c r="C6" s="917">
        <f>SUMIF(L1:L12,G2,M1:M12)</f>
        <v>5690</v>
      </c>
      <c r="D6" s="2741" t="s">
        <v>2810</v>
      </c>
      <c r="E6" s="2742"/>
      <c r="F6" s="2742"/>
      <c r="G6" s="2743"/>
      <c r="H6" s="2743"/>
      <c r="I6" s="2743"/>
      <c r="J6" s="2744"/>
      <c r="K6" s="1843"/>
      <c r="L6" s="2726" t="s">
        <v>2811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3855</v>
      </c>
      <c r="U6" s="1604"/>
      <c r="V6" s="1603">
        <f t="shared" ca="1" si="1"/>
        <v>0</v>
      </c>
      <c r="W6" s="1607"/>
      <c r="X6" s="1607"/>
      <c r="Y6" s="1607"/>
      <c r="Z6" s="1607"/>
      <c r="AA6" s="1607"/>
      <c r="AB6" s="1607"/>
      <c r="AC6" s="2735"/>
      <c r="AD6" s="2736"/>
      <c r="AE6" s="2736"/>
      <c r="AF6" s="2736"/>
      <c r="AG6" s="2736"/>
      <c r="AH6" s="2736"/>
      <c r="AI6" s="2736"/>
      <c r="AJ6" s="2737"/>
    </row>
    <row r="7" spans="1:36" ht="24">
      <c r="A7" s="3246" t="str">
        <f>IF(E2="商业",IF(C8="不临58条商业街","",2),"")</f>
        <v/>
      </c>
      <c r="B7" s="2745" t="s">
        <v>2812</v>
      </c>
      <c r="C7" s="918">
        <f>IF(C8="不临58条商业街",1,ROUND(1+(1.6*E8+1.2*E9+0.8*E10+0.4*E11)*C9,4))</f>
        <v>1</v>
      </c>
      <c r="D7" s="2746" t="s">
        <v>2813</v>
      </c>
      <c r="E7" s="947">
        <v>60</v>
      </c>
      <c r="F7" s="2747"/>
      <c r="G7" s="2748"/>
      <c r="H7" s="2748"/>
      <c r="I7" s="2748"/>
      <c r="J7" s="2749"/>
      <c r="K7" s="1843"/>
      <c r="L7" s="2726" t="s">
        <v>2814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3082</v>
      </c>
      <c r="U7" s="1604"/>
      <c r="V7" s="1603">
        <f t="shared" ca="1" si="1"/>
        <v>0</v>
      </c>
      <c r="W7" s="1817" t="s">
        <v>2815</v>
      </c>
      <c r="X7" s="1605" t="str">
        <f>G2</f>
        <v>八级</v>
      </c>
      <c r="Y7" s="1605" t="s">
        <v>2816</v>
      </c>
      <c r="Z7" s="1606">
        <f>G3</f>
        <v>2.88</v>
      </c>
      <c r="AA7" s="1607"/>
      <c r="AB7" s="1607"/>
      <c r="AC7" s="1608"/>
      <c r="AD7" s="1609"/>
      <c r="AE7" s="1609"/>
      <c r="AF7" s="1609"/>
      <c r="AG7" s="1609"/>
      <c r="AH7" s="1609"/>
      <c r="AI7" s="1609"/>
      <c r="AJ7" s="1610"/>
    </row>
    <row r="8" spans="1:36" ht="25.5">
      <c r="A8" s="3247"/>
      <c r="B8" s="197" t="s">
        <v>2817</v>
      </c>
      <c r="C8" s="2750" t="s">
        <v>3136</v>
      </c>
      <c r="D8" s="919" t="s">
        <v>139</v>
      </c>
      <c r="E8" s="920">
        <f>ROUND(C11/E7,4)</f>
        <v>0</v>
      </c>
      <c r="F8" s="2751" t="s">
        <v>2818</v>
      </c>
      <c r="G8" s="2752"/>
      <c r="H8" s="2752"/>
      <c r="I8" s="2752"/>
      <c r="J8" s="2753"/>
      <c r="K8" s="1372"/>
      <c r="L8" s="2726" t="s">
        <v>2819</v>
      </c>
      <c r="M8" s="1083">
        <f>SUMPRODUCT((区片价!B206:B244=I2)*(区片价!C3:F3=E2)*(区片价!C206:F244))</f>
        <v>5690</v>
      </c>
      <c r="N8" s="1085">
        <f>SUMPRODUCT((因素修正幅度!B206:B244=I2)*(因素修正幅度!C3:F3=E2)*(因素修正幅度!C206:F244))</f>
        <v>0.15</v>
      </c>
      <c r="O8" s="1372"/>
      <c r="P8" s="1372"/>
      <c r="Q8" s="1372"/>
      <c r="R8" s="1603">
        <v>7</v>
      </c>
      <c r="S8" s="1604"/>
      <c r="T8" s="1603">
        <f t="shared" ca="1" si="0"/>
        <v>0</v>
      </c>
      <c r="U8" s="1604"/>
      <c r="V8" s="1603">
        <f t="shared" ca="1" si="1"/>
        <v>0</v>
      </c>
      <c r="W8" s="3257" t="s">
        <v>2820</v>
      </c>
      <c r="X8" s="3258"/>
      <c r="Y8" s="1611" t="s">
        <v>2821</v>
      </c>
      <c r="Z8" s="1611" t="s">
        <v>2822</v>
      </c>
      <c r="AA8" s="1611" t="s">
        <v>2823</v>
      </c>
      <c r="AB8" s="1611" t="s">
        <v>2824</v>
      </c>
      <c r="AC8" s="1611" t="s">
        <v>2825</v>
      </c>
      <c r="AD8" s="1611" t="s">
        <v>2826</v>
      </c>
      <c r="AE8" s="1611" t="s">
        <v>2827</v>
      </c>
      <c r="AF8" s="1611" t="s">
        <v>2828</v>
      </c>
      <c r="AG8" s="1611" t="s">
        <v>2829</v>
      </c>
      <c r="AH8" s="1611" t="s">
        <v>2830</v>
      </c>
      <c r="AI8" s="1611" t="s">
        <v>2831</v>
      </c>
      <c r="AJ8" s="1611" t="s">
        <v>2832</v>
      </c>
    </row>
    <row r="9" spans="1:36" ht="15">
      <c r="A9" s="3247"/>
      <c r="B9" s="197" t="s">
        <v>2833</v>
      </c>
      <c r="C9" s="921">
        <f>SUMIF(修正!C59:C119,C8,修正!E59:E119)</f>
        <v>0</v>
      </c>
      <c r="D9" s="199" t="s">
        <v>140</v>
      </c>
      <c r="E9" s="199">
        <f>ROUND(C11/E7,4)</f>
        <v>0</v>
      </c>
      <c r="F9" s="2751" t="s">
        <v>2834</v>
      </c>
      <c r="G9" s="2752"/>
      <c r="H9" s="2752"/>
      <c r="I9" s="2752"/>
      <c r="J9" s="2753"/>
      <c r="K9" s="1372"/>
      <c r="L9" s="2726" t="s">
        <v>2835</v>
      </c>
      <c r="M9" s="1083">
        <f>SUMPRODUCT((区片价!B245:B289=I2)*(区片价!C3:F3=E2)*(区片价!C245:F289))</f>
        <v>0</v>
      </c>
      <c r="N9" s="1085">
        <f>SUMPRODUCT((因素修正幅度!B245:B289=I2)*(因素修正幅度!C3:F3=E2)*(因素修正幅度!C245:F289))</f>
        <v>0</v>
      </c>
      <c r="O9" s="1372"/>
      <c r="P9" s="1372"/>
      <c r="Q9" s="1372"/>
      <c r="R9" s="1603">
        <v>8</v>
      </c>
      <c r="S9" s="1604"/>
      <c r="T9" s="1603">
        <f t="shared" ca="1" si="0"/>
        <v>0</v>
      </c>
      <c r="U9" s="1604"/>
      <c r="V9" s="1603">
        <f t="shared" ca="1" si="1"/>
        <v>0</v>
      </c>
      <c r="W9" s="3259" t="s">
        <v>2836</v>
      </c>
      <c r="X9" s="1612" t="s">
        <v>2837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7"/>
      <c r="B10" s="197" t="s">
        <v>2838</v>
      </c>
      <c r="C10" s="199">
        <f>SUMIF(修正!C59:C119,C8,修正!F59:F119)</f>
        <v>0</v>
      </c>
      <c r="D10" s="199" t="s">
        <v>141</v>
      </c>
      <c r="E10" s="199">
        <f>ROUND(C11/E7,4)</f>
        <v>0</v>
      </c>
      <c r="F10" s="2751" t="s">
        <v>2839</v>
      </c>
      <c r="G10" s="2752"/>
      <c r="H10" s="2752"/>
      <c r="I10" s="2752"/>
      <c r="J10" s="2753"/>
      <c r="K10" s="1372"/>
      <c r="L10" s="2726" t="s">
        <v>2840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f t="shared" ca="1" si="0"/>
        <v>0</v>
      </c>
      <c r="U10" s="1604"/>
      <c r="V10" s="1603">
        <f t="shared" ca="1" si="1"/>
        <v>0</v>
      </c>
      <c r="W10" s="325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7"/>
      <c r="B11" s="2754" t="s">
        <v>2841</v>
      </c>
      <c r="C11" s="922">
        <f>C10/4</f>
        <v>0</v>
      </c>
      <c r="D11" s="922" t="s">
        <v>142</v>
      </c>
      <c r="E11" s="922">
        <f>ROUND(C11/E7,4)</f>
        <v>0</v>
      </c>
      <c r="F11" s="2755" t="s">
        <v>2842</v>
      </c>
      <c r="G11" s="2756"/>
      <c r="H11" s="2756"/>
      <c r="I11" s="2756"/>
      <c r="J11" s="2757"/>
      <c r="K11" s="1372"/>
      <c r="L11" s="2726" t="s">
        <v>2843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f t="shared" ca="1" si="0"/>
        <v>0</v>
      </c>
      <c r="U11" s="1604"/>
      <c r="V11" s="1603">
        <f t="shared" ca="1" si="1"/>
        <v>0</v>
      </c>
      <c r="W11" s="3259" t="s">
        <v>2844</v>
      </c>
      <c r="X11" s="1615" t="s">
        <v>2845</v>
      </c>
      <c r="Y11" s="1616">
        <f>$G$3</f>
        <v>2.88</v>
      </c>
      <c r="Z11" s="1616">
        <f t="shared" ref="Z11:AJ11" si="3">$G$3</f>
        <v>2.88</v>
      </c>
      <c r="AA11" s="1616">
        <f t="shared" si="3"/>
        <v>2.88</v>
      </c>
      <c r="AB11" s="1616">
        <f t="shared" si="3"/>
        <v>2.88</v>
      </c>
      <c r="AC11" s="1616">
        <f t="shared" si="3"/>
        <v>2.88</v>
      </c>
      <c r="AD11" s="1616">
        <f t="shared" si="3"/>
        <v>2.88</v>
      </c>
      <c r="AE11" s="1616">
        <f t="shared" si="3"/>
        <v>2.88</v>
      </c>
      <c r="AF11" s="1616">
        <f t="shared" si="3"/>
        <v>2.88</v>
      </c>
      <c r="AG11" s="1616">
        <f t="shared" si="3"/>
        <v>2.88</v>
      </c>
      <c r="AH11" s="1616">
        <f t="shared" si="3"/>
        <v>2.88</v>
      </c>
      <c r="AI11" s="1616">
        <f t="shared" si="3"/>
        <v>2.88</v>
      </c>
      <c r="AJ11" s="1616">
        <f t="shared" si="3"/>
        <v>2.88</v>
      </c>
    </row>
    <row r="12" spans="1:36" ht="25.5" thickBot="1">
      <c r="A12" s="3246" t="s">
        <v>2846</v>
      </c>
      <c r="B12" s="2758" t="s">
        <v>2847</v>
      </c>
      <c r="C12" s="918">
        <f>ROUND(C15*D15*E15*F15*G15*H15*I15*J15,4)</f>
        <v>1.1000000000000001</v>
      </c>
      <c r="D12" s="2759" t="s">
        <v>2848</v>
      </c>
      <c r="E12" s="2760"/>
      <c r="F12" s="2760"/>
      <c r="G12" s="2761"/>
      <c r="H12" s="2761"/>
      <c r="I12" s="2761"/>
      <c r="J12" s="2762"/>
      <c r="K12" s="1372"/>
      <c r="L12" s="2763" t="s">
        <v>2849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f t="shared" ca="1" si="0"/>
        <v>0</v>
      </c>
      <c r="U12" s="1604"/>
      <c r="V12" s="1603">
        <f t="shared" ca="1" si="1"/>
        <v>0</v>
      </c>
      <c r="W12" s="3259"/>
      <c r="X12" s="1617" t="s">
        <v>2850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4"/>
      <c r="B13" s="2764" t="s">
        <v>2851</v>
      </c>
      <c r="C13" s="2765" t="s">
        <v>2852</v>
      </c>
      <c r="D13" s="1809" t="s">
        <v>2853</v>
      </c>
      <c r="E13" s="1809" t="s">
        <v>2854</v>
      </c>
      <c r="F13" s="30" t="s">
        <v>2855</v>
      </c>
      <c r="G13" s="2766" t="s">
        <v>2856</v>
      </c>
      <c r="H13" s="2766" t="s">
        <v>2856</v>
      </c>
      <c r="I13" s="2766" t="s">
        <v>2856</v>
      </c>
      <c r="J13" s="2767" t="s">
        <v>2856</v>
      </c>
      <c r="K13" s="1372"/>
      <c r="L13" s="1372"/>
      <c r="M13" s="1372"/>
      <c r="N13" s="1372"/>
      <c r="O13" s="1372"/>
      <c r="P13" s="1372"/>
      <c r="Q13" s="1372"/>
      <c r="R13" s="1603">
        <v>12</v>
      </c>
      <c r="S13" s="1604"/>
      <c r="T13" s="1603">
        <f t="shared" ca="1" si="0"/>
        <v>0</v>
      </c>
      <c r="U13" s="1604"/>
      <c r="V13" s="1603">
        <f t="shared" ca="1" si="1"/>
        <v>0</v>
      </c>
      <c r="W13" s="3259"/>
      <c r="X13" s="1617"/>
      <c r="Y13" s="1614">
        <f>(-0.163*(Y12^2)-0.59*Y12+7617)*(10^(-4))/Y11</f>
        <v>0.26447916666666671</v>
      </c>
      <c r="Z13" s="1614">
        <f t="shared" ref="Z13:AJ13" si="5">(-0.163*(Z12^2)-0.59*Z12+7617)*(10^(-4))/Z11</f>
        <v>0.26447916666666671</v>
      </c>
      <c r="AA13" s="1614">
        <f t="shared" si="5"/>
        <v>0.26447916666666671</v>
      </c>
      <c r="AB13" s="1614">
        <f t="shared" si="5"/>
        <v>0.26447916666666671</v>
      </c>
      <c r="AC13" s="1614">
        <f t="shared" si="5"/>
        <v>0.26447916666666671</v>
      </c>
      <c r="AD13" s="1614">
        <f t="shared" si="5"/>
        <v>0.26447916666666671</v>
      </c>
      <c r="AE13" s="1614">
        <f t="shared" si="5"/>
        <v>0.26447916666666671</v>
      </c>
      <c r="AF13" s="1614">
        <f t="shared" si="5"/>
        <v>0.26447916666666671</v>
      </c>
      <c r="AG13" s="1614">
        <f t="shared" si="5"/>
        <v>0.26447916666666671</v>
      </c>
      <c r="AH13" s="1614">
        <f t="shared" si="5"/>
        <v>0.26447916666666671</v>
      </c>
      <c r="AI13" s="1614">
        <f t="shared" si="5"/>
        <v>0.26447916666666671</v>
      </c>
      <c r="AJ13" s="1614">
        <f t="shared" si="5"/>
        <v>0.26447916666666671</v>
      </c>
    </row>
    <row r="14" spans="1:36" ht="15">
      <c r="A14" s="3264"/>
      <c r="B14" s="2768"/>
      <c r="C14" s="2769" t="s">
        <v>3032</v>
      </c>
      <c r="D14" s="2770" t="s">
        <v>3137</v>
      </c>
      <c r="E14" s="2770" t="s">
        <v>3032</v>
      </c>
      <c r="F14" s="2771" t="s">
        <v>3138</v>
      </c>
      <c r="G14" s="2772" t="s">
        <v>2857</v>
      </c>
      <c r="H14" s="2773"/>
      <c r="I14" s="2774"/>
      <c r="J14" s="2775"/>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5"/>
      <c r="B15" s="2776" t="s">
        <v>2858</v>
      </c>
      <c r="C15" s="228">
        <f>IF(C14="有",1.1,1)</f>
        <v>1</v>
      </c>
      <c r="D15" s="228">
        <f>IF(D14="有",1.1,1)</f>
        <v>1.1000000000000001</v>
      </c>
      <c r="E15" s="228">
        <f>IF(E14="有",1.1,1)</f>
        <v>1</v>
      </c>
      <c r="F15" s="228">
        <f>IF(F14="500米范围内",1.2,IF(F14="500-1000米",1.1,1))</f>
        <v>1</v>
      </c>
      <c r="G15" s="948">
        <v>1</v>
      </c>
      <c r="H15" s="948">
        <v>1</v>
      </c>
      <c r="I15" s="948">
        <v>1</v>
      </c>
      <c r="J15" s="949">
        <v>1</v>
      </c>
      <c r="K15" s="1372"/>
      <c r="L15" s="2777" t="s">
        <v>2794</v>
      </c>
      <c r="M15" s="919" t="s">
        <v>2859</v>
      </c>
      <c r="N15" s="919" t="s">
        <v>2860</v>
      </c>
      <c r="O15" s="919" t="s">
        <v>2861</v>
      </c>
      <c r="P15" s="2778" t="s">
        <v>2862</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6" t="s">
        <v>2863</v>
      </c>
      <c r="B16" s="2745" t="s">
        <v>2864</v>
      </c>
      <c r="C16" s="1802">
        <f>ROUND(SUM(G17:J17)/C17,0)</f>
        <v>47</v>
      </c>
      <c r="D16" s="2779" t="s">
        <v>2865</v>
      </c>
      <c r="E16" s="2780" t="s">
        <v>3139</v>
      </c>
      <c r="F16" s="2781" t="s">
        <v>3140</v>
      </c>
      <c r="G16" s="2782" t="s">
        <v>3039</v>
      </c>
      <c r="H16" s="2782" t="s">
        <v>3038</v>
      </c>
      <c r="I16" s="2782"/>
      <c r="J16" s="2783"/>
      <c r="K16" s="1372"/>
      <c r="L16" s="2784" t="s">
        <v>2866</v>
      </c>
      <c r="M16" s="921">
        <v>0.25</v>
      </c>
      <c r="N16" s="921">
        <v>0.2</v>
      </c>
      <c r="O16" s="921">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7"/>
      <c r="B17" s="2785" t="s">
        <v>2867</v>
      </c>
      <c r="C17" s="923">
        <f>SUMPRODUCT((修正!A2:A5=E2)*(修正!B1:M1=G2)*(修正!B2:M5))</f>
        <v>1.5</v>
      </c>
      <c r="D17" s="2786" t="s">
        <v>2868</v>
      </c>
      <c r="E17" s="922" t="str">
        <f>IF(OR(G2="八级",G2="九级",G2="十级",G2="十一级",G2="十二级"),"五通一平","七通一平")</f>
        <v>五通一平</v>
      </c>
      <c r="F17" s="923" t="s">
        <v>2869</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87" t="s">
        <v>2870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807</v>
      </c>
      <c r="B18" s="2790" t="s">
        <v>2871</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808</v>
      </c>
      <c r="B19" s="2790" t="s">
        <v>2872</v>
      </c>
      <c r="C19" s="926">
        <f>ROUND(IF(H19="按公示增长率计算",SUMPRODUCT((地价!A3:A21=YEAR(G19)&amp;"-"&amp;ROUNDUP(MONTH(G19)/3,0))*(地价!X2:AB2=E2)*(地价!X3:AB21)),IF(H19="地价指数",M20/M19,(1+I19)^O19)),4)</f>
        <v>1.4577</v>
      </c>
      <c r="D19" s="2797" t="s">
        <v>2873</v>
      </c>
      <c r="E19" s="927">
        <v>41640</v>
      </c>
      <c r="F19" s="2797" t="s">
        <v>2874</v>
      </c>
      <c r="G19" s="928">
        <f>'数据-取费表'!B2</f>
        <v>42990</v>
      </c>
      <c r="H19" s="2798" t="s">
        <v>3141</v>
      </c>
      <c r="I19" s="929" t="str">
        <f>IF(H19="季度增幅（自定义）",SUMIF(N21:N24,E2,O21:O24),"")</f>
        <v/>
      </c>
      <c r="J19" s="2795"/>
      <c r="K19" s="1379"/>
      <c r="L19" s="2799" t="s">
        <v>2875</v>
      </c>
      <c r="M19" s="1735">
        <f>ROUND(SUMIF(地价!B2:F2,E2,地价!B21:F21),0)</f>
        <v>423</v>
      </c>
      <c r="N19" s="2800" t="s">
        <v>2876</v>
      </c>
      <c r="O19" s="930">
        <f>ROUNDDOWN(DATEDIF(E19,G19,"M")/3,0)</f>
        <v>14</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809</v>
      </c>
      <c r="B20" s="2805" t="s">
        <v>2877</v>
      </c>
      <c r="C20" s="931">
        <f ca="1">ROUND(POWER(1+G20,J20-I20)*(POWER(1+G20,I20)-1)/(POWER(1+G20,J20)-1),4)</f>
        <v>0.99519999999999997</v>
      </c>
      <c r="D20" s="2806" t="s">
        <v>2878</v>
      </c>
      <c r="E20" s="1769">
        <f ca="1">存贷款利率!D4/100</f>
        <v>4.3499999999999997E-2</v>
      </c>
      <c r="F20" s="2806" t="s">
        <v>2870</v>
      </c>
      <c r="G20" s="936">
        <f ca="1">SUMIF(M15:P15,E2,M17:P17)</f>
        <v>0.05</v>
      </c>
      <c r="H20" s="2806" t="s">
        <v>2879</v>
      </c>
      <c r="I20" s="937">
        <f>SUMIF('数据-取费表'!C6:C15,E2,'数据-取费表'!F6:F15)/COUNTIF('数据-取费表'!C6:C15,E2)</f>
        <v>67.3</v>
      </c>
      <c r="J20" s="938">
        <f>IF(E2="住宅",70,IF(E2="商业",40,50))</f>
        <v>70</v>
      </c>
      <c r="K20" s="1379"/>
      <c r="L20" s="2807" t="s">
        <v>2880</v>
      </c>
      <c r="M20" s="1736">
        <f>ROUND(SUMPRODUCT((地价!A4:A21=YEAR(G19)&amp;"-"&amp;ROUNDUP(MONTH(G19)/3,0))*(地价!B2:F2=E2)*(地价!B4:F21)),0)</f>
        <v>616</v>
      </c>
      <c r="N20" s="2808" t="s">
        <v>2881</v>
      </c>
      <c r="O20" s="2809" t="s">
        <v>2882</v>
      </c>
      <c r="P20" s="2810" t="s">
        <v>2883</v>
      </c>
      <c r="R20" s="1378"/>
      <c r="S20" s="1378"/>
      <c r="T20" s="1373"/>
      <c r="U20" s="1373"/>
      <c r="V20" s="1373"/>
      <c r="W20" s="1372"/>
      <c r="X20" s="1372"/>
      <c r="Y20" s="1372"/>
      <c r="Z20" s="1379"/>
      <c r="AA20" s="1380"/>
      <c r="AB20" s="1380"/>
      <c r="AC20" s="1380"/>
      <c r="AD20" s="1380"/>
      <c r="AE20" s="1380"/>
      <c r="AF20" s="1380"/>
    </row>
    <row r="21" spans="1:37" s="2738" customFormat="1" ht="15">
      <c r="A21" s="2811" t="s">
        <v>810</v>
      </c>
      <c r="B21" s="3298" t="s">
        <v>3142</v>
      </c>
      <c r="C21" s="939">
        <f>IF(B21="容积率修正",IF(G3&lt;=10,D22,J22),C23)</f>
        <v>0.83020000000000005</v>
      </c>
      <c r="D21" s="2812"/>
      <c r="E21" s="2812"/>
      <c r="F21" s="2812"/>
      <c r="G21" s="2812"/>
      <c r="H21" s="2812"/>
      <c r="I21" s="2812"/>
      <c r="J21" s="2813"/>
      <c r="K21" s="1379"/>
      <c r="N21" s="2814" t="s">
        <v>2884</v>
      </c>
      <c r="O21" s="1563"/>
      <c r="P21" s="1564">
        <f>SUMPRODUCT((地价!A3:A21=YEAR(G19)&amp;"-"&amp;ROUNDUP(MONTH(G19)/3,0))*(地价!AD2:AH2=N21)*(地价!AD3:AH21))</f>
        <v>1.6400000000000001E-2</v>
      </c>
      <c r="R21" s="1378"/>
      <c r="S21" s="1378"/>
      <c r="T21" s="1373"/>
      <c r="U21" s="1373"/>
      <c r="V21" s="1373"/>
      <c r="W21" s="1372"/>
      <c r="X21" s="1372"/>
      <c r="Y21" s="1372"/>
      <c r="Z21" s="1379"/>
      <c r="AA21" s="1380"/>
      <c r="AB21" s="1380"/>
      <c r="AC21" s="1380"/>
      <c r="AD21" s="1380"/>
      <c r="AE21" s="1380"/>
      <c r="AF21" s="1380"/>
    </row>
    <row r="22" spans="1:37" s="2738" customFormat="1" ht="14.25">
      <c r="A22" s="2664" t="s">
        <v>2885</v>
      </c>
      <c r="B22" s="2815" t="s">
        <v>2886</v>
      </c>
      <c r="C22" s="1811" t="s">
        <v>2887</v>
      </c>
      <c r="D22" s="1811">
        <f>IF(E22=G22,F22,IF(G3&lt;=10,ROUND(F22+(H22-F22)*(G3-E22)/(G22-E22),4),"——"))</f>
        <v>0.83020000000000005</v>
      </c>
      <c r="E22" s="915">
        <f>ROUNDDOWN(G3,1)</f>
        <v>2.8</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15">
        <f>ROUNDUP(G3,1)</f>
        <v>2.9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0.82850000000000001</v>
      </c>
      <c r="I22" s="1811" t="s">
        <v>155</v>
      </c>
      <c r="J22" s="940" t="str">
        <f>IF(G3&gt;10,D113,"——")</f>
        <v>——</v>
      </c>
      <c r="K22" s="1379"/>
      <c r="N22" s="2814" t="s">
        <v>2888</v>
      </c>
      <c r="O22" s="1563"/>
      <c r="P22" s="1564">
        <f>SUMPRODUCT((地价!A3:A21=YEAR(G19)&amp;"-"&amp;ROUNDUP(MONTH(G19)/3,0))*(地价!AD2:AH2=N22)*(地价!AD3:AH21))</f>
        <v>1.6400000000000001E-2</v>
      </c>
      <c r="R22" s="1378"/>
      <c r="S22" s="1378"/>
      <c r="T22" s="1373"/>
      <c r="U22" s="1373"/>
      <c r="V22" s="1373"/>
      <c r="W22" s="1372"/>
      <c r="X22" s="1372"/>
      <c r="Y22" s="1372"/>
      <c r="Z22" s="1379"/>
      <c r="AA22" s="1380"/>
      <c r="AB22" s="1380"/>
      <c r="AC22" s="1380"/>
      <c r="AD22" s="1380"/>
      <c r="AE22" s="1380"/>
      <c r="AF22" s="1380"/>
    </row>
    <row r="23" spans="1:37" ht="27.75" thickBot="1">
      <c r="A23" s="2664" t="s">
        <v>2889</v>
      </c>
      <c r="B23" s="2816" t="s">
        <v>2890</v>
      </c>
      <c r="C23" s="1015">
        <f>ROUND(IF(G3&gt;1,IF(I3&lt;7,SUMPRODUCT((B93:B98=I3)*(C92:N92=G2)*(C93:N98)),SUMIF(C92:N92,G2,C100:N100)),IF(I3&lt;7,SUMPRODUCT((B102:B107=I3)*(C92:N92=G2)*(C102:N107)),SUMIF(C92:N92,G2,C109:N109))),4)</f>
        <v>0</v>
      </c>
      <c r="D23" s="2773"/>
      <c r="E23" s="2773"/>
      <c r="F23" s="2817"/>
      <c r="G23" s="2818"/>
      <c r="H23" s="2819"/>
      <c r="I23" s="2820"/>
      <c r="J23" s="2821"/>
      <c r="K23" s="1372"/>
      <c r="N23" s="2814" t="s">
        <v>2891</v>
      </c>
      <c r="O23" s="1563"/>
      <c r="P23" s="1564">
        <f>SUMPRODUCT((地价!A3:A21=YEAR(G19)&amp;"-"&amp;ROUNDUP(MONTH(G19)/3,0))*(地价!AD2:AH2=N23)*(地价!AD3:AH21))</f>
        <v>2.7799999999999998E-2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811</v>
      </c>
      <c r="B24" s="2790" t="s">
        <v>2892</v>
      </c>
      <c r="C24" s="926">
        <f>SUMIF(A45:A88,E2,B45:B88)</f>
        <v>1.0637000000000001</v>
      </c>
      <c r="D24" s="2793"/>
      <c r="E24" s="2822"/>
      <c r="F24" s="2822"/>
      <c r="G24" s="2822"/>
      <c r="H24" s="2822"/>
      <c r="I24" s="2822"/>
      <c r="J24" s="2823"/>
      <c r="K24" s="1379"/>
      <c r="N24" s="2824" t="s">
        <v>2893</v>
      </c>
      <c r="O24" s="1565"/>
      <c r="P24" s="1566">
        <f>SUMPRODUCT((地价!A3:A21=YEAR(G19)&amp;"-"&amp;ROUNDUP(MONTH(G19)/3,0))*(地价!AD2:AH2=N24)*(地价!AD3:AH21))</f>
        <v>1.3899999999999999E-2</v>
      </c>
      <c r="R24" s="1378"/>
      <c r="S24" s="1378"/>
      <c r="T24" s="1373"/>
      <c r="U24" s="1373"/>
      <c r="V24" s="1373"/>
      <c r="W24" s="1372"/>
      <c r="X24" s="1372"/>
      <c r="Y24" s="1372"/>
      <c r="Z24" s="1379"/>
      <c r="AA24" s="1380"/>
      <c r="AB24" s="1380"/>
      <c r="AC24" s="1380"/>
      <c r="AD24" s="1380"/>
      <c r="AE24" s="1380"/>
      <c r="AF24" s="1380"/>
    </row>
    <row r="25" spans="1:37" ht="15.75" thickBot="1">
      <c r="A25" s="2804" t="s">
        <v>812</v>
      </c>
      <c r="B25" s="2825" t="s">
        <v>2894</v>
      </c>
      <c r="C25" s="932"/>
      <c r="D25" s="2748"/>
      <c r="E25" s="2748"/>
      <c r="F25" s="2826"/>
      <c r="G25" s="2748"/>
      <c r="H25" s="2748"/>
      <c r="I25" s="2748"/>
      <c r="J25" s="2749"/>
      <c r="K25" s="1372"/>
      <c r="N25" s="2827" t="s">
        <v>2895</v>
      </c>
      <c r="O25" s="1567"/>
      <c r="P25" s="1566">
        <f>SUMPRODUCT((地价!A3:A21=YEAR(G19)&amp;"-"&amp;ROUNDUP(MONTH(G19)/3,0))*(地价!AD2:AH2=N25)*(地价!AD3:AH21))</f>
        <v>2.4899999999999999E-2</v>
      </c>
      <c r="R25" s="1378"/>
      <c r="S25" s="1378"/>
      <c r="T25" s="1373"/>
      <c r="U25" s="1373"/>
      <c r="V25" s="1373"/>
      <c r="W25" s="1372"/>
      <c r="X25" s="1372"/>
      <c r="Y25" s="1372"/>
      <c r="Z25" s="1379"/>
      <c r="AA25" s="1380"/>
      <c r="AB25" s="1380"/>
      <c r="AC25" s="1380"/>
      <c r="AD25" s="1380"/>
    </row>
    <row r="26" spans="1:37" ht="15">
      <c r="A26" s="2828"/>
      <c r="B26" s="2815" t="s">
        <v>2896</v>
      </c>
      <c r="C26" s="205">
        <f ca="1">E29+SUM(E33:E39)</f>
        <v>80199</v>
      </c>
      <c r="D26" s="2829"/>
      <c r="E26" s="2773"/>
      <c r="F26" s="2830"/>
      <c r="G26" s="2773"/>
      <c r="H26" s="2773"/>
      <c r="I26" s="2773"/>
      <c r="J26" s="2831"/>
      <c r="K26" s="1372"/>
      <c r="R26" s="1378"/>
      <c r="S26" s="1378"/>
      <c r="T26" s="1373"/>
      <c r="U26" s="1373"/>
      <c r="V26" s="1373"/>
      <c r="W26" s="1372"/>
      <c r="X26" s="1372"/>
      <c r="Y26" s="1372"/>
      <c r="Z26" s="1379"/>
      <c r="AA26" s="1380"/>
      <c r="AB26" s="1380"/>
      <c r="AC26" s="1380"/>
      <c r="AD26" s="1380"/>
    </row>
    <row r="27" spans="1:37" ht="15.75" thickBot="1">
      <c r="A27" s="2828"/>
      <c r="B27" s="2832" t="s">
        <v>2897</v>
      </c>
      <c r="C27" s="933">
        <f ca="1">E30+SUM(I33:I39)</f>
        <v>687</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2898</v>
      </c>
      <c r="C28" s="2839" t="s">
        <v>2899</v>
      </c>
      <c r="D28" s="2839" t="s">
        <v>2900</v>
      </c>
      <c r="E28" s="2840" t="s">
        <v>2901</v>
      </c>
      <c r="F28" s="2841"/>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2902</v>
      </c>
      <c r="C29" s="205">
        <f ca="1">ROUND(C5*C18*C19*C20*C21*C24,0)</f>
        <v>5655</v>
      </c>
      <c r="D29" s="2844">
        <f>'数据-汇总表'!F19</f>
        <v>136969</v>
      </c>
      <c r="E29" s="944">
        <f ca="1">ROUND(C29*D29/10000,0)</f>
        <v>77456</v>
      </c>
      <c r="F29" s="2845" t="s">
        <v>2903</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8"/>
      <c r="B30" s="2849" t="s">
        <v>2904</v>
      </c>
      <c r="C30" s="228">
        <f ca="1">ROUND(IF(E2="工业",C29*M39,C29*M38),0)</f>
        <v>1414</v>
      </c>
      <c r="D30" s="2850"/>
      <c r="E30" s="944">
        <f ca="1">ROUND(C30*D30/10000,0)</f>
        <v>0</v>
      </c>
      <c r="F30" s="2851" t="s">
        <v>2905</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4"/>
      <c r="B31" s="2855" t="s">
        <v>2906</v>
      </c>
      <c r="C31" s="2856" t="s">
        <v>2907</v>
      </c>
      <c r="D31" s="2761"/>
      <c r="E31" s="2856"/>
      <c r="F31" s="2856"/>
      <c r="G31" s="2759" t="s">
        <v>2908</v>
      </c>
      <c r="H31" s="2761"/>
      <c r="I31" s="2857"/>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2"/>
      <c r="B32" s="2858"/>
      <c r="C32" s="500" t="s">
        <v>2899</v>
      </c>
      <c r="D32" s="497" t="s">
        <v>2900</v>
      </c>
      <c r="E32" s="497" t="s">
        <v>2901</v>
      </c>
      <c r="F32" s="387" t="s">
        <v>2909</v>
      </c>
      <c r="G32" s="2859" t="s">
        <v>2899</v>
      </c>
      <c r="H32" s="2859" t="s">
        <v>2900</v>
      </c>
      <c r="I32" s="2859" t="s">
        <v>2901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hidden="1" customHeight="1">
      <c r="A33" s="3254" t="s">
        <v>2910</v>
      </c>
      <c r="B33" s="2860" t="s">
        <v>2911</v>
      </c>
      <c r="C33" s="205">
        <f ca="1">ROUND(D5*C19*C20*C24*F33,0)</f>
        <v>0</v>
      </c>
      <c r="D33" s="2844"/>
      <c r="E33" s="199">
        <f ca="1">ROUND(C33*D33/10000,0)</f>
        <v>0</v>
      </c>
      <c r="F33" s="199">
        <f>SUMIF(修正!A45:A56,G2,修正!B45:B56)</f>
        <v>0.6</v>
      </c>
      <c r="G33" s="199">
        <f t="shared" ref="G33:G39" ca="1" si="6">ROUND(IF(E2="工业",C33*$M$39,C33*$M$38),0)</f>
        <v>0</v>
      </c>
      <c r="H33" s="199">
        <f>D33</f>
        <v>0</v>
      </c>
      <c r="I33" s="199">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hidden="1">
      <c r="A34" s="3255"/>
      <c r="B34" s="2765" t="s">
        <v>2912</v>
      </c>
      <c r="C34" s="205">
        <f ca="1">ROUND(D5*C19*C20*C24*F34,0)</f>
        <v>0</v>
      </c>
      <c r="D34" s="2844"/>
      <c r="E34" s="199">
        <f t="shared" ref="E34:E39" ca="1" si="7">ROUND(C34*D34/10000,0)</f>
        <v>0</v>
      </c>
      <c r="F34" s="199">
        <f>SUMIF(修正!A45:A56,G2,修正!C45:C56)</f>
        <v>0.3</v>
      </c>
      <c r="G34" s="199">
        <f t="shared" ca="1" si="6"/>
        <v>0</v>
      </c>
      <c r="H34" s="199">
        <f t="shared" ref="H34:H39" si="8">D34</f>
        <v>0</v>
      </c>
      <c r="I34" s="199">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hidden="1">
      <c r="A35" s="3255"/>
      <c r="B35" s="2765" t="s">
        <v>2913</v>
      </c>
      <c r="C35" s="205">
        <f ca="1">ROUND(D5*C19*C20*C24*F35,0)</f>
        <v>0</v>
      </c>
      <c r="D35" s="2844"/>
      <c r="E35" s="199">
        <f t="shared" ca="1" si="7"/>
        <v>0</v>
      </c>
      <c r="F35" s="199">
        <f>SUMIF(修正!A45:A56,G2,修正!D45:D56)</f>
        <v>0.2</v>
      </c>
      <c r="G35" s="199">
        <f t="shared" ca="1" si="6"/>
        <v>0</v>
      </c>
      <c r="H35" s="199">
        <f t="shared" si="8"/>
        <v>0</v>
      </c>
      <c r="I35" s="199">
        <f t="shared" ca="1" si="9"/>
        <v>0</v>
      </c>
      <c r="J35" s="2861"/>
      <c r="K35" s="1372"/>
      <c r="L35" s="1372"/>
      <c r="M35" s="1372"/>
      <c r="N35" s="1372"/>
      <c r="O35" s="1372"/>
      <c r="P35" s="1372"/>
      <c r="Q35" s="1372"/>
      <c r="R35" s="1372"/>
      <c r="S35" s="1372"/>
      <c r="T35" s="1372"/>
      <c r="U35" s="1372"/>
      <c r="V35" s="1372"/>
      <c r="W35" s="1372"/>
      <c r="X35" s="1372"/>
      <c r="Y35" s="1372"/>
      <c r="Z35" s="1373"/>
    </row>
    <row r="36" spans="1:37" ht="13.5" hidden="1" thickBot="1">
      <c r="A36" s="3256"/>
      <c r="B36" s="2765" t="s">
        <v>2914</v>
      </c>
      <c r="C36" s="205">
        <f ca="1">ROUND(D5*C19*C20*C24*F36,0)</f>
        <v>0</v>
      </c>
      <c r="D36" s="2844"/>
      <c r="E36" s="199">
        <f t="shared" ca="1" si="7"/>
        <v>0</v>
      </c>
      <c r="F36" s="199">
        <f>SUMIF(修正!A45:A56,G2,修正!E45:E56)</f>
        <v>0.2</v>
      </c>
      <c r="G36" s="199">
        <f t="shared" ca="1" si="6"/>
        <v>0</v>
      </c>
      <c r="H36" s="199">
        <f t="shared" si="8"/>
        <v>0</v>
      </c>
      <c r="I36" s="199">
        <f t="shared" ca="1" si="9"/>
        <v>0</v>
      </c>
      <c r="J36" s="2861"/>
      <c r="K36" s="1372"/>
      <c r="L36" s="2719"/>
      <c r="M36" s="2719"/>
      <c r="N36" s="1372"/>
      <c r="O36" s="1372"/>
      <c r="P36" s="1372"/>
      <c r="Q36" s="1372"/>
      <c r="R36" s="1372"/>
      <c r="S36" s="1372"/>
      <c r="T36" s="1372"/>
      <c r="U36" s="1372"/>
      <c r="V36" s="1372"/>
      <c r="W36" s="1372"/>
      <c r="X36" s="1372"/>
      <c r="Y36" s="1372"/>
      <c r="Z36" s="1373"/>
    </row>
    <row r="37" spans="1:37" hidden="1">
      <c r="A37" s="2862"/>
      <c r="B37" s="2765" t="s">
        <v>2915</v>
      </c>
      <c r="C37" s="199">
        <f ca="1">ROUND(C5*C19*C20*C24*F37,0)</f>
        <v>1362</v>
      </c>
      <c r="D37" s="2844"/>
      <c r="E37" s="199">
        <f t="shared" ca="1" si="7"/>
        <v>0</v>
      </c>
      <c r="F37" s="205">
        <f>SUMIF(修正!A45:A56,G2,修正!F45:F56)</f>
        <v>0.2</v>
      </c>
      <c r="G37" s="199">
        <f t="shared" ca="1" si="6"/>
        <v>341</v>
      </c>
      <c r="H37" s="199">
        <f t="shared" si="8"/>
        <v>0</v>
      </c>
      <c r="I37" s="199">
        <f t="shared" ca="1" si="9"/>
        <v>0</v>
      </c>
      <c r="J37" s="2861"/>
      <c r="K37" s="1372"/>
      <c r="L37" s="2863" t="s">
        <v>2916</v>
      </c>
      <c r="M37" s="2864"/>
      <c r="N37" s="1372"/>
      <c r="O37" s="1372"/>
      <c r="P37" s="1372"/>
      <c r="Q37" s="1372"/>
      <c r="R37" s="1372"/>
      <c r="S37" s="1372"/>
      <c r="T37" s="1372"/>
      <c r="U37" s="1372"/>
      <c r="V37" s="1372"/>
      <c r="W37" s="1372"/>
      <c r="X37" s="1372"/>
      <c r="Y37" s="1372"/>
      <c r="Z37" s="1373"/>
    </row>
    <row r="38" spans="1:37" hidden="1">
      <c r="A38" s="2862"/>
      <c r="B38" s="2765" t="s">
        <v>2917</v>
      </c>
      <c r="C38" s="199">
        <f ca="1">ROUND(C5*C19*C20*C24*F38,0)</f>
        <v>1362</v>
      </c>
      <c r="D38" s="2844"/>
      <c r="E38" s="199">
        <f t="shared" ca="1" si="7"/>
        <v>0</v>
      </c>
      <c r="F38" s="205">
        <f>SUMIF(修正!A45:A56,G2,修正!G45:G56)</f>
        <v>0.2</v>
      </c>
      <c r="G38" s="199">
        <f t="shared" ca="1" si="6"/>
        <v>341</v>
      </c>
      <c r="H38" s="199">
        <f t="shared" si="8"/>
        <v>0</v>
      </c>
      <c r="I38" s="199">
        <f t="shared" ca="1" si="9"/>
        <v>0</v>
      </c>
      <c r="J38" s="2861"/>
      <c r="K38" s="1372"/>
      <c r="L38" s="1888" t="s">
        <v>2918</v>
      </c>
      <c r="M38" s="2865">
        <v>0.25</v>
      </c>
      <c r="N38" s="1372"/>
      <c r="O38" s="1372"/>
      <c r="P38" s="1372"/>
      <c r="Q38" s="1372"/>
      <c r="R38" s="1372"/>
      <c r="S38" s="1372"/>
      <c r="T38" s="1372"/>
      <c r="U38" s="1372"/>
      <c r="V38" s="1372"/>
      <c r="W38" s="1372"/>
      <c r="X38" s="1372"/>
      <c r="Y38" s="1372"/>
      <c r="Z38" s="1373"/>
    </row>
    <row r="39" spans="1:37" ht="13.5" thickBot="1">
      <c r="A39" s="2848"/>
      <c r="B39" s="2866" t="s">
        <v>2919</v>
      </c>
      <c r="C39" s="228">
        <f ca="1">ROUND(C5*C19*C20*C24*F39,0)</f>
        <v>1022</v>
      </c>
      <c r="D39" s="2850">
        <f>'数据-汇总表'!G22</f>
        <v>26841</v>
      </c>
      <c r="E39" s="228">
        <f t="shared" ca="1" si="7"/>
        <v>2743</v>
      </c>
      <c r="F39" s="934">
        <f>SUMIF(修正!A45:A56,G2,修正!H45:H56)</f>
        <v>0.15</v>
      </c>
      <c r="G39" s="228">
        <f t="shared" ca="1" si="6"/>
        <v>256</v>
      </c>
      <c r="H39" s="228">
        <f t="shared" si="8"/>
        <v>26841</v>
      </c>
      <c r="I39" s="228">
        <f t="shared" ca="1" si="9"/>
        <v>687</v>
      </c>
      <c r="J39" s="2867"/>
      <c r="K39" s="1372"/>
      <c r="L39" s="2868" t="s">
        <v>2862</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2920</v>
      </c>
      <c r="B45" s="2872"/>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3" t="s">
        <v>2921</v>
      </c>
      <c r="B46" s="2874">
        <f>1+E48</f>
        <v>1</v>
      </c>
      <c r="C46" s="2875"/>
      <c r="D46" s="813"/>
      <c r="E46" s="814"/>
      <c r="F46" s="2876"/>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7" t="s">
        <v>2922</v>
      </c>
      <c r="B47" s="1810" t="s">
        <v>2923</v>
      </c>
      <c r="C47" s="1810" t="s">
        <v>2924</v>
      </c>
      <c r="D47" s="1810" t="s">
        <v>2925</v>
      </c>
      <c r="E47" s="818" t="s">
        <v>2926</v>
      </c>
      <c r="F47" s="2878" t="s">
        <v>2927</v>
      </c>
      <c r="G47" s="1810" t="s">
        <v>754</v>
      </c>
      <c r="H47" s="2879" t="s">
        <v>2928</v>
      </c>
      <c r="I47" s="1810" t="s">
        <v>2929</v>
      </c>
      <c r="J47" s="602" t="s">
        <v>2579</v>
      </c>
      <c r="K47" s="602" t="s">
        <v>2580</v>
      </c>
      <c r="L47" s="602" t="s">
        <v>2581</v>
      </c>
      <c r="M47" s="602" t="s">
        <v>2582</v>
      </c>
      <c r="N47" s="602" t="s">
        <v>2583</v>
      </c>
      <c r="AA47" s="1373"/>
      <c r="AB47" s="1373"/>
      <c r="AC47" s="1373"/>
      <c r="AD47" s="1373"/>
      <c r="AE47" s="1373"/>
      <c r="AF47" s="1373"/>
      <c r="AG47" s="1373"/>
      <c r="AH47" s="1373"/>
      <c r="AI47" s="1373"/>
      <c r="AJ47" s="1373"/>
      <c r="AK47" s="1373"/>
    </row>
    <row r="48" spans="1:37" s="1372" customFormat="1" ht="38.25">
      <c r="A48" s="2877" t="s">
        <v>2930</v>
      </c>
      <c r="B48" s="2880"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2931</v>
      </c>
      <c r="B49" s="2881"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2932</v>
      </c>
      <c r="B50" s="2881">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2933</v>
      </c>
      <c r="B51" s="2882" t="s">
        <v>2934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2935</v>
      </c>
      <c r="B52" s="2881">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2936</v>
      </c>
      <c r="B53" s="2883" t="s">
        <v>2937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2938</v>
      </c>
      <c r="B54" s="1726"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4" t="s">
        <v>2939</v>
      </c>
      <c r="B55" s="2881"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2940</v>
      </c>
      <c r="B56" s="2886"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2941</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2922</v>
      </c>
      <c r="B58" s="1810"/>
      <c r="C58" s="1810" t="s">
        <v>2924</v>
      </c>
      <c r="D58" s="1810" t="s">
        <v>2925</v>
      </c>
      <c r="E58" s="818" t="s">
        <v>2926</v>
      </c>
      <c r="F58" s="2878" t="s">
        <v>2942</v>
      </c>
      <c r="G58" s="1810" t="s">
        <v>754</v>
      </c>
      <c r="H58" s="2879" t="s">
        <v>2928</v>
      </c>
      <c r="I58" s="1810" t="s">
        <v>2929</v>
      </c>
      <c r="J58" s="602" t="s">
        <v>2579</v>
      </c>
      <c r="K58" s="602" t="s">
        <v>2580</v>
      </c>
      <c r="L58" s="602" t="s">
        <v>2581</v>
      </c>
      <c r="M58" s="602" t="s">
        <v>2582</v>
      </c>
      <c r="N58" s="602" t="s">
        <v>2583</v>
      </c>
      <c r="AA58" s="1373"/>
      <c r="AB58" s="1373"/>
      <c r="AC58" s="1373"/>
      <c r="AD58" s="1373"/>
      <c r="AE58" s="1373"/>
      <c r="AF58" s="1373"/>
      <c r="AG58" s="1373"/>
      <c r="AH58" s="1373"/>
      <c r="AI58" s="1373"/>
      <c r="AJ58" s="1373"/>
      <c r="AK58" s="1373"/>
    </row>
    <row r="59" spans="1:37" s="1372" customFormat="1" ht="38.25">
      <c r="A59" s="2877" t="s">
        <v>2943</v>
      </c>
      <c r="B59" s="2880"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7" t="s">
        <v>2931</v>
      </c>
      <c r="B60" s="2881"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7" t="s">
        <v>2932</v>
      </c>
      <c r="B61" s="2881">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7" t="s">
        <v>2933</v>
      </c>
      <c r="B62" s="2882" t="s">
        <v>2934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7" t="s">
        <v>2935</v>
      </c>
      <c r="B63" s="2881">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7" t="s">
        <v>2936</v>
      </c>
      <c r="B64" s="2883" t="s">
        <v>2937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7" t="s">
        <v>2938</v>
      </c>
      <c r="B65" s="1726"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7" t="s">
        <v>2939</v>
      </c>
      <c r="B66" s="1726"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5" t="s">
        <v>2940</v>
      </c>
      <c r="B67" s="2887"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3" t="s">
        <v>2944</v>
      </c>
      <c r="B68" s="2874">
        <f>1+E70</f>
        <v>1.0637000000000001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2922</v>
      </c>
      <c r="B69" s="1810"/>
      <c r="C69" s="1810" t="s">
        <v>2924</v>
      </c>
      <c r="D69" s="1810" t="s">
        <v>2925</v>
      </c>
      <c r="E69" s="818" t="s">
        <v>2926</v>
      </c>
      <c r="F69" s="2878" t="s">
        <v>2942</v>
      </c>
      <c r="G69" s="1810" t="s">
        <v>754</v>
      </c>
      <c r="H69" s="2879" t="s">
        <v>2928</v>
      </c>
      <c r="I69" s="1810" t="s">
        <v>2929</v>
      </c>
      <c r="J69" s="602" t="s">
        <v>2579</v>
      </c>
      <c r="K69" s="602" t="s">
        <v>2580</v>
      </c>
      <c r="L69" s="602" t="s">
        <v>2581</v>
      </c>
      <c r="M69" s="602" t="s">
        <v>2582</v>
      </c>
      <c r="N69" s="602" t="s">
        <v>2583</v>
      </c>
      <c r="AA69" s="1373"/>
      <c r="AB69" s="1373"/>
      <c r="AC69" s="1373"/>
      <c r="AD69" s="1373"/>
      <c r="AE69" s="1373"/>
      <c r="AF69" s="1373"/>
      <c r="AG69" s="1373"/>
      <c r="AH69" s="1373"/>
      <c r="AI69" s="1373"/>
      <c r="AJ69" s="1373"/>
      <c r="AK69" s="1373"/>
    </row>
    <row r="70" spans="1:37" s="1372" customFormat="1" ht="51">
      <c r="A70" s="2877" t="s">
        <v>2945</v>
      </c>
      <c r="B70" s="2880" t="str">
        <f>估价对象房地状况!C15</f>
        <v>估价对象周边居住用地比例、居住小区规模和社区发展完善程度，综合评价居住社区成熟度一般</v>
      </c>
      <c r="C70" s="2770" t="s">
        <v>3054</v>
      </c>
      <c r="D70" s="1288">
        <f t="shared" ref="D70:D78" si="20">SUMIF($J$69:$N$69,C70,J70:N70)</f>
        <v>1.0500000000000001E-2</v>
      </c>
      <c r="E70" s="820">
        <f>ROUND(SUM(D70:D78),4)</f>
        <v>6.3700000000000007E-2</v>
      </c>
      <c r="F70" s="2501">
        <f>IF(E2="住宅",SUMIF(L1:L12,G2,N1:N12),"——")</f>
        <v>0.15</v>
      </c>
      <c r="G70" s="1286">
        <f>H70</f>
        <v>1.0500000000000001E-2</v>
      </c>
      <c r="H70" s="1290">
        <f t="shared" ref="H70:H78" si="21">IFERROR(ROUNDDOWN($F$70*I70/2,4),"——")</f>
        <v>1.0500000000000001E-2</v>
      </c>
      <c r="I70" s="819">
        <v>0.14000000000000001</v>
      </c>
      <c r="J70" s="1287">
        <f t="shared" ref="J70:J78" si="22">K70+$G70</f>
        <v>2.1000000000000001E-2</v>
      </c>
      <c r="K70" s="1287">
        <f t="shared" ref="K70:K78" si="23">$L70+$G70</f>
        <v>1.0500000000000001E-2</v>
      </c>
      <c r="L70" s="1287">
        <v>0</v>
      </c>
      <c r="M70" s="1287">
        <f t="shared" ref="M70:N78" si="24">L70-$G70</f>
        <v>-1.0500000000000001E-2</v>
      </c>
      <c r="N70" s="1287">
        <f t="shared" si="24"/>
        <v>-2.1000000000000001E-2</v>
      </c>
      <c r="AA70" s="1373"/>
      <c r="AB70" s="1373"/>
      <c r="AC70" s="1373"/>
      <c r="AD70" s="1373"/>
      <c r="AE70" s="1373"/>
      <c r="AF70" s="1373"/>
      <c r="AG70" s="1373"/>
      <c r="AH70" s="1373"/>
      <c r="AI70" s="1373"/>
      <c r="AJ70" s="1373"/>
      <c r="AK70" s="1373"/>
    </row>
    <row r="71" spans="1:37" s="1372" customFormat="1" ht="51">
      <c r="A71" s="2877" t="s">
        <v>2931</v>
      </c>
      <c r="B71" s="2881" t="str">
        <f>估价对象房地状况!C18</f>
        <v>估价对象周边道路状况、公共交通通达情况、停车便捷程度，综合评价交通便捷度较好</v>
      </c>
      <c r="C71" s="2770" t="s">
        <v>3054</v>
      </c>
      <c r="D71" s="1288">
        <f t="shared" si="20"/>
        <v>2.2499999999999999E-2</v>
      </c>
      <c r="E71" s="825"/>
      <c r="F71" s="2501"/>
      <c r="G71" s="1286">
        <f t="shared" ref="G71:G78" si="25">H71</f>
        <v>2.2499999999999999E-2</v>
      </c>
      <c r="H71" s="1290">
        <f t="shared" si="21"/>
        <v>2.2499999999999999E-2</v>
      </c>
      <c r="I71" s="819">
        <v>0.3</v>
      </c>
      <c r="J71" s="1287">
        <f t="shared" si="22"/>
        <v>4.4999999999999998E-2</v>
      </c>
      <c r="K71" s="1287">
        <f t="shared" si="23"/>
        <v>2.2499999999999999E-2</v>
      </c>
      <c r="L71" s="1287">
        <v>0</v>
      </c>
      <c r="M71" s="1287">
        <f t="shared" si="24"/>
        <v>-2.2499999999999999E-2</v>
      </c>
      <c r="N71" s="1287">
        <f t="shared" si="24"/>
        <v>-4.4999999999999998E-2</v>
      </c>
      <c r="AA71" s="1373"/>
      <c r="AB71" s="1373"/>
      <c r="AC71" s="1373"/>
      <c r="AD71" s="1373"/>
      <c r="AE71" s="1373"/>
      <c r="AF71" s="1373"/>
      <c r="AG71" s="1373"/>
      <c r="AH71" s="1373"/>
      <c r="AI71" s="1373"/>
      <c r="AJ71" s="1373"/>
      <c r="AK71" s="1373"/>
    </row>
    <row r="72" spans="1:37" s="1372" customFormat="1" ht="24">
      <c r="A72" s="2877" t="s">
        <v>2932</v>
      </c>
      <c r="B72" s="2881">
        <f>估价对象房地状况!C19</f>
        <v>0</v>
      </c>
      <c r="C72" s="2770" t="s">
        <v>3054</v>
      </c>
      <c r="D72" s="1288">
        <f t="shared" si="20"/>
        <v>6.0000000000000001E-3</v>
      </c>
      <c r="E72" s="825"/>
      <c r="F72" s="2501"/>
      <c r="G72" s="1286">
        <f t="shared" si="25"/>
        <v>6.0000000000000001E-3</v>
      </c>
      <c r="H72" s="1290">
        <f t="shared" si="21"/>
        <v>6.0000000000000001E-3</v>
      </c>
      <c r="I72" s="819">
        <v>0.08</v>
      </c>
      <c r="J72" s="1287">
        <f t="shared" si="22"/>
        <v>1.2E-2</v>
      </c>
      <c r="K72" s="1287">
        <f t="shared" si="23"/>
        <v>6.0000000000000001E-3</v>
      </c>
      <c r="L72" s="1287">
        <v>0</v>
      </c>
      <c r="M72" s="1287">
        <f t="shared" si="24"/>
        <v>-6.0000000000000001E-3</v>
      </c>
      <c r="N72" s="1287">
        <f t="shared" si="24"/>
        <v>-1.2E-2</v>
      </c>
      <c r="AA72" s="1373"/>
      <c r="AB72" s="1373"/>
      <c r="AC72" s="1373"/>
      <c r="AD72" s="1373"/>
      <c r="AE72" s="1373"/>
      <c r="AF72" s="1373"/>
      <c r="AG72" s="1373"/>
      <c r="AH72" s="1373"/>
      <c r="AI72" s="1373"/>
      <c r="AJ72" s="1373"/>
      <c r="AK72" s="1373"/>
    </row>
    <row r="73" spans="1:37" s="1372" customFormat="1" ht="14.25">
      <c r="A73" s="2877" t="s">
        <v>2946</v>
      </c>
      <c r="B73" s="2881">
        <f>估价对象房地状况!C24</f>
        <v>0</v>
      </c>
      <c r="C73" s="2770" t="s">
        <v>3054</v>
      </c>
      <c r="D73" s="1288">
        <f t="shared" si="20"/>
        <v>3.0000000000000001E-3</v>
      </c>
      <c r="E73" s="825"/>
      <c r="F73" s="2501"/>
      <c r="G73" s="1286">
        <f t="shared" si="25"/>
        <v>3.0000000000000001E-3</v>
      </c>
      <c r="H73" s="1290">
        <f t="shared" si="21"/>
        <v>3.0000000000000001E-3</v>
      </c>
      <c r="I73" s="819">
        <v>0.04</v>
      </c>
      <c r="J73" s="1287">
        <f t="shared" si="22"/>
        <v>6.0000000000000001E-3</v>
      </c>
      <c r="K73" s="1287">
        <f t="shared" si="23"/>
        <v>3.0000000000000001E-3</v>
      </c>
      <c r="L73" s="1287">
        <v>0</v>
      </c>
      <c r="M73" s="1287">
        <f t="shared" si="24"/>
        <v>-3.0000000000000001E-3</v>
      </c>
      <c r="N73" s="1287">
        <f t="shared" si="24"/>
        <v>-6.0000000000000001E-3</v>
      </c>
      <c r="AA73" s="1373"/>
      <c r="AB73" s="1373"/>
      <c r="AC73" s="1373"/>
      <c r="AD73" s="1373"/>
      <c r="AE73" s="1373"/>
      <c r="AF73" s="1373"/>
      <c r="AG73" s="1373"/>
      <c r="AH73" s="1373"/>
      <c r="AI73" s="1373"/>
      <c r="AJ73" s="1373"/>
      <c r="AK73" s="1373"/>
    </row>
    <row r="74" spans="1:37" s="1372" customFormat="1" ht="25.5">
      <c r="A74" s="2877" t="s">
        <v>2938</v>
      </c>
      <c r="B74" s="1726" t="str">
        <f>估价对象房地状况!C21</f>
        <v>估价对象所在区域公共配套设施齐备情况</v>
      </c>
      <c r="C74" s="2770" t="s">
        <v>3055</v>
      </c>
      <c r="D74" s="1288">
        <f t="shared" si="20"/>
        <v>0</v>
      </c>
      <c r="E74" s="825"/>
      <c r="F74" s="2501"/>
      <c r="G74" s="1286">
        <f t="shared" si="25"/>
        <v>6.0000000000000001E-3</v>
      </c>
      <c r="H74" s="1290">
        <f t="shared" si="21"/>
        <v>6.0000000000000001E-3</v>
      </c>
      <c r="I74" s="819">
        <v>0.08</v>
      </c>
      <c r="J74" s="1287">
        <f t="shared" si="22"/>
        <v>1.2E-2</v>
      </c>
      <c r="K74" s="1287">
        <f t="shared" si="23"/>
        <v>6.0000000000000001E-3</v>
      </c>
      <c r="L74" s="1287">
        <v>0</v>
      </c>
      <c r="M74" s="1287">
        <f t="shared" si="24"/>
        <v>-6.0000000000000001E-3</v>
      </c>
      <c r="N74" s="1287">
        <f t="shared" si="24"/>
        <v>-1.2E-2</v>
      </c>
      <c r="AA74" s="1373"/>
      <c r="AB74" s="1373"/>
      <c r="AC74" s="1373"/>
      <c r="AD74" s="1373"/>
      <c r="AE74" s="1373"/>
      <c r="AF74" s="1373"/>
      <c r="AG74" s="1373"/>
      <c r="AH74" s="1373"/>
      <c r="AI74" s="1373"/>
      <c r="AJ74" s="1373"/>
      <c r="AK74" s="1373"/>
    </row>
    <row r="75" spans="1:37" s="1372" customFormat="1" ht="25.5">
      <c r="A75" s="2877" t="s">
        <v>2939</v>
      </c>
      <c r="B75" s="1726" t="str">
        <f>估价对象房地状况!C22</f>
        <v>估价对象所在区域基础设施水平</v>
      </c>
      <c r="C75" s="2770" t="s">
        <v>3143</v>
      </c>
      <c r="D75" s="1288">
        <f t="shared" si="20"/>
        <v>1.7999999999999999E-2</v>
      </c>
      <c r="E75" s="825"/>
      <c r="F75" s="2501"/>
      <c r="G75" s="1286">
        <f t="shared" si="25"/>
        <v>8.9999999999999993E-3</v>
      </c>
      <c r="H75" s="1290">
        <f t="shared" si="21"/>
        <v>8.9999999999999993E-3</v>
      </c>
      <c r="I75" s="819">
        <v>0.12</v>
      </c>
      <c r="J75" s="1287">
        <f t="shared" si="22"/>
        <v>1.7999999999999999E-2</v>
      </c>
      <c r="K75" s="1287">
        <f t="shared" si="23"/>
        <v>8.9999999999999993E-3</v>
      </c>
      <c r="L75" s="1287">
        <v>0</v>
      </c>
      <c r="M75" s="1287">
        <f t="shared" si="24"/>
        <v>-8.9999999999999993E-3</v>
      </c>
      <c r="N75" s="1287">
        <f t="shared" si="24"/>
        <v>-1.7999999999999999E-2</v>
      </c>
      <c r="AA75" s="1373"/>
      <c r="AB75" s="1373"/>
      <c r="AC75" s="1373"/>
      <c r="AD75" s="1373"/>
      <c r="AE75" s="1373"/>
      <c r="AF75" s="1373"/>
      <c r="AG75" s="1373"/>
      <c r="AH75" s="1373"/>
      <c r="AI75" s="1373"/>
      <c r="AJ75" s="1373"/>
      <c r="AK75" s="1373"/>
    </row>
    <row r="76" spans="1:37" s="2719" customFormat="1" ht="24">
      <c r="A76" s="2877" t="s">
        <v>2936</v>
      </c>
      <c r="B76" s="2883" t="s">
        <v>2937</v>
      </c>
      <c r="C76" s="2770" t="s">
        <v>3054</v>
      </c>
      <c r="D76" s="1288">
        <f t="shared" si="20"/>
        <v>3.7000000000000002E-3</v>
      </c>
      <c r="E76" s="825"/>
      <c r="F76" s="2501"/>
      <c r="G76" s="1286">
        <f t="shared" si="25"/>
        <v>3.7000000000000002E-3</v>
      </c>
      <c r="H76" s="1290">
        <f t="shared" si="21"/>
        <v>3.7000000000000002E-3</v>
      </c>
      <c r="I76" s="819">
        <v>0.05</v>
      </c>
      <c r="J76" s="1287">
        <f t="shared" si="22"/>
        <v>7.4000000000000003E-3</v>
      </c>
      <c r="K76" s="1287">
        <f t="shared" si="23"/>
        <v>3.7000000000000002E-3</v>
      </c>
      <c r="L76" s="1287">
        <v>0</v>
      </c>
      <c r="M76" s="1287">
        <f t="shared" si="24"/>
        <v>-3.7000000000000002E-3</v>
      </c>
      <c r="N76" s="1287">
        <f t="shared" si="24"/>
        <v>-7.4000000000000003E-3</v>
      </c>
      <c r="AA76" s="2888"/>
      <c r="AB76" s="1373"/>
      <c r="AC76" s="1373"/>
      <c r="AD76" s="1373"/>
      <c r="AE76" s="1373"/>
      <c r="AF76" s="1373"/>
      <c r="AG76" s="1373"/>
      <c r="AH76" s="2888"/>
      <c r="AI76" s="2888"/>
      <c r="AJ76" s="2888"/>
      <c r="AK76" s="2888"/>
    </row>
    <row r="77" spans="1:37" ht="38.25">
      <c r="A77" s="2877" t="s">
        <v>2940</v>
      </c>
      <c r="B77" s="2880" t="str">
        <f>估价对象房地状况!C20</f>
        <v>区域自然环境：；人文环境；综合评价环境状况一般</v>
      </c>
      <c r="C77" s="2770" t="s">
        <v>3055</v>
      </c>
      <c r="D77" s="1288">
        <f t="shared" si="20"/>
        <v>0</v>
      </c>
      <c r="E77" s="825"/>
      <c r="F77" s="2501"/>
      <c r="G77" s="1286">
        <f t="shared" si="25"/>
        <v>1.12E-2</v>
      </c>
      <c r="H77" s="1290">
        <f t="shared" si="21"/>
        <v>1.12E-2</v>
      </c>
      <c r="I77" s="819">
        <v>0.15</v>
      </c>
      <c r="J77" s="1287">
        <f t="shared" si="22"/>
        <v>2.24E-2</v>
      </c>
      <c r="K77" s="1287">
        <f t="shared" si="23"/>
        <v>1.12E-2</v>
      </c>
      <c r="L77" s="1287">
        <v>0</v>
      </c>
      <c r="M77" s="1287">
        <f t="shared" si="24"/>
        <v>-1.12E-2</v>
      </c>
      <c r="N77" s="1287">
        <f t="shared" si="24"/>
        <v>-2.24E-2</v>
      </c>
      <c r="Z77" s="2720"/>
      <c r="AA77" s="2796"/>
      <c r="AG77" s="1374"/>
      <c r="AK77" s="2796"/>
    </row>
    <row r="78" spans="1:37" ht="24.75" thickBot="1">
      <c r="A78" s="2885" t="s">
        <v>2947</v>
      </c>
      <c r="B78" s="2889"/>
      <c r="C78" s="2770" t="s">
        <v>3055</v>
      </c>
      <c r="D78" s="1288">
        <f t="shared" si="20"/>
        <v>0</v>
      </c>
      <c r="E78" s="826"/>
      <c r="F78" s="2501"/>
      <c r="G78" s="1286">
        <f t="shared" si="25"/>
        <v>3.0000000000000001E-3</v>
      </c>
      <c r="H78" s="1290">
        <f t="shared" si="21"/>
        <v>3.0000000000000001E-3</v>
      </c>
      <c r="I78" s="823">
        <v>0.04</v>
      </c>
      <c r="J78" s="1287">
        <f t="shared" si="22"/>
        <v>6.0000000000000001E-3</v>
      </c>
      <c r="K78" s="1287">
        <f t="shared" si="23"/>
        <v>3.0000000000000001E-3</v>
      </c>
      <c r="L78" s="1287">
        <v>0</v>
      </c>
      <c r="M78" s="1287">
        <f t="shared" si="24"/>
        <v>-3.0000000000000001E-3</v>
      </c>
      <c r="N78" s="1287">
        <f t="shared" si="24"/>
        <v>-6.0000000000000001E-3</v>
      </c>
      <c r="Z78" s="2720"/>
      <c r="AA78" s="2796"/>
      <c r="AG78" s="1374"/>
      <c r="AK78" s="2796"/>
    </row>
    <row r="79" spans="1:37" ht="15">
      <c r="A79" s="2873" t="s">
        <v>2948</v>
      </c>
      <c r="B79" s="2874">
        <f>1+E81</f>
        <v>1</v>
      </c>
      <c r="C79" s="813"/>
      <c r="D79" s="813"/>
      <c r="E79" s="814"/>
      <c r="F79" s="2876"/>
      <c r="G79" s="6"/>
      <c r="H79" s="6"/>
      <c r="I79" s="6"/>
      <c r="J79" s="7"/>
      <c r="K79" s="7"/>
      <c r="L79" s="7"/>
      <c r="M79" s="7"/>
      <c r="N79" s="7"/>
      <c r="Z79" s="2720"/>
      <c r="AA79" s="2796"/>
      <c r="AG79" s="1374"/>
      <c r="AK79" s="2796"/>
    </row>
    <row r="80" spans="1:37" ht="24.75">
      <c r="A80" s="2877" t="s">
        <v>2922</v>
      </c>
      <c r="B80" s="1810"/>
      <c r="C80" s="1810" t="s">
        <v>2924</v>
      </c>
      <c r="D80" s="1810" t="s">
        <v>2925</v>
      </c>
      <c r="E80" s="818" t="s">
        <v>2926</v>
      </c>
      <c r="F80" s="2878" t="s">
        <v>2942</v>
      </c>
      <c r="G80" s="1810" t="s">
        <v>754</v>
      </c>
      <c r="H80" s="2879" t="s">
        <v>2928</v>
      </c>
      <c r="I80" s="1810" t="s">
        <v>2929</v>
      </c>
      <c r="J80" s="602" t="s">
        <v>2579</v>
      </c>
      <c r="K80" s="602" t="s">
        <v>2580</v>
      </c>
      <c r="L80" s="602" t="s">
        <v>2581</v>
      </c>
      <c r="M80" s="602" t="s">
        <v>2582</v>
      </c>
      <c r="N80" s="602" t="s">
        <v>2583</v>
      </c>
      <c r="Z80" s="2720"/>
      <c r="AA80" s="2796"/>
      <c r="AG80" s="1374"/>
      <c r="AK80" s="2796"/>
    </row>
    <row r="81" spans="1:37" ht="38.25">
      <c r="A81" s="2877" t="s">
        <v>2949</v>
      </c>
      <c r="B81" s="2881" t="str">
        <f>估价对象房地状况!G15</f>
        <v>估价对象位于XX开发区，园区建设成熟度XX，产业集聚程度XX</v>
      </c>
      <c r="C81" s="2770"/>
      <c r="D81" s="1288">
        <f t="shared" ref="D81:D88" si="26">SUMIF($J$80:$N$80,C81,J81:N81)</f>
        <v>0</v>
      </c>
      <c r="E81" s="820">
        <f>ROUND(SUM(D81:D88),4)</f>
        <v>0</v>
      </c>
      <c r="F81" s="2501"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0"/>
      <c r="AA81" s="2796"/>
      <c r="AG81" s="1374"/>
      <c r="AK81" s="2796"/>
    </row>
    <row r="82" spans="1:37" ht="51">
      <c r="A82" s="2877" t="s">
        <v>2931</v>
      </c>
      <c r="B82" s="2881" t="str">
        <f>估价对象房地状况!G16</f>
        <v>估价对象周边道路状况、公共交通通达情况、停车便捷程度，综合评价交通便捷度较好</v>
      </c>
      <c r="C82" s="2770"/>
      <c r="D82" s="1288">
        <f t="shared" si="26"/>
        <v>0</v>
      </c>
      <c r="E82" s="825"/>
      <c r="F82" s="2501"/>
      <c r="G82" s="1286"/>
      <c r="H82" s="1290" t="str">
        <f t="shared" si="27"/>
        <v>——</v>
      </c>
      <c r="I82" s="819">
        <v>0.33</v>
      </c>
      <c r="J82" s="1287">
        <f t="shared" si="28"/>
        <v>0</v>
      </c>
      <c r="K82" s="1287">
        <f t="shared" si="29"/>
        <v>0</v>
      </c>
      <c r="L82" s="1287">
        <v>0</v>
      </c>
      <c r="M82" s="1287">
        <f t="shared" si="30"/>
        <v>0</v>
      </c>
      <c r="N82" s="1287">
        <f t="shared" si="30"/>
        <v>0</v>
      </c>
      <c r="Z82" s="2720"/>
      <c r="AA82" s="2796"/>
      <c r="AG82" s="1374"/>
      <c r="AK82" s="2796"/>
    </row>
    <row r="83" spans="1:37" ht="24">
      <c r="A83" s="2877" t="s">
        <v>2932</v>
      </c>
      <c r="B83" s="2881">
        <f>估价对象房地状况!G17</f>
        <v>0</v>
      </c>
      <c r="C83" s="2770"/>
      <c r="D83" s="1288">
        <f t="shared" si="26"/>
        <v>0</v>
      </c>
      <c r="E83" s="825"/>
      <c r="F83" s="2501"/>
      <c r="G83" s="1286"/>
      <c r="H83" s="1290" t="str">
        <f t="shared" si="27"/>
        <v>——</v>
      </c>
      <c r="I83" s="819">
        <v>0.05</v>
      </c>
      <c r="J83" s="1287">
        <f t="shared" si="28"/>
        <v>0</v>
      </c>
      <c r="K83" s="1287">
        <f t="shared" si="29"/>
        <v>0</v>
      </c>
      <c r="L83" s="1287">
        <v>0</v>
      </c>
      <c r="M83" s="1287">
        <f t="shared" si="30"/>
        <v>0</v>
      </c>
      <c r="N83" s="1287">
        <f t="shared" si="30"/>
        <v>0</v>
      </c>
      <c r="Z83" s="2720"/>
      <c r="AA83" s="2796"/>
      <c r="AG83" s="1374"/>
      <c r="AK83" s="2796"/>
    </row>
    <row r="84" spans="1:37" ht="14.25">
      <c r="A84" s="2877" t="s">
        <v>2946</v>
      </c>
      <c r="B84" s="2881">
        <f>估价对象房地状况!G22</f>
        <v>0</v>
      </c>
      <c r="C84" s="2770"/>
      <c r="D84" s="1288">
        <f t="shared" si="26"/>
        <v>0</v>
      </c>
      <c r="E84" s="825"/>
      <c r="F84" s="2501"/>
      <c r="G84" s="1286"/>
      <c r="H84" s="1290" t="str">
        <f t="shared" si="27"/>
        <v>——</v>
      </c>
      <c r="I84" s="819">
        <v>0.04</v>
      </c>
      <c r="J84" s="1287">
        <f t="shared" si="28"/>
        <v>0</v>
      </c>
      <c r="K84" s="1287">
        <f t="shared" si="29"/>
        <v>0</v>
      </c>
      <c r="L84" s="1287">
        <v>0</v>
      </c>
      <c r="M84" s="1287">
        <f t="shared" si="30"/>
        <v>0</v>
      </c>
      <c r="N84" s="1287">
        <f t="shared" si="30"/>
        <v>0</v>
      </c>
      <c r="Z84" s="2720"/>
      <c r="AA84" s="2796"/>
      <c r="AG84" s="1374"/>
      <c r="AK84" s="2796"/>
    </row>
    <row r="85" spans="1:37" ht="25.5">
      <c r="A85" s="2877" t="s">
        <v>2938</v>
      </c>
      <c r="B85" s="1726" t="str">
        <f>估价对象房地状况!G19</f>
        <v>估价对象所在区域公共配套设施齐备情况</v>
      </c>
      <c r="C85" s="2770"/>
      <c r="D85" s="1288">
        <f t="shared" si="26"/>
        <v>0</v>
      </c>
      <c r="E85" s="825"/>
      <c r="F85" s="2501"/>
      <c r="G85" s="1286"/>
      <c r="H85" s="1290" t="str">
        <f t="shared" si="27"/>
        <v>——</v>
      </c>
      <c r="I85" s="819">
        <v>0.06</v>
      </c>
      <c r="J85" s="1287">
        <f t="shared" si="28"/>
        <v>0</v>
      </c>
      <c r="K85" s="1287">
        <f t="shared" si="29"/>
        <v>0</v>
      </c>
      <c r="L85" s="1287">
        <v>0</v>
      </c>
      <c r="M85" s="1287">
        <f t="shared" si="30"/>
        <v>0</v>
      </c>
      <c r="N85" s="1287">
        <f t="shared" si="30"/>
        <v>0</v>
      </c>
      <c r="Z85" s="2720"/>
      <c r="AA85" s="2796"/>
      <c r="AG85" s="1374"/>
      <c r="AK85" s="2796"/>
    </row>
    <row r="86" spans="1:37" ht="25.5">
      <c r="A86" s="2877" t="s">
        <v>2939</v>
      </c>
      <c r="B86" s="1726" t="str">
        <f>估价对象房地状况!G20</f>
        <v>估价对象所在区域基础设施水平</v>
      </c>
      <c r="C86" s="2770"/>
      <c r="D86" s="1288">
        <f t="shared" si="26"/>
        <v>0</v>
      </c>
      <c r="E86" s="825"/>
      <c r="F86" s="2501"/>
      <c r="G86" s="1286"/>
      <c r="H86" s="1290" t="str">
        <f t="shared" si="27"/>
        <v>——</v>
      </c>
      <c r="I86" s="819">
        <v>0.15</v>
      </c>
      <c r="J86" s="1287">
        <f t="shared" si="28"/>
        <v>0</v>
      </c>
      <c r="K86" s="1287">
        <f t="shared" si="29"/>
        <v>0</v>
      </c>
      <c r="L86" s="1287">
        <v>0</v>
      </c>
      <c r="M86" s="1287">
        <f t="shared" si="30"/>
        <v>0</v>
      </c>
      <c r="N86" s="1287">
        <f t="shared" si="30"/>
        <v>0</v>
      </c>
      <c r="Z86" s="2720"/>
      <c r="AA86" s="2796"/>
      <c r="AG86" s="1374"/>
      <c r="AK86" s="2796"/>
    </row>
    <row r="87" spans="1:37" ht="24">
      <c r="A87" s="2877" t="s">
        <v>2936</v>
      </c>
      <c r="B87" s="2883" t="s">
        <v>2950</v>
      </c>
      <c r="C87" s="2770"/>
      <c r="D87" s="1288">
        <f t="shared" si="26"/>
        <v>0</v>
      </c>
      <c r="E87" s="825"/>
      <c r="F87" s="2501"/>
      <c r="G87" s="1286"/>
      <c r="H87" s="1290" t="str">
        <f t="shared" si="27"/>
        <v>——</v>
      </c>
      <c r="I87" s="819">
        <v>0.05</v>
      </c>
      <c r="J87" s="1287">
        <f t="shared" si="28"/>
        <v>0</v>
      </c>
      <c r="K87" s="1287">
        <f t="shared" si="29"/>
        <v>0</v>
      </c>
      <c r="L87" s="1287">
        <v>0</v>
      </c>
      <c r="M87" s="1287">
        <f t="shared" si="30"/>
        <v>0</v>
      </c>
      <c r="N87" s="1287">
        <f t="shared" si="30"/>
        <v>0</v>
      </c>
      <c r="Z87" s="2720"/>
      <c r="AA87" s="2796"/>
      <c r="AG87" s="1374"/>
      <c r="AK87" s="2796"/>
    </row>
    <row r="88" spans="1:37" ht="39" thickBot="1">
      <c r="A88" s="2885" t="s">
        <v>2951</v>
      </c>
      <c r="B88" s="2890" t="str">
        <f>估价对象房地状况!G18</f>
        <v>该园区内是否有污染型企业，绿化情况，卫生条件，整体环境状况判断</v>
      </c>
      <c r="C88" s="2770"/>
      <c r="D88" s="1288">
        <f t="shared" si="26"/>
        <v>0</v>
      </c>
      <c r="E88" s="826"/>
      <c r="F88" s="2501"/>
      <c r="G88" s="1286"/>
      <c r="H88" s="1290" t="str">
        <f t="shared" si="27"/>
        <v>——</v>
      </c>
      <c r="I88" s="823">
        <v>0.06</v>
      </c>
      <c r="J88" s="1287">
        <f t="shared" si="28"/>
        <v>0</v>
      </c>
      <c r="K88" s="1287">
        <f t="shared" si="29"/>
        <v>0</v>
      </c>
      <c r="L88" s="1287">
        <v>0</v>
      </c>
      <c r="M88" s="1287">
        <f t="shared" si="30"/>
        <v>0</v>
      </c>
      <c r="N88" s="1287">
        <f t="shared" si="30"/>
        <v>0</v>
      </c>
      <c r="Z88" s="2720"/>
      <c r="AA88" s="2796"/>
      <c r="AG88" s="1374"/>
      <c r="AK88" s="2796"/>
    </row>
    <row r="90" spans="1:37">
      <c r="A90" s="3248" t="s">
        <v>2952</v>
      </c>
      <c r="B90" s="3248"/>
      <c r="C90" s="3248"/>
      <c r="D90" s="3248"/>
      <c r="E90" s="3248"/>
      <c r="F90" s="3248"/>
      <c r="G90" s="3248"/>
      <c r="H90" s="3248"/>
      <c r="I90" s="3248"/>
      <c r="J90" s="3248"/>
      <c r="K90" s="2891"/>
      <c r="L90" s="2891"/>
      <c r="M90" s="2891"/>
      <c r="N90" s="2891"/>
    </row>
    <row r="91" spans="1:37">
      <c r="A91" s="3250" t="s">
        <v>2953</v>
      </c>
      <c r="B91" s="3250" t="s">
        <v>2954</v>
      </c>
      <c r="C91" s="2845" t="s">
        <v>2955</v>
      </c>
      <c r="D91" s="2846"/>
      <c r="E91" s="2846"/>
      <c r="F91" s="2846"/>
      <c r="G91" s="2846"/>
      <c r="H91" s="2846"/>
      <c r="I91" s="2846"/>
      <c r="J91" s="2892"/>
      <c r="K91" s="2893"/>
      <c r="L91" s="2893"/>
      <c r="M91" s="2893"/>
      <c r="N91" s="2893"/>
    </row>
    <row r="92" spans="1:37">
      <c r="A92" s="3250"/>
      <c r="B92" s="3250"/>
      <c r="C92" s="944" t="s">
        <v>2821</v>
      </c>
      <c r="D92" s="944" t="s">
        <v>2822</v>
      </c>
      <c r="E92" s="944" t="s">
        <v>2823</v>
      </c>
      <c r="F92" s="944" t="s">
        <v>2824</v>
      </c>
      <c r="G92" s="944" t="s">
        <v>2825</v>
      </c>
      <c r="H92" s="944" t="s">
        <v>2826</v>
      </c>
      <c r="I92" s="944" t="s">
        <v>2827</v>
      </c>
      <c r="J92" s="944" t="s">
        <v>2828</v>
      </c>
      <c r="K92" s="944" t="s">
        <v>2829</v>
      </c>
      <c r="L92" s="944" t="s">
        <v>2830</v>
      </c>
      <c r="M92" s="944" t="s">
        <v>2831</v>
      </c>
      <c r="N92" s="944" t="s">
        <v>2832</v>
      </c>
    </row>
    <row r="93" spans="1:37">
      <c r="A93" s="3251" t="s">
        <v>2956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2"/>
      <c r="B99" s="2894" t="s">
        <v>2837</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5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1" t="s">
        <v>2957</v>
      </c>
      <c r="B101" s="2898" t="s">
        <v>2958</v>
      </c>
      <c r="C101" s="2899">
        <f>$G$3</f>
        <v>2.88</v>
      </c>
      <c r="D101" s="2899">
        <f t="shared" ref="D101:N101" si="32">$G$3</f>
        <v>2.88</v>
      </c>
      <c r="E101" s="2899">
        <f t="shared" si="32"/>
        <v>2.88</v>
      </c>
      <c r="F101" s="2899">
        <f t="shared" si="32"/>
        <v>2.88</v>
      </c>
      <c r="G101" s="2899">
        <f t="shared" si="32"/>
        <v>2.88</v>
      </c>
      <c r="H101" s="2899">
        <f t="shared" si="32"/>
        <v>2.88</v>
      </c>
      <c r="I101" s="2899">
        <f t="shared" si="32"/>
        <v>2.88</v>
      </c>
      <c r="J101" s="2899">
        <f t="shared" si="32"/>
        <v>2.88</v>
      </c>
      <c r="K101" s="2899">
        <f t="shared" si="32"/>
        <v>2.88</v>
      </c>
      <c r="L101" s="2899">
        <f t="shared" si="32"/>
        <v>2.88</v>
      </c>
      <c r="M101" s="2899">
        <f t="shared" si="32"/>
        <v>2.88</v>
      </c>
      <c r="N101" s="2899">
        <f t="shared" si="32"/>
        <v>2.88</v>
      </c>
    </row>
    <row r="102" spans="1:14">
      <c r="A102" s="3252"/>
      <c r="B102" s="2894">
        <v>1</v>
      </c>
      <c r="C102" s="2895">
        <f>1.9362/C101</f>
        <v>0.67229166666666662</v>
      </c>
      <c r="D102" s="2895">
        <f>1.9362/D101</f>
        <v>0.67229166666666662</v>
      </c>
      <c r="E102" s="2895">
        <f>1.8629/E101</f>
        <v>0.64684027777777775</v>
      </c>
      <c r="F102" s="2895">
        <f>1.8629/F101</f>
        <v>0.64684027777777775</v>
      </c>
      <c r="G102" s="2895">
        <f>1.8629/G101</f>
        <v>0.64684027777777775</v>
      </c>
      <c r="H102" s="2895">
        <f>1.8629/H101</f>
        <v>0.64684027777777775</v>
      </c>
      <c r="I102" s="2895">
        <f>1.8629/I101</f>
        <v>0.64684027777777775</v>
      </c>
      <c r="J102" s="2895">
        <f>1.942/J101</f>
        <v>0.6743055555555556</v>
      </c>
      <c r="K102" s="2895">
        <f>1.942/K101</f>
        <v>0.6743055555555556</v>
      </c>
      <c r="L102" s="2895">
        <f>1.942/L101</f>
        <v>0.6743055555555556</v>
      </c>
      <c r="M102" s="2895">
        <f>1.942/M101</f>
        <v>0.6743055555555556</v>
      </c>
      <c r="N102" s="2895">
        <f>1.942/N101</f>
        <v>0.6743055555555556</v>
      </c>
    </row>
    <row r="103" spans="1:14">
      <c r="A103" s="3252"/>
      <c r="B103" s="2894">
        <v>2</v>
      </c>
      <c r="C103" s="2895">
        <f>1.4198/C101</f>
        <v>0.49298611111111112</v>
      </c>
      <c r="D103" s="2895">
        <f>1.4198/D101</f>
        <v>0.49298611111111112</v>
      </c>
      <c r="E103" s="2895">
        <f>1.3372/E101</f>
        <v>0.46430555555555553</v>
      </c>
      <c r="F103" s="2895">
        <f>1.3372/F101</f>
        <v>0.46430555555555553</v>
      </c>
      <c r="G103" s="2895">
        <f>1.3372/G101</f>
        <v>0.46430555555555553</v>
      </c>
      <c r="H103" s="2895">
        <f>1.3372/H101</f>
        <v>0.46430555555555553</v>
      </c>
      <c r="I103" s="2895">
        <f>1.3372/I101</f>
        <v>0.46430555555555553</v>
      </c>
      <c r="J103" s="2895">
        <f>1.2799/J101</f>
        <v>0.44440972222222225</v>
      </c>
      <c r="K103" s="2895">
        <f>1.2799/K101</f>
        <v>0.44440972222222225</v>
      </c>
      <c r="L103" s="2895">
        <f>1.2799/L101</f>
        <v>0.44440972222222225</v>
      </c>
      <c r="M103" s="2895">
        <f>1.2799/M101</f>
        <v>0.44440972222222225</v>
      </c>
      <c r="N103" s="2895">
        <f>1.2799/N101</f>
        <v>0.44440972222222225</v>
      </c>
    </row>
    <row r="104" spans="1:14">
      <c r="A104" s="3252"/>
      <c r="B104" s="2894">
        <v>3</v>
      </c>
      <c r="C104" s="2895">
        <f>1.1594/C101</f>
        <v>0.40256944444444448</v>
      </c>
      <c r="D104" s="2895">
        <f>1.1594/D101</f>
        <v>0.40256944444444448</v>
      </c>
      <c r="E104" s="2895">
        <f>1.0788/E101</f>
        <v>0.37458333333333332</v>
      </c>
      <c r="F104" s="2895">
        <f>1.0788/F101</f>
        <v>0.37458333333333332</v>
      </c>
      <c r="G104" s="2895">
        <f>1.0788/G101</f>
        <v>0.37458333333333332</v>
      </c>
      <c r="H104" s="2895">
        <f>1.0788/H101</f>
        <v>0.37458333333333332</v>
      </c>
      <c r="I104" s="2895">
        <f>1.0788/I101</f>
        <v>0.37458333333333332</v>
      </c>
      <c r="J104" s="2895">
        <f>1.0072/J101</f>
        <v>0.34972222222222227</v>
      </c>
      <c r="K104" s="2895">
        <f>1.0072/K101</f>
        <v>0.34972222222222227</v>
      </c>
      <c r="L104" s="2895">
        <f>1.0072/L101</f>
        <v>0.34972222222222227</v>
      </c>
      <c r="M104" s="2895">
        <f>1.0072/M101</f>
        <v>0.34972222222222227</v>
      </c>
      <c r="N104" s="2895">
        <f>1.0072/N101</f>
        <v>0.34972222222222227</v>
      </c>
    </row>
    <row r="105" spans="1:14">
      <c r="A105" s="3252"/>
      <c r="B105" s="2894">
        <v>4</v>
      </c>
      <c r="C105" s="2895">
        <f>0.9622/C101</f>
        <v>0.33409722222222227</v>
      </c>
      <c r="D105" s="2895">
        <f>0.9622/D101</f>
        <v>0.33409722222222227</v>
      </c>
      <c r="E105" s="2895">
        <f>0.8656/E101</f>
        <v>0.30055555555555558</v>
      </c>
      <c r="F105" s="2895">
        <f>0.8656/F101</f>
        <v>0.30055555555555558</v>
      </c>
      <c r="G105" s="2895">
        <f>0.8656/G101</f>
        <v>0.30055555555555558</v>
      </c>
      <c r="H105" s="2895">
        <f>0.8656/H101</f>
        <v>0.30055555555555558</v>
      </c>
      <c r="I105" s="2895">
        <f>0.8656/I101</f>
        <v>0.30055555555555558</v>
      </c>
      <c r="J105" s="2895">
        <f>0.7525/J101</f>
        <v>0.26128472222222221</v>
      </c>
      <c r="K105" s="2895">
        <f>0.7525/K101</f>
        <v>0.26128472222222221</v>
      </c>
      <c r="L105" s="2895">
        <f>0.7525/L101</f>
        <v>0.26128472222222221</v>
      </c>
      <c r="M105" s="2895">
        <f>0.7525/M101</f>
        <v>0.26128472222222221</v>
      </c>
      <c r="N105" s="2895">
        <f>0.7525/N101</f>
        <v>0.26128472222222221</v>
      </c>
    </row>
    <row r="106" spans="1:14">
      <c r="A106" s="3252"/>
      <c r="B106" s="2894">
        <v>5</v>
      </c>
      <c r="C106" s="2895">
        <f>0.8417/C101</f>
        <v>0.29225694444444444</v>
      </c>
      <c r="D106" s="2895">
        <f>0.8417/D101</f>
        <v>0.29225694444444444</v>
      </c>
      <c r="E106" s="2895">
        <f>0.7371/E101</f>
        <v>0.25593749999999998</v>
      </c>
      <c r="F106" s="2895">
        <f>0.7371/F101</f>
        <v>0.25593749999999998</v>
      </c>
      <c r="G106" s="2895">
        <f>0.7371/G101</f>
        <v>0.25593749999999998</v>
      </c>
      <c r="H106" s="2895">
        <f>0.7371/H101</f>
        <v>0.25593749999999998</v>
      </c>
      <c r="I106" s="2895">
        <f>0.7371/I101</f>
        <v>0.25593749999999998</v>
      </c>
      <c r="J106" s="2895">
        <f>0.5659/J101</f>
        <v>0.19649305555555555</v>
      </c>
      <c r="K106" s="2895">
        <f>0.5659/K101</f>
        <v>0.19649305555555555</v>
      </c>
      <c r="L106" s="2895">
        <f>0.5659/L101</f>
        <v>0.19649305555555555</v>
      </c>
      <c r="M106" s="2895">
        <f>0.5659/M101</f>
        <v>0.19649305555555555</v>
      </c>
      <c r="N106" s="2895">
        <f>0.5659/N101</f>
        <v>0.19649305555555555</v>
      </c>
    </row>
    <row r="107" spans="1:14">
      <c r="A107" s="3252"/>
      <c r="B107" s="2894">
        <v>6</v>
      </c>
      <c r="C107" s="2895">
        <f>0.7608/C101</f>
        <v>0.26416666666666666</v>
      </c>
      <c r="D107" s="2895">
        <f>0.7608/D101</f>
        <v>0.26416666666666666</v>
      </c>
      <c r="E107" s="2895">
        <f>0.6482/E101</f>
        <v>0.22506944444444446</v>
      </c>
      <c r="F107" s="2895">
        <f>0.6482/F101</f>
        <v>0.22506944444444446</v>
      </c>
      <c r="G107" s="2895">
        <f>0.6482/G101</f>
        <v>0.22506944444444446</v>
      </c>
      <c r="H107" s="2895">
        <f>0.6482/H101</f>
        <v>0.22506944444444446</v>
      </c>
      <c r="I107" s="2895">
        <f>0.6482/I101</f>
        <v>0.22506944444444446</v>
      </c>
      <c r="J107" s="2895">
        <f>0.4525/J101</f>
        <v>0.15711805555555555</v>
      </c>
      <c r="K107" s="2895">
        <f>0.4525/K101</f>
        <v>0.15711805555555555</v>
      </c>
      <c r="L107" s="2895">
        <f>0.4525/L101</f>
        <v>0.15711805555555555</v>
      </c>
      <c r="M107" s="2895">
        <f>0.4525/M101</f>
        <v>0.15711805555555555</v>
      </c>
      <c r="N107" s="2895">
        <f>0.4525/N101</f>
        <v>0.15711805555555555</v>
      </c>
    </row>
    <row r="108" spans="1:14">
      <c r="A108" s="3252"/>
      <c r="B108" s="3078" t="s">
        <v>2959</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53"/>
      <c r="B109" s="3079"/>
      <c r="C109" s="2897">
        <f>(-0.163*(C108^2)-0.59*C108+7617)*(10^(-4))/C101</f>
        <v>0.26447916666666671</v>
      </c>
      <c r="D109" s="2897">
        <f>(-0.163*(D108^2)-0.59*D108+7617)*(10^(-4))/D101</f>
        <v>0.26447916666666671</v>
      </c>
      <c r="E109" s="2897">
        <f>(-0.161*(E108^2)-7.509*E108+6533)*(10^(-4))/E101</f>
        <v>0.22684027777777779</v>
      </c>
      <c r="F109" s="2897">
        <f>(-0.161*(F108^2)-7.509*F108+6533)*(10^(-4))/F101</f>
        <v>0.22684027777777779</v>
      </c>
      <c r="G109" s="2897">
        <f>(-0.161*(G108^2)-7.509*G108+6533)*(10^(-4))/G101</f>
        <v>0.22684027777777779</v>
      </c>
      <c r="H109" s="2897">
        <f>(-0.161*(H108^2)-7.509*H108+6533)*(10^(-4))/H101</f>
        <v>0.22684027777777779</v>
      </c>
      <c r="I109" s="2897">
        <f>(-0.161*(I108^2)-7.509*I108+6533)*(10^(-4))/I101</f>
        <v>0.22684027777777779</v>
      </c>
      <c r="J109" s="2897">
        <f>(-0.214*(J108^2)-21.991*J108+4665)*(10^(-4))/J101</f>
        <v>0.16197916666666667</v>
      </c>
      <c r="K109" s="2897">
        <f>(-0.214*(K108^2)-21.991*K108+4665)*(10^(-4))/K101</f>
        <v>0.16197916666666667</v>
      </c>
      <c r="L109" s="2897">
        <f>(-0.214*(L108^2)-21.991*L108+4665)*(10^(-4))/L101</f>
        <v>0.16197916666666667</v>
      </c>
      <c r="M109" s="2897">
        <f>(-0.214*(M108^2)-21.991*M108+4665)*(10^(-4))/M101</f>
        <v>0.16197916666666667</v>
      </c>
      <c r="N109" s="2897">
        <f>(-0.214*(N108^2)-21.991*N108+4665)*(10^(-4))/N101</f>
        <v>0.16197916666666667</v>
      </c>
    </row>
    <row r="110" spans="1:14">
      <c r="A110" s="3249" t="s">
        <v>2960</v>
      </c>
      <c r="B110" s="3249"/>
      <c r="C110" s="3249"/>
      <c r="D110" s="3249"/>
      <c r="E110" s="3249"/>
      <c r="F110" s="3249"/>
      <c r="G110" s="3249"/>
      <c r="H110" s="3249"/>
      <c r="I110" s="3249"/>
      <c r="J110" s="3249"/>
      <c r="K110" s="2900"/>
      <c r="L110" s="2900"/>
      <c r="M110" s="2900"/>
      <c r="N110" s="2900"/>
    </row>
    <row r="112" spans="1:14" ht="13.5" thickBot="1"/>
    <row r="113" spans="1:13" ht="25.5" thickBot="1">
      <c r="A113" s="902" t="s">
        <v>2961</v>
      </c>
      <c r="B113" s="1289">
        <f>G3</f>
        <v>2.88</v>
      </c>
      <c r="C113" s="903" t="s">
        <v>2962</v>
      </c>
      <c r="D113" s="904">
        <f>SUMPRODUCT((A115:A118=F113)*(B114:M114=H113)*B115:M118)</f>
        <v>0.71379999999999999</v>
      </c>
      <c r="E113" s="2724" t="s">
        <v>2794</v>
      </c>
      <c r="F113" s="2902" t="str">
        <f>E2</f>
        <v>住宅</v>
      </c>
      <c r="G113" s="2724" t="s">
        <v>2795</v>
      </c>
      <c r="H113" s="2902" t="str">
        <f>G2</f>
        <v>八级</v>
      </c>
      <c r="I113" s="2724"/>
      <c r="J113" s="2903"/>
      <c r="K113" s="2903"/>
      <c r="L113" s="2903"/>
      <c r="M113" s="2903"/>
    </row>
    <row r="114" spans="1:13">
      <c r="A114" s="907"/>
      <c r="B114" s="2904" t="s">
        <v>2963</v>
      </c>
      <c r="C114" s="2904" t="s">
        <v>2964</v>
      </c>
      <c r="D114" s="2904" t="s">
        <v>2965</v>
      </c>
      <c r="E114" s="2905" t="s">
        <v>2966</v>
      </c>
      <c r="F114" s="2905" t="s">
        <v>2967</v>
      </c>
      <c r="G114" s="2905" t="s">
        <v>2968</v>
      </c>
      <c r="H114" s="2906" t="s">
        <v>2969</v>
      </c>
      <c r="I114" s="2906" t="s">
        <v>2970</v>
      </c>
      <c r="J114" s="2907" t="s">
        <v>2971</v>
      </c>
      <c r="K114" s="2907" t="s">
        <v>2972</v>
      </c>
      <c r="L114" s="2907" t="s">
        <v>2973</v>
      </c>
      <c r="M114" s="2908" t="s">
        <v>2974</v>
      </c>
    </row>
    <row r="115" spans="1:13">
      <c r="A115" s="908" t="s">
        <v>2859</v>
      </c>
      <c r="B115" s="909">
        <f>ROUND(0.9335-0.0094*B113,4)</f>
        <v>0.90639999999999998</v>
      </c>
      <c r="C115" s="909">
        <f>B115</f>
        <v>0.90639999999999998</v>
      </c>
      <c r="D115" s="909">
        <f>ROUND(0.8331-0.0109*B113,4)</f>
        <v>0.80169999999999997</v>
      </c>
      <c r="E115" s="909">
        <f>D115</f>
        <v>0.80169999999999997</v>
      </c>
      <c r="F115" s="909">
        <f>E115</f>
        <v>0.80169999999999997</v>
      </c>
      <c r="G115" s="909">
        <f>F115</f>
        <v>0.80169999999999997</v>
      </c>
      <c r="H115" s="909">
        <f>G115</f>
        <v>0.80169999999999997</v>
      </c>
      <c r="I115" s="909">
        <f>ROUND(0.689-0.0155*B113,4)</f>
        <v>0.64439999999999997</v>
      </c>
      <c r="J115" s="909">
        <f t="shared" ref="J115:M118" si="34">I115</f>
        <v>0.64439999999999997</v>
      </c>
      <c r="K115" s="909">
        <f t="shared" si="34"/>
        <v>0.64439999999999997</v>
      </c>
      <c r="L115" s="909">
        <f t="shared" si="34"/>
        <v>0.64439999999999997</v>
      </c>
      <c r="M115" s="910">
        <f t="shared" si="34"/>
        <v>0.64439999999999997</v>
      </c>
    </row>
    <row r="116" spans="1:13">
      <c r="A116" s="908" t="s">
        <v>2860</v>
      </c>
      <c r="B116" s="909">
        <f>ROUND(0.949-0.012*B113,4)</f>
        <v>0.91439999999999999</v>
      </c>
      <c r="C116" s="909">
        <f>B116</f>
        <v>0.91439999999999999</v>
      </c>
      <c r="D116" s="909">
        <f>ROUND(0.8567-0.013*B113,4)</f>
        <v>0.81930000000000003</v>
      </c>
      <c r="E116" s="909">
        <f t="shared" ref="E116:H117" si="35">D116</f>
        <v>0.81930000000000003</v>
      </c>
      <c r="F116" s="909">
        <f t="shared" si="35"/>
        <v>0.81930000000000003</v>
      </c>
      <c r="G116" s="909">
        <f t="shared" si="35"/>
        <v>0.81930000000000003</v>
      </c>
      <c r="H116" s="909">
        <f t="shared" si="35"/>
        <v>0.81930000000000003</v>
      </c>
      <c r="I116" s="909">
        <f>ROUND(0.7694-0.014*B113,4)</f>
        <v>0.72909999999999997</v>
      </c>
      <c r="J116" s="909">
        <f t="shared" si="34"/>
        <v>0.72909999999999997</v>
      </c>
      <c r="K116" s="909">
        <f t="shared" si="34"/>
        <v>0.72909999999999997</v>
      </c>
      <c r="L116" s="909">
        <f t="shared" si="34"/>
        <v>0.72909999999999997</v>
      </c>
      <c r="M116" s="910">
        <f t="shared" si="34"/>
        <v>0.72909999999999997</v>
      </c>
    </row>
    <row r="117" spans="1:13">
      <c r="A117" s="908" t="s">
        <v>2861</v>
      </c>
      <c r="B117" s="909">
        <f>ROUND(0.8808-0.006*B113,4)</f>
        <v>0.86350000000000005</v>
      </c>
      <c r="C117" s="909">
        <f>B117</f>
        <v>0.86350000000000005</v>
      </c>
      <c r="D117" s="909">
        <f>ROUND(0.8748-0.008*B113,4)</f>
        <v>0.8518</v>
      </c>
      <c r="E117" s="909">
        <f t="shared" si="35"/>
        <v>0.8518</v>
      </c>
      <c r="F117" s="909">
        <f t="shared" si="35"/>
        <v>0.8518</v>
      </c>
      <c r="G117" s="909">
        <f t="shared" si="35"/>
        <v>0.8518</v>
      </c>
      <c r="H117" s="909">
        <f t="shared" si="35"/>
        <v>0.8518</v>
      </c>
      <c r="I117" s="909">
        <f>ROUND(0.7412-0.0095*B113,4)</f>
        <v>0.71379999999999999</v>
      </c>
      <c r="J117" s="909">
        <f t="shared" si="34"/>
        <v>0.71379999999999999</v>
      </c>
      <c r="K117" s="909">
        <f t="shared" si="34"/>
        <v>0.71379999999999999</v>
      </c>
      <c r="L117" s="909">
        <f t="shared" si="34"/>
        <v>0.71379999999999999</v>
      </c>
      <c r="M117" s="910">
        <f t="shared" si="34"/>
        <v>0.71379999999999999</v>
      </c>
    </row>
    <row r="118" spans="1:13" ht="13.5" thickBot="1">
      <c r="A118" s="713" t="s">
        <v>2862</v>
      </c>
      <c r="B118" s="911">
        <f>ROUND(0.7275-0.01*B113,4)</f>
        <v>0.69869999999999999</v>
      </c>
      <c r="C118" s="911">
        <f>B118</f>
        <v>0.69869999999999999</v>
      </c>
      <c r="D118" s="911">
        <f>ROUND(0.7043-0.012*B113,4)</f>
        <v>0.66969999999999996</v>
      </c>
      <c r="E118" s="911">
        <f>D118</f>
        <v>0.66969999999999996</v>
      </c>
      <c r="F118" s="911">
        <f>E118</f>
        <v>0.66969999999999996</v>
      </c>
      <c r="G118" s="911">
        <f>ROUND(0.6299-0.0122*B113,4)</f>
        <v>0.5948</v>
      </c>
      <c r="H118" s="911">
        <f>G118</f>
        <v>0.5948</v>
      </c>
      <c r="I118" s="911">
        <f>ROUND(0.5667-0.0136*B113,4)</f>
        <v>0.52749999999999997</v>
      </c>
      <c r="J118" s="911">
        <f t="shared" si="34"/>
        <v>0.52749999999999997</v>
      </c>
      <c r="K118" s="911">
        <f t="shared" si="34"/>
        <v>0.52749999999999997</v>
      </c>
      <c r="L118" s="911">
        <f t="shared" si="34"/>
        <v>0.52749999999999997</v>
      </c>
      <c r="M118" s="912">
        <f t="shared" si="34"/>
        <v>0.52749999999999997</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9" sqref="M29"/>
    </sheetView>
  </sheetViews>
  <sheetFormatPr defaultColWidth="12" defaultRowHeight="12.75"/>
  <cols>
    <col min="1" max="1" width="9.75" style="2796"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2784</v>
      </c>
      <c r="B1" s="240"/>
      <c r="C1" s="244" t="s">
        <v>2785</v>
      </c>
      <c r="D1" s="387">
        <f>SUM(D29:D30,D33:D39)</f>
        <v>4068</v>
      </c>
      <c r="E1" s="2717"/>
      <c r="F1" s="2717"/>
      <c r="G1" s="2717"/>
      <c r="H1" s="2717"/>
      <c r="I1" s="2717"/>
      <c r="J1" s="2717"/>
      <c r="K1" s="1372"/>
      <c r="L1" s="2718" t="s">
        <v>2786</v>
      </c>
      <c r="M1" s="1082">
        <f>SUMPRODUCT((区片价!B5:B9=I2)*(区片价!C3:F3=E2)*(区片价!C5:F9))</f>
        <v>0</v>
      </c>
      <c r="N1" s="1085">
        <f>SUMPRODUCT((因素修正幅度!B5:B9=I2)*(因素修正幅度!C3:F3=E2)*(因素修正幅度!C5:F9))</f>
        <v>0</v>
      </c>
      <c r="O1" s="2719"/>
      <c r="P1" s="2719"/>
      <c r="Q1" s="1372"/>
      <c r="R1" s="1603" t="s">
        <v>2787</v>
      </c>
      <c r="S1" s="1603" t="s">
        <v>2788</v>
      </c>
      <c r="T1" s="1603" t="s">
        <v>2789</v>
      </c>
      <c r="U1" s="1603" t="s">
        <v>2790</v>
      </c>
      <c r="V1" s="1603" t="s">
        <v>2791</v>
      </c>
      <c r="W1" s="1607"/>
      <c r="X1" s="1607"/>
      <c r="Y1" s="1607"/>
      <c r="Z1" s="1607"/>
      <c r="AA1" s="1607"/>
      <c r="AB1" s="1607"/>
      <c r="AC1" s="1608"/>
      <c r="AD1" s="1609"/>
      <c r="AE1" s="1609"/>
      <c r="AF1" s="1609"/>
      <c r="AG1" s="1609"/>
      <c r="AH1" s="1609"/>
      <c r="AI1" s="1609"/>
      <c r="AJ1" s="1610"/>
    </row>
    <row r="2" spans="1:36" ht="15.75">
      <c r="A2" s="244" t="s">
        <v>2792</v>
      </c>
      <c r="B2" s="247">
        <f ca="1">C26</f>
        <v>2377</v>
      </c>
      <c r="C2" s="2721" t="s">
        <v>2793</v>
      </c>
      <c r="D2" s="2722" t="s">
        <v>2794</v>
      </c>
      <c r="E2" s="2723" t="s">
        <v>1373</v>
      </c>
      <c r="F2" s="2722" t="s">
        <v>2795</v>
      </c>
      <c r="G2" s="2724" t="str">
        <f>IF(E2="商业",项目基本情况!B37,IF(E2="办公",项目基本情况!C37,IF(E2="住宅",项目基本情况!D37,项目基本情况!E37)))</f>
        <v>八级</v>
      </c>
      <c r="H2" s="2722" t="s">
        <v>2796</v>
      </c>
      <c r="I2" s="2724" t="str">
        <f>IF(E2="商业",项目基本情况!B38,IF(E2="办公",项目基本情况!C38,IF(E2="住宅",项目基本情况!D38,项目基本情况!E38)))</f>
        <v>Ⅷ-昌2</v>
      </c>
      <c r="J2" s="2725"/>
      <c r="K2" s="1372"/>
      <c r="L2" s="2726" t="s">
        <v>2797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13657</v>
      </c>
      <c r="U2" s="1604"/>
      <c r="V2" s="1603">
        <f ca="1">ROUND(T2*U2/10000,0)</f>
        <v>0</v>
      </c>
      <c r="W2" s="1607"/>
      <c r="X2" s="1607"/>
      <c r="Y2" s="1607"/>
      <c r="Z2" s="1607"/>
      <c r="AA2" s="1607"/>
      <c r="AB2" s="1607"/>
      <c r="AC2" s="1608"/>
      <c r="AD2" s="1609"/>
      <c r="AE2" s="1609"/>
      <c r="AF2" s="1609"/>
      <c r="AG2" s="1609"/>
      <c r="AH2" s="1609"/>
      <c r="AI2" s="1609"/>
      <c r="AJ2" s="1610"/>
    </row>
    <row r="3" spans="1:36" ht="25.5">
      <c r="A3" s="246" t="s">
        <v>2798</v>
      </c>
      <c r="B3" s="247">
        <f ca="1">ROUND(B2*10000/D1,0)</f>
        <v>5843</v>
      </c>
      <c r="C3" s="2721" t="s">
        <v>2799</v>
      </c>
      <c r="D3" s="2722" t="s">
        <v>2800</v>
      </c>
      <c r="E3" s="2727" t="s">
        <v>3135</v>
      </c>
      <c r="F3" s="2728" t="s">
        <v>2801</v>
      </c>
      <c r="G3" s="915">
        <f>IF(F3="宗地容积率",'数据-汇总表'!I4,IF(F3="估价对象容积率",'数据-汇总表'!I6,'数据-汇总表'!I7))</f>
        <v>2.88</v>
      </c>
      <c r="H3" s="197" t="s">
        <v>2802</v>
      </c>
      <c r="I3" s="946"/>
      <c r="J3" s="2725" t="s">
        <v>2803</v>
      </c>
      <c r="K3" s="1372"/>
      <c r="L3" s="2726" t="s">
        <v>2804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9001</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0"/>
      <c r="B4" s="3261"/>
      <c r="C4" s="3261"/>
      <c r="D4" s="3262"/>
      <c r="E4" s="3262"/>
      <c r="F4" s="3262"/>
      <c r="G4" s="3262"/>
      <c r="H4" s="3262"/>
      <c r="I4" s="3262"/>
      <c r="J4" s="3263"/>
      <c r="K4" s="1372"/>
      <c r="L4" s="2726" t="s">
        <v>2805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7083</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806</v>
      </c>
      <c r="B5" s="2730" t="s">
        <v>2806</v>
      </c>
      <c r="C5" s="916">
        <f>ROUND(IF(E2="商业",IF(F16="增加",C6*C7+C16,C6*C7-C16),IF(E2="住宅",IF(F16="增加",C6*C12+C16,C6*C12-C16),IF(F16="增加",C6+C16,C6-C16))),0)</f>
        <v>5495</v>
      </c>
      <c r="D5" s="1788">
        <f>ROUND(IF(E2="商业",IF(F16="增加",C6+C16,C6-C16)),0)</f>
        <v>5495</v>
      </c>
      <c r="E5" s="2731"/>
      <c r="F5" s="2731"/>
      <c r="G5" s="2732"/>
      <c r="H5" s="2732"/>
      <c r="I5" s="2732"/>
      <c r="J5" s="2733"/>
      <c r="K5" s="2734"/>
      <c r="L5" s="2726" t="s">
        <v>2807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5292</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2808</v>
      </c>
      <c r="B6" s="2740" t="s">
        <v>2809</v>
      </c>
      <c r="C6" s="917">
        <f>SUMIF(L1:L12,G2,M1:M12)</f>
        <v>5460</v>
      </c>
      <c r="D6" s="2741" t="s">
        <v>2810</v>
      </c>
      <c r="E6" s="2742"/>
      <c r="F6" s="2742"/>
      <c r="G6" s="2743"/>
      <c r="H6" s="2743"/>
      <c r="I6" s="2743"/>
      <c r="J6" s="2744"/>
      <c r="K6" s="1843"/>
      <c r="L6" s="2726" t="s">
        <v>2811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3980</v>
      </c>
      <c r="U6" s="1604"/>
      <c r="V6" s="1603">
        <f t="shared" ca="1" si="1"/>
        <v>0</v>
      </c>
      <c r="W6" s="1607"/>
      <c r="X6" s="1607"/>
      <c r="Y6" s="1607"/>
      <c r="Z6" s="1607"/>
      <c r="AA6" s="1607"/>
      <c r="AB6" s="1607"/>
      <c r="AC6" s="2735"/>
      <c r="AD6" s="2736"/>
      <c r="AE6" s="2736"/>
      <c r="AF6" s="2736"/>
      <c r="AG6" s="2736"/>
      <c r="AH6" s="2736"/>
      <c r="AI6" s="2736"/>
      <c r="AJ6" s="2737"/>
    </row>
    <row r="7" spans="1:36" ht="24">
      <c r="A7" s="3246" t="str">
        <f>IF(E2="商业",IF(C8="不临58条商业街","",2),"")</f>
        <v/>
      </c>
      <c r="B7" s="2745" t="s">
        <v>2812</v>
      </c>
      <c r="C7" s="918">
        <f>IF(C8="不临58条商业街",1,ROUND(1+(1.6*E8+1.2*E9+0.8*E10+0.4*E11)*C9,4))</f>
        <v>1</v>
      </c>
      <c r="D7" s="2746" t="s">
        <v>2813</v>
      </c>
      <c r="E7" s="947">
        <v>60</v>
      </c>
      <c r="F7" s="2747"/>
      <c r="G7" s="2748"/>
      <c r="H7" s="2748"/>
      <c r="I7" s="2748"/>
      <c r="J7" s="2749"/>
      <c r="K7" s="1843"/>
      <c r="L7" s="2726" t="s">
        <v>2814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3182</v>
      </c>
      <c r="U7" s="1604"/>
      <c r="V7" s="1603">
        <f t="shared" ca="1" si="1"/>
        <v>0</v>
      </c>
      <c r="W7" s="2952" t="s">
        <v>2815</v>
      </c>
      <c r="X7" s="1605" t="str">
        <f>G2</f>
        <v>八级</v>
      </c>
      <c r="Y7" s="1605" t="s">
        <v>2816</v>
      </c>
      <c r="Z7" s="1606">
        <f>G3</f>
        <v>2.88</v>
      </c>
      <c r="AA7" s="1607"/>
      <c r="AB7" s="1607"/>
      <c r="AC7" s="1608"/>
      <c r="AD7" s="1609"/>
      <c r="AE7" s="1609"/>
      <c r="AF7" s="1609"/>
      <c r="AG7" s="1609"/>
      <c r="AH7" s="1609"/>
      <c r="AI7" s="1609"/>
      <c r="AJ7" s="1610"/>
    </row>
    <row r="8" spans="1:36" ht="25.5">
      <c r="A8" s="3247"/>
      <c r="B8" s="197" t="s">
        <v>2817</v>
      </c>
      <c r="C8" s="2750" t="s">
        <v>3136</v>
      </c>
      <c r="D8" s="919" t="s">
        <v>139</v>
      </c>
      <c r="E8" s="920">
        <f>ROUND(C11/E7,4)</f>
        <v>0</v>
      </c>
      <c r="F8" s="2751" t="s">
        <v>2818</v>
      </c>
      <c r="G8" s="2752"/>
      <c r="H8" s="2752"/>
      <c r="I8" s="2752"/>
      <c r="J8" s="2753"/>
      <c r="K8" s="1372"/>
      <c r="L8" s="2726" t="s">
        <v>2819</v>
      </c>
      <c r="M8" s="1083">
        <f>SUMPRODUCT((区片价!B206:B244=I2)*(区片价!C3:F3=E2)*(区片价!C206:F244))</f>
        <v>5460</v>
      </c>
      <c r="N8" s="1085">
        <f>SUMPRODUCT((因素修正幅度!B206:B244=I2)*(因素修正幅度!C3:F3=E2)*(因素修正幅度!C206:F244))</f>
        <v>0.15</v>
      </c>
      <c r="O8" s="1372"/>
      <c r="P8" s="1372"/>
      <c r="Q8" s="1372"/>
      <c r="R8" s="1603">
        <v>7</v>
      </c>
      <c r="S8" s="1604"/>
      <c r="T8" s="1603">
        <f t="shared" ca="1" si="0"/>
        <v>0</v>
      </c>
      <c r="U8" s="1604"/>
      <c r="V8" s="1603">
        <f t="shared" ca="1" si="1"/>
        <v>0</v>
      </c>
      <c r="W8" s="3257" t="s">
        <v>2820</v>
      </c>
      <c r="X8" s="3258"/>
      <c r="Y8" s="1611" t="s">
        <v>2821</v>
      </c>
      <c r="Z8" s="1611" t="s">
        <v>2822</v>
      </c>
      <c r="AA8" s="1611" t="s">
        <v>2823</v>
      </c>
      <c r="AB8" s="1611" t="s">
        <v>2824</v>
      </c>
      <c r="AC8" s="1611" t="s">
        <v>2825</v>
      </c>
      <c r="AD8" s="1611" t="s">
        <v>2826</v>
      </c>
      <c r="AE8" s="1611" t="s">
        <v>2827</v>
      </c>
      <c r="AF8" s="1611" t="s">
        <v>2828</v>
      </c>
      <c r="AG8" s="1611" t="s">
        <v>2829</v>
      </c>
      <c r="AH8" s="1611" t="s">
        <v>2830</v>
      </c>
      <c r="AI8" s="1611" t="s">
        <v>2831</v>
      </c>
      <c r="AJ8" s="1611" t="s">
        <v>2832</v>
      </c>
    </row>
    <row r="9" spans="1:36" ht="15">
      <c r="A9" s="3247"/>
      <c r="B9" s="197" t="s">
        <v>2833</v>
      </c>
      <c r="C9" s="921">
        <f>SUMIF(修正!C59:C119,C8,修正!E59:E119)</f>
        <v>0</v>
      </c>
      <c r="D9" s="199" t="s">
        <v>140</v>
      </c>
      <c r="E9" s="199">
        <f>ROUND(C11/E7,4)</f>
        <v>0</v>
      </c>
      <c r="F9" s="2751" t="s">
        <v>2834</v>
      </c>
      <c r="G9" s="2752"/>
      <c r="H9" s="2752"/>
      <c r="I9" s="2752"/>
      <c r="J9" s="2753"/>
      <c r="K9" s="1372"/>
      <c r="L9" s="2726" t="s">
        <v>2835</v>
      </c>
      <c r="M9" s="1083">
        <f>SUMPRODUCT((区片价!B245:B289=I2)*(区片价!C3:F3=E2)*(区片价!C245:F289))</f>
        <v>0</v>
      </c>
      <c r="N9" s="1085">
        <f>SUMPRODUCT((因素修正幅度!B245:B289=I2)*(因素修正幅度!C3:F3=E2)*(因素修正幅度!C245:F289))</f>
        <v>0</v>
      </c>
      <c r="O9" s="1372"/>
      <c r="P9" s="1372"/>
      <c r="Q9" s="1372"/>
      <c r="R9" s="1603">
        <v>8</v>
      </c>
      <c r="S9" s="1604"/>
      <c r="T9" s="1603">
        <f t="shared" ca="1" si="0"/>
        <v>0</v>
      </c>
      <c r="U9" s="1604"/>
      <c r="V9" s="1603">
        <f t="shared" ca="1" si="1"/>
        <v>0</v>
      </c>
      <c r="W9" s="3259" t="s">
        <v>2836</v>
      </c>
      <c r="X9" s="1612" t="s">
        <v>2837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7"/>
      <c r="B10" s="197" t="s">
        <v>2838</v>
      </c>
      <c r="C10" s="199">
        <f>SUMIF(修正!C59:C119,C8,修正!F59:F119)</f>
        <v>0</v>
      </c>
      <c r="D10" s="199" t="s">
        <v>141</v>
      </c>
      <c r="E10" s="199">
        <f>ROUND(C11/E7,4)</f>
        <v>0</v>
      </c>
      <c r="F10" s="2751" t="s">
        <v>2839</v>
      </c>
      <c r="G10" s="2752"/>
      <c r="H10" s="2752"/>
      <c r="I10" s="2752"/>
      <c r="J10" s="2753"/>
      <c r="K10" s="1372"/>
      <c r="L10" s="2726" t="s">
        <v>2840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f t="shared" ca="1" si="0"/>
        <v>0</v>
      </c>
      <c r="U10" s="1604"/>
      <c r="V10" s="1603">
        <f t="shared" ca="1" si="1"/>
        <v>0</v>
      </c>
      <c r="W10" s="325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7"/>
      <c r="B11" s="2754" t="s">
        <v>2841</v>
      </c>
      <c r="C11" s="922">
        <f>C10/4</f>
        <v>0</v>
      </c>
      <c r="D11" s="922" t="s">
        <v>142</v>
      </c>
      <c r="E11" s="922">
        <f>ROUND(C11/E7,4)</f>
        <v>0</v>
      </c>
      <c r="F11" s="2755" t="s">
        <v>2842</v>
      </c>
      <c r="G11" s="2756"/>
      <c r="H11" s="2756"/>
      <c r="I11" s="2756"/>
      <c r="J11" s="2757"/>
      <c r="K11" s="1372"/>
      <c r="L11" s="2726" t="s">
        <v>2843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f t="shared" ca="1" si="0"/>
        <v>0</v>
      </c>
      <c r="U11" s="1604"/>
      <c r="V11" s="1603">
        <f t="shared" ca="1" si="1"/>
        <v>0</v>
      </c>
      <c r="W11" s="3259" t="s">
        <v>2844</v>
      </c>
      <c r="X11" s="1615" t="s">
        <v>2845</v>
      </c>
      <c r="Y11" s="1616">
        <f>$G$3</f>
        <v>2.88</v>
      </c>
      <c r="Z11" s="1616">
        <f t="shared" ref="Z11:AJ11" si="3">$G$3</f>
        <v>2.88</v>
      </c>
      <c r="AA11" s="1616">
        <f t="shared" si="3"/>
        <v>2.88</v>
      </c>
      <c r="AB11" s="1616">
        <f t="shared" si="3"/>
        <v>2.88</v>
      </c>
      <c r="AC11" s="1616">
        <f t="shared" si="3"/>
        <v>2.88</v>
      </c>
      <c r="AD11" s="1616">
        <f t="shared" si="3"/>
        <v>2.88</v>
      </c>
      <c r="AE11" s="1616">
        <f t="shared" si="3"/>
        <v>2.88</v>
      </c>
      <c r="AF11" s="1616">
        <f t="shared" si="3"/>
        <v>2.88</v>
      </c>
      <c r="AG11" s="1616">
        <f t="shared" si="3"/>
        <v>2.88</v>
      </c>
      <c r="AH11" s="1616">
        <f t="shared" si="3"/>
        <v>2.88</v>
      </c>
      <c r="AI11" s="1616">
        <f t="shared" si="3"/>
        <v>2.88</v>
      </c>
      <c r="AJ11" s="1616">
        <f t="shared" si="3"/>
        <v>2.88</v>
      </c>
    </row>
    <row r="12" spans="1:36" ht="25.5" thickBot="1">
      <c r="A12" s="3246" t="s">
        <v>2846</v>
      </c>
      <c r="B12" s="2758" t="s">
        <v>2847</v>
      </c>
      <c r="C12" s="918">
        <f>ROUND(C15*D15*E15*F15*G15*H15*I15*J15,4)</f>
        <v>1.1000000000000001</v>
      </c>
      <c r="D12" s="2759" t="s">
        <v>2848</v>
      </c>
      <c r="E12" s="2760"/>
      <c r="F12" s="2760"/>
      <c r="G12" s="2761"/>
      <c r="H12" s="2761"/>
      <c r="I12" s="2761"/>
      <c r="J12" s="2762"/>
      <c r="K12" s="1372"/>
      <c r="L12" s="2763" t="s">
        <v>2849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f t="shared" ca="1" si="0"/>
        <v>0</v>
      </c>
      <c r="U12" s="1604"/>
      <c r="V12" s="1603">
        <f t="shared" ca="1" si="1"/>
        <v>0</v>
      </c>
      <c r="W12" s="3259"/>
      <c r="X12" s="1617" t="s">
        <v>2850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4"/>
      <c r="B13" s="2764" t="s">
        <v>2851</v>
      </c>
      <c r="C13" s="2765" t="s">
        <v>2852</v>
      </c>
      <c r="D13" s="2945" t="s">
        <v>2853</v>
      </c>
      <c r="E13" s="2945" t="s">
        <v>2854</v>
      </c>
      <c r="F13" s="30" t="s">
        <v>2855</v>
      </c>
      <c r="G13" s="2766" t="s">
        <v>2856</v>
      </c>
      <c r="H13" s="2766" t="s">
        <v>2856</v>
      </c>
      <c r="I13" s="2766" t="s">
        <v>2856</v>
      </c>
      <c r="J13" s="2767" t="s">
        <v>2856</v>
      </c>
      <c r="K13" s="1372"/>
      <c r="L13" s="1372"/>
      <c r="M13" s="1372"/>
      <c r="N13" s="1372"/>
      <c r="O13" s="1372"/>
      <c r="P13" s="1372"/>
      <c r="Q13" s="1372"/>
      <c r="R13" s="1603">
        <v>12</v>
      </c>
      <c r="S13" s="1604"/>
      <c r="T13" s="1603">
        <f t="shared" ca="1" si="0"/>
        <v>0</v>
      </c>
      <c r="U13" s="1604"/>
      <c r="V13" s="1603">
        <f t="shared" ca="1" si="1"/>
        <v>0</v>
      </c>
      <c r="W13" s="3259"/>
      <c r="X13" s="1617"/>
      <c r="Y13" s="1614">
        <f>(-0.163*(Y12^2)-0.59*Y12+7617)*(10^(-4))/Y11</f>
        <v>0.26447916666666671</v>
      </c>
      <c r="Z13" s="1614">
        <f t="shared" ref="Z13:AJ13" si="5">(-0.163*(Z12^2)-0.59*Z12+7617)*(10^(-4))/Z11</f>
        <v>0.26447916666666671</v>
      </c>
      <c r="AA13" s="1614">
        <f t="shared" si="5"/>
        <v>0.26447916666666671</v>
      </c>
      <c r="AB13" s="1614">
        <f t="shared" si="5"/>
        <v>0.26447916666666671</v>
      </c>
      <c r="AC13" s="1614">
        <f t="shared" si="5"/>
        <v>0.26447916666666671</v>
      </c>
      <c r="AD13" s="1614">
        <f t="shared" si="5"/>
        <v>0.26447916666666671</v>
      </c>
      <c r="AE13" s="1614">
        <f t="shared" si="5"/>
        <v>0.26447916666666671</v>
      </c>
      <c r="AF13" s="1614">
        <f t="shared" si="5"/>
        <v>0.26447916666666671</v>
      </c>
      <c r="AG13" s="1614">
        <f t="shared" si="5"/>
        <v>0.26447916666666671</v>
      </c>
      <c r="AH13" s="1614">
        <f t="shared" si="5"/>
        <v>0.26447916666666671</v>
      </c>
      <c r="AI13" s="1614">
        <f t="shared" si="5"/>
        <v>0.26447916666666671</v>
      </c>
      <c r="AJ13" s="1614">
        <f t="shared" si="5"/>
        <v>0.26447916666666671</v>
      </c>
    </row>
    <row r="14" spans="1:36" ht="15">
      <c r="A14" s="3264"/>
      <c r="B14" s="2768"/>
      <c r="C14" s="2769" t="s">
        <v>3032</v>
      </c>
      <c r="D14" s="2770" t="s">
        <v>3137</v>
      </c>
      <c r="E14" s="2770" t="s">
        <v>3032</v>
      </c>
      <c r="F14" s="2771" t="s">
        <v>3138</v>
      </c>
      <c r="G14" s="2772" t="s">
        <v>2857</v>
      </c>
      <c r="H14" s="2773"/>
      <c r="I14" s="2774"/>
      <c r="J14" s="2775"/>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5"/>
      <c r="B15" s="2776" t="s">
        <v>2858</v>
      </c>
      <c r="C15" s="228">
        <f>IF(C14="有",1.1,1)</f>
        <v>1</v>
      </c>
      <c r="D15" s="228">
        <f>IF(D14="有",1.1,1)</f>
        <v>1.1000000000000001</v>
      </c>
      <c r="E15" s="228">
        <f>IF(E14="有",1.1,1)</f>
        <v>1</v>
      </c>
      <c r="F15" s="228">
        <f>IF(F14="500米范围内",1.2,IF(F14="500-1000米",1.1,1))</f>
        <v>1</v>
      </c>
      <c r="G15" s="948">
        <v>1</v>
      </c>
      <c r="H15" s="948">
        <v>1</v>
      </c>
      <c r="I15" s="948">
        <v>1</v>
      </c>
      <c r="J15" s="949">
        <v>1</v>
      </c>
      <c r="K15" s="1372"/>
      <c r="L15" s="2777" t="s">
        <v>2794</v>
      </c>
      <c r="M15" s="919" t="s">
        <v>2859</v>
      </c>
      <c r="N15" s="919" t="s">
        <v>2860</v>
      </c>
      <c r="O15" s="919" t="s">
        <v>2861</v>
      </c>
      <c r="P15" s="2778" t="s">
        <v>2862</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6" t="s">
        <v>2863</v>
      </c>
      <c r="B16" s="2745" t="s">
        <v>2864</v>
      </c>
      <c r="C16" s="2941">
        <f>ROUND(SUM(G17:J17)/C17,0)</f>
        <v>35</v>
      </c>
      <c r="D16" s="2779" t="s">
        <v>2865</v>
      </c>
      <c r="E16" s="2780" t="s">
        <v>3139</v>
      </c>
      <c r="F16" s="2781" t="s">
        <v>3140</v>
      </c>
      <c r="G16" s="2782" t="s">
        <v>3039</v>
      </c>
      <c r="H16" s="2782" t="s">
        <v>3038</v>
      </c>
      <c r="I16" s="2782"/>
      <c r="J16" s="2783"/>
      <c r="K16" s="1372"/>
      <c r="L16" s="2784" t="s">
        <v>2866</v>
      </c>
      <c r="M16" s="921">
        <v>0.25</v>
      </c>
      <c r="N16" s="921">
        <v>0.2</v>
      </c>
      <c r="O16" s="921">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7"/>
      <c r="B17" s="2785" t="s">
        <v>2867</v>
      </c>
      <c r="C17" s="923">
        <f>SUMPRODUCT((修正!A2:A5=E2)*(修正!B1:M1=G2)*(修正!B2:M5))</f>
        <v>2</v>
      </c>
      <c r="D17" s="2786" t="s">
        <v>2868</v>
      </c>
      <c r="E17" s="922" t="str">
        <f>IF(OR(G2="八级",G2="九级",G2="十级",G2="十一级",G2="十二级"),"五通一平","七通一平")</f>
        <v>五通一平</v>
      </c>
      <c r="F17" s="923" t="s">
        <v>2869</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87" t="s">
        <v>2870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807</v>
      </c>
      <c r="B18" s="2790" t="s">
        <v>2871</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808</v>
      </c>
      <c r="B19" s="2790" t="s">
        <v>2872</v>
      </c>
      <c r="C19" s="926">
        <f>ROUND(IF(H19="按公示增长率计算",SUMPRODUCT((地价!A3:A21=YEAR(G19)&amp;"-"&amp;ROUNDUP(MONTH(G19)/3,0))*(地价!X2:AB2=E2)*(地价!X3:AB21)),IF(H19="地价指数",M20/M19,(1+I19)^O19)),4)</f>
        <v>1.2463</v>
      </c>
      <c r="D19" s="2797" t="s">
        <v>2873</v>
      </c>
      <c r="E19" s="927">
        <v>41640</v>
      </c>
      <c r="F19" s="2797" t="s">
        <v>2874</v>
      </c>
      <c r="G19" s="928">
        <f>'数据-取费表'!B2</f>
        <v>42990</v>
      </c>
      <c r="H19" s="2798" t="s">
        <v>3141</v>
      </c>
      <c r="I19" s="929" t="str">
        <f>IF(H19="季度增幅（自定义）",SUMIF(N21:N24,E2,O21:O24),"")</f>
        <v/>
      </c>
      <c r="J19" s="2795"/>
      <c r="K19" s="1379"/>
      <c r="L19" s="2799" t="s">
        <v>2875</v>
      </c>
      <c r="M19" s="1735">
        <f>ROUND(SUMIF(地价!B2:F2,E2,地价!B21:F21),0)</f>
        <v>258</v>
      </c>
      <c r="N19" s="2800" t="s">
        <v>2876</v>
      </c>
      <c r="O19" s="930">
        <f>ROUNDDOWN(DATEDIF(E19,G19,"M")/3,0)</f>
        <v>14</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809</v>
      </c>
      <c r="B20" s="2805" t="s">
        <v>2877</v>
      </c>
      <c r="C20" s="931">
        <f ca="1">ROUND(POWER(1+G20,J20-I20)*(POWER(1+G20,I20)-1)/(POWER(1+G20,J20)-1),4)</f>
        <v>0.97860000000000003</v>
      </c>
      <c r="D20" s="2806" t="s">
        <v>2878</v>
      </c>
      <c r="E20" s="1769">
        <f ca="1">存贷款利率!D4/100</f>
        <v>4.3499999999999997E-2</v>
      </c>
      <c r="F20" s="2806" t="s">
        <v>2870</v>
      </c>
      <c r="G20" s="936">
        <f ca="1">SUMIF(M15:P15,E2,M17:P17)</f>
        <v>5.3999999999999999E-2</v>
      </c>
      <c r="H20" s="2806" t="s">
        <v>2879</v>
      </c>
      <c r="I20" s="937">
        <f>SUMIF('数据-取费表'!C6:C15,E2,'数据-取费表'!F6:F15)/COUNTIF('数据-取费表'!C6:C15,E2)</f>
        <v>37.28</v>
      </c>
      <c r="J20" s="938">
        <f>IF(E2="住宅",70,IF(E2="商业",40,50))</f>
        <v>40</v>
      </c>
      <c r="K20" s="1379"/>
      <c r="L20" s="2807" t="s">
        <v>2880</v>
      </c>
      <c r="M20" s="1736">
        <f>ROUND(SUMPRODUCT((地价!A4:A21=YEAR(G19)&amp;"-"&amp;ROUNDUP(MONTH(G19)/3,0))*(地价!B2:F2=E2)*(地价!B4:F21)),0)</f>
        <v>321</v>
      </c>
      <c r="N20" s="2808" t="s">
        <v>2881</v>
      </c>
      <c r="O20" s="2809" t="s">
        <v>2882</v>
      </c>
      <c r="P20" s="2810" t="s">
        <v>2883</v>
      </c>
      <c r="R20" s="1378"/>
      <c r="S20" s="1378"/>
      <c r="T20" s="1373"/>
      <c r="U20" s="1373"/>
      <c r="V20" s="1373"/>
      <c r="W20" s="1372"/>
      <c r="X20" s="1372"/>
      <c r="Y20" s="1372"/>
      <c r="Z20" s="1379"/>
      <c r="AA20" s="1380"/>
      <c r="AB20" s="1380"/>
      <c r="AC20" s="1380"/>
      <c r="AD20" s="1380"/>
      <c r="AE20" s="1380"/>
      <c r="AF20" s="1380"/>
    </row>
    <row r="21" spans="1:37" s="2738" customFormat="1" ht="15">
      <c r="A21" s="2811" t="s">
        <v>810</v>
      </c>
      <c r="B21" s="3298" t="s">
        <v>3142</v>
      </c>
      <c r="C21" s="2951">
        <f>IF(B21="容积率修正",IF(G3&lt;=10,D22,J22),C23)</f>
        <v>0.83079999999999998</v>
      </c>
      <c r="D21" s="2812"/>
      <c r="E21" s="2812"/>
      <c r="F21" s="2812"/>
      <c r="G21" s="2812"/>
      <c r="H21" s="2812"/>
      <c r="I21" s="2812"/>
      <c r="J21" s="2813"/>
      <c r="K21" s="1379"/>
      <c r="N21" s="2814" t="s">
        <v>2884</v>
      </c>
      <c r="O21" s="1563"/>
      <c r="P21" s="1564">
        <f>SUMPRODUCT((地价!A3:A21=YEAR(G19)&amp;"-"&amp;ROUNDUP(MONTH(G19)/3,0))*(地价!AD2:AH2=N21)*(地价!AD3:AH21))</f>
        <v>1.6400000000000001E-2</v>
      </c>
      <c r="R21" s="1378"/>
      <c r="S21" s="1378"/>
      <c r="T21" s="1373"/>
      <c r="U21" s="1373"/>
      <c r="V21" s="1373"/>
      <c r="W21" s="1372"/>
      <c r="X21" s="1372"/>
      <c r="Y21" s="1372"/>
      <c r="Z21" s="1379"/>
      <c r="AA21" s="1380"/>
      <c r="AB21" s="1380"/>
      <c r="AC21" s="1380"/>
      <c r="AD21" s="1380"/>
      <c r="AE21" s="1380"/>
      <c r="AF21" s="1380"/>
    </row>
    <row r="22" spans="1:37" s="2738" customFormat="1" ht="14.25">
      <c r="A22" s="2664" t="s">
        <v>2885</v>
      </c>
      <c r="B22" s="2815" t="s">
        <v>2886</v>
      </c>
      <c r="C22" s="2950" t="s">
        <v>2887</v>
      </c>
      <c r="D22" s="2950">
        <f>IF(E22=G22,F22,IF(G3&lt;=10,ROUND(F22+(H22-F22)*(G3-E22)/(G22-E22),4),"——"))</f>
        <v>0.83079999999999998</v>
      </c>
      <c r="E22" s="915">
        <f>ROUNDDOWN(G3,1)</f>
        <v>2.8</v>
      </c>
      <c r="F22" s="2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915">
        <f>ROUNDUP(G3,1)</f>
        <v>2.9</v>
      </c>
      <c r="H22" s="2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0.82809999999999995</v>
      </c>
      <c r="I22" s="2950" t="s">
        <v>155</v>
      </c>
      <c r="J22" s="940" t="str">
        <f>IF(G3&gt;10,D113,"——")</f>
        <v>——</v>
      </c>
      <c r="K22" s="1379"/>
      <c r="N22" s="2814" t="s">
        <v>2888</v>
      </c>
      <c r="O22" s="1563"/>
      <c r="P22" s="1564">
        <f>SUMPRODUCT((地价!A3:A21=YEAR(G19)&amp;"-"&amp;ROUNDUP(MONTH(G19)/3,0))*(地价!AD2:AH2=N22)*(地价!AD3:AH21))</f>
        <v>1.6400000000000001E-2</v>
      </c>
      <c r="R22" s="1378"/>
      <c r="S22" s="1378"/>
      <c r="T22" s="1373"/>
      <c r="U22" s="1373"/>
      <c r="V22" s="1373"/>
      <c r="W22" s="1372"/>
      <c r="X22" s="1372"/>
      <c r="Y22" s="1372"/>
      <c r="Z22" s="1379"/>
      <c r="AA22" s="1380"/>
      <c r="AB22" s="1380"/>
      <c r="AC22" s="1380"/>
      <c r="AD22" s="1380"/>
      <c r="AE22" s="1380"/>
      <c r="AF22" s="1380"/>
    </row>
    <row r="23" spans="1:37" ht="27.75" thickBot="1">
      <c r="A23" s="2664" t="s">
        <v>2889</v>
      </c>
      <c r="B23" s="2816" t="s">
        <v>2890</v>
      </c>
      <c r="C23" s="1015">
        <f>ROUND(IF(G3&gt;1,IF(I3&lt;7,SUMPRODUCT((B93:B98=I3)*(C92:N92=G2)*(C93:N98)),SUMIF(C92:N92,G2,C100:N100)),IF(I3&lt;7,SUMPRODUCT((B102:B107=I3)*(C92:N92=G2)*(C102:N107)),SUMIF(C92:N92,G2,C109:N109))),4)</f>
        <v>0</v>
      </c>
      <c r="D23" s="2773"/>
      <c r="E23" s="2773"/>
      <c r="F23" s="2817"/>
      <c r="G23" s="2818"/>
      <c r="H23" s="2819"/>
      <c r="I23" s="2820"/>
      <c r="J23" s="2821"/>
      <c r="K23" s="1372"/>
      <c r="N23" s="2814" t="s">
        <v>2891</v>
      </c>
      <c r="O23" s="1563"/>
      <c r="P23" s="1564">
        <f>SUMPRODUCT((地价!A3:A21=YEAR(G19)&amp;"-"&amp;ROUNDUP(MONTH(G19)/3,0))*(地价!AD2:AH2=N23)*(地价!AD3:AH21))</f>
        <v>2.7799999999999998E-2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811</v>
      </c>
      <c r="B24" s="2790" t="s">
        <v>2892</v>
      </c>
      <c r="C24" s="926">
        <f>SUMIF(A45:A88,E2,B45:B88)</f>
        <v>1.0492999999999999</v>
      </c>
      <c r="D24" s="2793"/>
      <c r="E24" s="2822"/>
      <c r="F24" s="2822"/>
      <c r="G24" s="2822"/>
      <c r="H24" s="2822"/>
      <c r="I24" s="2822"/>
      <c r="J24" s="2823"/>
      <c r="K24" s="1379"/>
      <c r="N24" s="2824" t="s">
        <v>2893</v>
      </c>
      <c r="O24" s="1565"/>
      <c r="P24" s="1566">
        <f>SUMPRODUCT((地价!A3:A21=YEAR(G19)&amp;"-"&amp;ROUNDUP(MONTH(G19)/3,0))*(地价!AD2:AH2=N24)*(地价!AD3:AH21))</f>
        <v>1.3899999999999999E-2</v>
      </c>
      <c r="R24" s="1378"/>
      <c r="S24" s="1378"/>
      <c r="T24" s="1373"/>
      <c r="U24" s="1373"/>
      <c r="V24" s="1373"/>
      <c r="W24" s="1372"/>
      <c r="X24" s="1372"/>
      <c r="Y24" s="1372"/>
      <c r="Z24" s="1379"/>
      <c r="AA24" s="1380"/>
      <c r="AB24" s="1380"/>
      <c r="AC24" s="1380"/>
      <c r="AD24" s="1380"/>
      <c r="AE24" s="1380"/>
      <c r="AF24" s="1380"/>
    </row>
    <row r="25" spans="1:37" ht="15.75" thickBot="1">
      <c r="A25" s="2804" t="s">
        <v>812</v>
      </c>
      <c r="B25" s="2825" t="s">
        <v>2894</v>
      </c>
      <c r="C25" s="932"/>
      <c r="D25" s="2748"/>
      <c r="E25" s="2748"/>
      <c r="F25" s="2826"/>
      <c r="G25" s="2748"/>
      <c r="H25" s="2748"/>
      <c r="I25" s="2748"/>
      <c r="J25" s="2749"/>
      <c r="K25" s="1372"/>
      <c r="N25" s="2827" t="s">
        <v>2895</v>
      </c>
      <c r="O25" s="1567"/>
      <c r="P25" s="1566">
        <f>SUMPRODUCT((地价!A3:A21=YEAR(G19)&amp;"-"&amp;ROUNDUP(MONTH(G19)/3,0))*(地价!AD2:AH2=N25)*(地价!AD3:AH21))</f>
        <v>2.4899999999999999E-2</v>
      </c>
      <c r="R25" s="1378"/>
      <c r="S25" s="1378"/>
      <c r="T25" s="1373"/>
      <c r="U25" s="1373"/>
      <c r="V25" s="1373"/>
      <c r="W25" s="1372"/>
      <c r="X25" s="1372"/>
      <c r="Y25" s="1372"/>
      <c r="Z25" s="1379"/>
      <c r="AA25" s="1380"/>
      <c r="AB25" s="1380"/>
      <c r="AC25" s="1380"/>
      <c r="AD25" s="1380"/>
    </row>
    <row r="26" spans="1:37" ht="15">
      <c r="A26" s="2828"/>
      <c r="B26" s="2815" t="s">
        <v>2896</v>
      </c>
      <c r="C26" s="205">
        <f ca="1">E29+SUM(E33:E39)</f>
        <v>2377</v>
      </c>
      <c r="D26" s="2829"/>
      <c r="E26" s="2773"/>
      <c r="F26" s="2830"/>
      <c r="G26" s="2773"/>
      <c r="H26" s="2773"/>
      <c r="I26" s="2773"/>
      <c r="J26" s="2831"/>
      <c r="K26" s="1372"/>
      <c r="R26" s="1378"/>
      <c r="S26" s="1378"/>
      <c r="T26" s="1373"/>
      <c r="U26" s="1373"/>
      <c r="V26" s="1373"/>
      <c r="W26" s="1372"/>
      <c r="X26" s="1372"/>
      <c r="Y26" s="1372"/>
      <c r="Z26" s="1379"/>
      <c r="AA26" s="1380"/>
      <c r="AB26" s="1380"/>
      <c r="AC26" s="1380"/>
      <c r="AD26" s="1380"/>
    </row>
    <row r="27" spans="1:37" ht="15.75" thickBot="1">
      <c r="A27" s="2828"/>
      <c r="B27" s="2832" t="s">
        <v>2897</v>
      </c>
      <c r="C27" s="933">
        <f ca="1">E30+SUM(I33:I39)</f>
        <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2898</v>
      </c>
      <c r="C28" s="2839" t="s">
        <v>2899</v>
      </c>
      <c r="D28" s="2839" t="s">
        <v>2900</v>
      </c>
      <c r="E28" s="2840" t="s">
        <v>2901</v>
      </c>
      <c r="F28" s="2841"/>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2902</v>
      </c>
      <c r="C29" s="205">
        <f ca="1">ROUND(C5*C18*C19*C20*C21*C24,0)</f>
        <v>5842</v>
      </c>
      <c r="D29" s="2844">
        <f>'数据-汇总表'!F20</f>
        <v>4068</v>
      </c>
      <c r="E29" s="2955">
        <f ca="1">ROUND(C29*D29/10000,0)</f>
        <v>2377</v>
      </c>
      <c r="F29" s="2845" t="s">
        <v>2903</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8"/>
      <c r="B30" s="2849" t="s">
        <v>2904</v>
      </c>
      <c r="C30" s="228">
        <f ca="1">ROUND(IF(E2="工业",C29*M39,C29*M38),0)</f>
        <v>1461</v>
      </c>
      <c r="D30" s="2850"/>
      <c r="E30" s="2955">
        <f ca="1">ROUND(C30*D30/10000,0)</f>
        <v>0</v>
      </c>
      <c r="F30" s="2851" t="s">
        <v>2905</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4"/>
      <c r="B31" s="2855" t="s">
        <v>2906</v>
      </c>
      <c r="C31" s="2856" t="s">
        <v>2907</v>
      </c>
      <c r="D31" s="2761"/>
      <c r="E31" s="2856"/>
      <c r="F31" s="2856"/>
      <c r="G31" s="2759" t="s">
        <v>2908</v>
      </c>
      <c r="H31" s="2761"/>
      <c r="I31" s="2857"/>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2"/>
      <c r="B32" s="2858"/>
      <c r="C32" s="500" t="s">
        <v>2899</v>
      </c>
      <c r="D32" s="497" t="s">
        <v>2900</v>
      </c>
      <c r="E32" s="497" t="s">
        <v>2901</v>
      </c>
      <c r="F32" s="387" t="s">
        <v>2909</v>
      </c>
      <c r="G32" s="2859" t="s">
        <v>2899</v>
      </c>
      <c r="H32" s="2859" t="s">
        <v>2900</v>
      </c>
      <c r="I32" s="2859" t="s">
        <v>2901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hidden="1" customHeight="1">
      <c r="A33" s="3254" t="s">
        <v>2910</v>
      </c>
      <c r="B33" s="2860" t="s">
        <v>2911</v>
      </c>
      <c r="C33" s="205">
        <f ca="1">ROUND(D5*C19*C20*C24*F33,0)</f>
        <v>4219</v>
      </c>
      <c r="D33" s="2844"/>
      <c r="E33" s="199">
        <f ca="1">ROUND(C33*D33/10000,0)</f>
        <v>0</v>
      </c>
      <c r="F33" s="199">
        <f>SUMIF(修正!A45:A56,G2,修正!B45:B56)</f>
        <v>0.6</v>
      </c>
      <c r="G33" s="199">
        <f t="shared" ref="G33:G39" ca="1" si="6">ROUND(IF(E2="工业",C33*$M$39,C33*$M$38),0)</f>
        <v>1055</v>
      </c>
      <c r="H33" s="199">
        <f>D33</f>
        <v>0</v>
      </c>
      <c r="I33" s="199">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hidden="1">
      <c r="A34" s="3255"/>
      <c r="B34" s="2765" t="s">
        <v>2912</v>
      </c>
      <c r="C34" s="205">
        <f ca="1">ROUND(D5*C19*C20*C24*F34,0)</f>
        <v>2110</v>
      </c>
      <c r="D34" s="2844"/>
      <c r="E34" s="199">
        <f t="shared" ref="E34:E39" ca="1" si="7">ROUND(C34*D34/10000,0)</f>
        <v>0</v>
      </c>
      <c r="F34" s="199">
        <f>SUMIF(修正!A45:A56,G2,修正!C45:C56)</f>
        <v>0.3</v>
      </c>
      <c r="G34" s="199">
        <f t="shared" ca="1" si="6"/>
        <v>528</v>
      </c>
      <c r="H34" s="199">
        <f t="shared" ref="H34:H39" si="8">D34</f>
        <v>0</v>
      </c>
      <c r="I34" s="199">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hidden="1">
      <c r="A35" s="3255"/>
      <c r="B35" s="2765" t="s">
        <v>2913</v>
      </c>
      <c r="C35" s="205">
        <f ca="1">ROUND(D5*C19*C20*C24*F35,0)</f>
        <v>1406</v>
      </c>
      <c r="D35" s="2844"/>
      <c r="E35" s="199">
        <f t="shared" ca="1" si="7"/>
        <v>0</v>
      </c>
      <c r="F35" s="199">
        <f>SUMIF(修正!A45:A56,G2,修正!D45:D56)</f>
        <v>0.2</v>
      </c>
      <c r="G35" s="199">
        <f t="shared" ca="1" si="6"/>
        <v>352</v>
      </c>
      <c r="H35" s="199">
        <f t="shared" si="8"/>
        <v>0</v>
      </c>
      <c r="I35" s="199">
        <f t="shared" ca="1" si="9"/>
        <v>0</v>
      </c>
      <c r="J35" s="2861"/>
      <c r="K35" s="1372"/>
      <c r="L35" s="1372"/>
      <c r="M35" s="1372"/>
      <c r="N35" s="1372"/>
      <c r="O35" s="1372"/>
      <c r="P35" s="1372"/>
      <c r="Q35" s="1372"/>
      <c r="R35" s="1372"/>
      <c r="S35" s="1372"/>
      <c r="T35" s="1372"/>
      <c r="U35" s="1372"/>
      <c r="V35" s="1372"/>
      <c r="W35" s="1372"/>
      <c r="X35" s="1372"/>
      <c r="Y35" s="1372"/>
      <c r="Z35" s="1373"/>
    </row>
    <row r="36" spans="1:37" hidden="1">
      <c r="A36" s="3256"/>
      <c r="B36" s="2765" t="s">
        <v>2914</v>
      </c>
      <c r="C36" s="205">
        <f ca="1">ROUND(D5*C19*C20*C24*F36,0)</f>
        <v>1406</v>
      </c>
      <c r="D36" s="2844"/>
      <c r="E36" s="199">
        <f t="shared" ca="1" si="7"/>
        <v>0</v>
      </c>
      <c r="F36" s="199">
        <f>SUMIF(修正!A45:A56,G2,修正!E45:E56)</f>
        <v>0.2</v>
      </c>
      <c r="G36" s="199">
        <f t="shared" ca="1" si="6"/>
        <v>352</v>
      </c>
      <c r="H36" s="199">
        <f t="shared" si="8"/>
        <v>0</v>
      </c>
      <c r="I36" s="199">
        <f t="shared" ca="1" si="9"/>
        <v>0</v>
      </c>
      <c r="J36" s="2861"/>
      <c r="K36" s="1372"/>
      <c r="L36" s="2719"/>
      <c r="M36" s="2719"/>
      <c r="N36" s="1372"/>
      <c r="O36" s="1372"/>
      <c r="P36" s="1372"/>
      <c r="Q36" s="1372"/>
      <c r="R36" s="1372"/>
      <c r="S36" s="1372"/>
      <c r="T36" s="1372"/>
      <c r="U36" s="1372"/>
      <c r="V36" s="1372"/>
      <c r="W36" s="1372"/>
      <c r="X36" s="1372"/>
      <c r="Y36" s="1372"/>
      <c r="Z36" s="1373"/>
    </row>
    <row r="37" spans="1:37" hidden="1">
      <c r="A37" s="2862"/>
      <c r="B37" s="2765" t="s">
        <v>2915</v>
      </c>
      <c r="C37" s="199">
        <f ca="1">ROUND(C5*C19*C20*C24*F37,0)</f>
        <v>1406</v>
      </c>
      <c r="D37" s="2844"/>
      <c r="E37" s="199">
        <f t="shared" ca="1" si="7"/>
        <v>0</v>
      </c>
      <c r="F37" s="205">
        <f>SUMIF(修正!A45:A56,G2,修正!F45:F56)</f>
        <v>0.2</v>
      </c>
      <c r="G37" s="199">
        <f t="shared" ca="1" si="6"/>
        <v>352</v>
      </c>
      <c r="H37" s="199">
        <f t="shared" si="8"/>
        <v>0</v>
      </c>
      <c r="I37" s="199">
        <f t="shared" ca="1" si="9"/>
        <v>0</v>
      </c>
      <c r="J37" s="2861"/>
      <c r="K37" s="1372"/>
      <c r="L37" s="2863" t="s">
        <v>2916</v>
      </c>
      <c r="M37" s="2864"/>
      <c r="N37" s="1372"/>
      <c r="O37" s="1372"/>
      <c r="P37" s="1372"/>
      <c r="Q37" s="1372"/>
      <c r="R37" s="1372"/>
      <c r="S37" s="1372"/>
      <c r="T37" s="1372"/>
      <c r="U37" s="1372"/>
      <c r="V37" s="1372"/>
      <c r="W37" s="1372"/>
      <c r="X37" s="1372"/>
      <c r="Y37" s="1372"/>
      <c r="Z37" s="1373"/>
    </row>
    <row r="38" spans="1:37" hidden="1">
      <c r="A38" s="2862"/>
      <c r="B38" s="2765" t="s">
        <v>2917</v>
      </c>
      <c r="C38" s="199">
        <f ca="1">ROUND(C5*C19*C20*C24*F38,0)</f>
        <v>1406</v>
      </c>
      <c r="D38" s="2844"/>
      <c r="E38" s="199">
        <f t="shared" ca="1" si="7"/>
        <v>0</v>
      </c>
      <c r="F38" s="205">
        <f>SUMIF(修正!A45:A56,G2,修正!G45:G56)</f>
        <v>0.2</v>
      </c>
      <c r="G38" s="199">
        <f t="shared" ca="1" si="6"/>
        <v>352</v>
      </c>
      <c r="H38" s="199">
        <f t="shared" si="8"/>
        <v>0</v>
      </c>
      <c r="I38" s="199">
        <f t="shared" ca="1" si="9"/>
        <v>0</v>
      </c>
      <c r="J38" s="2861"/>
      <c r="K38" s="1372"/>
      <c r="L38" s="1888" t="s">
        <v>2918</v>
      </c>
      <c r="M38" s="2865">
        <v>0.25</v>
      </c>
      <c r="N38" s="1372"/>
      <c r="O38" s="1372"/>
      <c r="P38" s="1372"/>
      <c r="Q38" s="1372"/>
      <c r="R38" s="1372"/>
      <c r="S38" s="1372"/>
      <c r="T38" s="1372"/>
      <c r="U38" s="1372"/>
      <c r="V38" s="1372"/>
      <c r="W38" s="1372"/>
      <c r="X38" s="1372"/>
      <c r="Y38" s="1372"/>
      <c r="Z38" s="1373"/>
    </row>
    <row r="39" spans="1:37" ht="13.5" thickBot="1">
      <c r="A39" s="2848"/>
      <c r="B39" s="2866" t="s">
        <v>2919</v>
      </c>
      <c r="C39" s="228">
        <f ca="1">ROUND(C5*C19*C20*C24*F39,0)</f>
        <v>1055</v>
      </c>
      <c r="D39" s="2850"/>
      <c r="E39" s="228">
        <f t="shared" ca="1" si="7"/>
        <v>0</v>
      </c>
      <c r="F39" s="934">
        <f>SUMIF(修正!A45:A56,G2,修正!H45:H56)</f>
        <v>0.15</v>
      </c>
      <c r="G39" s="228">
        <f t="shared" ca="1" si="6"/>
        <v>264</v>
      </c>
      <c r="H39" s="228">
        <f t="shared" si="8"/>
        <v>0</v>
      </c>
      <c r="I39" s="228">
        <f t="shared" ca="1" si="9"/>
        <v>0</v>
      </c>
      <c r="J39" s="2867"/>
      <c r="K39" s="1372"/>
      <c r="L39" s="2868" t="s">
        <v>2862</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2920</v>
      </c>
      <c r="B45" s="2872"/>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3" t="s">
        <v>2921</v>
      </c>
      <c r="B46" s="2874">
        <f>1+E48</f>
        <v>1.0492999999999999</v>
      </c>
      <c r="C46" s="2875"/>
      <c r="D46" s="813"/>
      <c r="E46" s="814"/>
      <c r="F46" s="2876"/>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7" t="s">
        <v>2922</v>
      </c>
      <c r="B47" s="2944" t="s">
        <v>2923</v>
      </c>
      <c r="C47" s="2944" t="s">
        <v>2924</v>
      </c>
      <c r="D47" s="2944" t="s">
        <v>2925</v>
      </c>
      <c r="E47" s="818" t="s">
        <v>2926</v>
      </c>
      <c r="F47" s="2878" t="s">
        <v>2927</v>
      </c>
      <c r="G47" s="2944" t="s">
        <v>754</v>
      </c>
      <c r="H47" s="2879" t="s">
        <v>2928</v>
      </c>
      <c r="I47" s="2944" t="s">
        <v>2929</v>
      </c>
      <c r="J47" s="602" t="s">
        <v>2579</v>
      </c>
      <c r="K47" s="602" t="s">
        <v>2580</v>
      </c>
      <c r="L47" s="602" t="s">
        <v>2581</v>
      </c>
      <c r="M47" s="602" t="s">
        <v>2582</v>
      </c>
      <c r="N47" s="602" t="s">
        <v>2583</v>
      </c>
      <c r="AA47" s="1373"/>
      <c r="AB47" s="1373"/>
      <c r="AC47" s="1373"/>
      <c r="AD47" s="1373"/>
      <c r="AE47" s="1373"/>
      <c r="AF47" s="1373"/>
      <c r="AG47" s="1373"/>
      <c r="AH47" s="1373"/>
      <c r="AI47" s="1373"/>
      <c r="AJ47" s="1373"/>
      <c r="AK47" s="1373"/>
    </row>
    <row r="48" spans="1:37" s="1372" customFormat="1" ht="38.25">
      <c r="A48" s="2877" t="s">
        <v>2930</v>
      </c>
      <c r="B48" s="2880" t="str">
        <f>估价对象房地状况!C4</f>
        <v>估价对象位于XX商圈，周边商业氛围成熟，人流量大，商业繁华度好</v>
      </c>
      <c r="C48" s="2770" t="s">
        <v>3055</v>
      </c>
      <c r="D48" s="1288">
        <f t="shared" ref="D48:D56" si="10">SUMIF($J$47:$N$47,C48,J48:N48)</f>
        <v>0</v>
      </c>
      <c r="E48" s="820">
        <f>ROUND(SUM(D48:D56),4)</f>
        <v>4.9299999999999997E-2</v>
      </c>
      <c r="F48" s="2501">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77" t="s">
        <v>2931</v>
      </c>
      <c r="B49" s="2881" t="str">
        <f>估价对象房地状况!C18</f>
        <v>估价对象周边道路状况、公共交通通达情况、停车便捷程度，综合评价交通便捷度较好</v>
      </c>
      <c r="C49" s="2770" t="s">
        <v>3054</v>
      </c>
      <c r="D49" s="1288">
        <f t="shared" si="10"/>
        <v>1.8700000000000001E-2</v>
      </c>
      <c r="E49" s="821"/>
      <c r="F49" s="2501"/>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77" t="s">
        <v>2932</v>
      </c>
      <c r="B50" s="2881">
        <f>估价对象房地状况!C19</f>
        <v>0</v>
      </c>
      <c r="C50" s="2770" t="s">
        <v>3054</v>
      </c>
      <c r="D50" s="1288">
        <f t="shared" si="10"/>
        <v>3.7000000000000002E-3</v>
      </c>
      <c r="E50" s="821"/>
      <c r="F50" s="2501"/>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77" t="s">
        <v>2933</v>
      </c>
      <c r="B51" s="2882" t="s">
        <v>2934</v>
      </c>
      <c r="C51" s="2770" t="s">
        <v>3054</v>
      </c>
      <c r="D51" s="1288">
        <f t="shared" si="10"/>
        <v>3.7000000000000002E-3</v>
      </c>
      <c r="E51" s="821"/>
      <c r="F51" s="2501"/>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77" t="s">
        <v>2935</v>
      </c>
      <c r="B52" s="2881">
        <f>估价对象房地状况!C24</f>
        <v>0</v>
      </c>
      <c r="C52" s="2770" t="s">
        <v>3054</v>
      </c>
      <c r="D52" s="1288">
        <f t="shared" si="10"/>
        <v>6.0000000000000001E-3</v>
      </c>
      <c r="E52" s="821"/>
      <c r="F52" s="2501"/>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77" t="s">
        <v>2936</v>
      </c>
      <c r="B53" s="2883" t="s">
        <v>2937</v>
      </c>
      <c r="C53" s="2770" t="s">
        <v>3054</v>
      </c>
      <c r="D53" s="1288">
        <f t="shared" si="10"/>
        <v>2.2000000000000001E-3</v>
      </c>
      <c r="E53" s="821"/>
      <c r="F53" s="2501"/>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84" t="s">
        <v>2938</v>
      </c>
      <c r="B54" s="1726" t="str">
        <f>估价对象房地状况!C21</f>
        <v>估价对象所在区域公共配套设施齐备情况</v>
      </c>
      <c r="C54" s="2770" t="s">
        <v>3055</v>
      </c>
      <c r="D54" s="1288">
        <f t="shared" si="10"/>
        <v>0</v>
      </c>
      <c r="E54" s="821"/>
      <c r="F54" s="2501"/>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84" t="s">
        <v>2939</v>
      </c>
      <c r="B55" s="2881" t="str">
        <f>估价对象房地状况!C22</f>
        <v>估价对象所在区域基础设施水平</v>
      </c>
      <c r="C55" s="2770" t="s">
        <v>3143</v>
      </c>
      <c r="D55" s="1288">
        <f t="shared" si="10"/>
        <v>1.4999999999999999E-2</v>
      </c>
      <c r="E55" s="821"/>
      <c r="F55" s="2501"/>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85" t="s">
        <v>2940</v>
      </c>
      <c r="B56" s="2886" t="str">
        <f>估价对象房地状况!C20</f>
        <v>区域自然环境：；人文环境；综合评价环境状况一般</v>
      </c>
      <c r="C56" s="2770" t="s">
        <v>3055</v>
      </c>
      <c r="D56" s="1288">
        <f t="shared" si="10"/>
        <v>0</v>
      </c>
      <c r="E56" s="824"/>
      <c r="F56" s="2501"/>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3" t="s">
        <v>2941</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2922</v>
      </c>
      <c r="B58" s="2944"/>
      <c r="C58" s="2944" t="s">
        <v>2924</v>
      </c>
      <c r="D58" s="2944" t="s">
        <v>2925</v>
      </c>
      <c r="E58" s="818" t="s">
        <v>2926</v>
      </c>
      <c r="F58" s="2878" t="s">
        <v>2942</v>
      </c>
      <c r="G58" s="2944" t="s">
        <v>754</v>
      </c>
      <c r="H58" s="2879" t="s">
        <v>2928</v>
      </c>
      <c r="I58" s="2944" t="s">
        <v>2929</v>
      </c>
      <c r="J58" s="602" t="s">
        <v>2579</v>
      </c>
      <c r="K58" s="602" t="s">
        <v>2580</v>
      </c>
      <c r="L58" s="602" t="s">
        <v>2581</v>
      </c>
      <c r="M58" s="602" t="s">
        <v>2582</v>
      </c>
      <c r="N58" s="602" t="s">
        <v>2583</v>
      </c>
      <c r="AA58" s="1373"/>
      <c r="AB58" s="1373"/>
      <c r="AC58" s="1373"/>
      <c r="AD58" s="1373"/>
      <c r="AE58" s="1373"/>
      <c r="AF58" s="1373"/>
      <c r="AG58" s="1373"/>
      <c r="AH58" s="1373"/>
      <c r="AI58" s="1373"/>
      <c r="AJ58" s="1373"/>
      <c r="AK58" s="1373"/>
    </row>
    <row r="59" spans="1:37" s="1372" customFormat="1" ht="38.25">
      <c r="A59" s="2877" t="s">
        <v>2943</v>
      </c>
      <c r="B59" s="2880" t="str">
        <f>估价对象房地状况!C17</f>
        <v>估价对象位于XX商圈，周边办公楼项目较多，入驻率高，办公集聚程度较好</v>
      </c>
      <c r="C59" s="2770"/>
      <c r="D59" s="1288">
        <f t="shared" ref="D59:D67" si="16">SUMIF($J$58:$N$58,C59,J59:N59)</f>
        <v>0</v>
      </c>
      <c r="E59" s="820">
        <f>ROUND(SUM(D59:D67),4)</f>
        <v>0</v>
      </c>
      <c r="F59" s="2501"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77" t="s">
        <v>2931</v>
      </c>
      <c r="B60" s="2881" t="str">
        <f>估价对象房地状况!C18</f>
        <v>估价对象周边道路状况、公共交通通达情况、停车便捷程度，综合评价交通便捷度较好</v>
      </c>
      <c r="C60" s="2770"/>
      <c r="D60" s="1288">
        <f t="shared" si="16"/>
        <v>0</v>
      </c>
      <c r="E60" s="821"/>
      <c r="F60" s="2501"/>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77" t="s">
        <v>2932</v>
      </c>
      <c r="B61" s="2881">
        <f>估价对象房地状况!C19</f>
        <v>0</v>
      </c>
      <c r="C61" s="2770"/>
      <c r="D61" s="1288">
        <f t="shared" si="16"/>
        <v>0</v>
      </c>
      <c r="E61" s="821"/>
      <c r="F61" s="2501"/>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77" t="s">
        <v>2933</v>
      </c>
      <c r="B62" s="2882" t="s">
        <v>2934</v>
      </c>
      <c r="C62" s="2770"/>
      <c r="D62" s="1288">
        <f t="shared" si="16"/>
        <v>0</v>
      </c>
      <c r="E62" s="821"/>
      <c r="F62" s="2501"/>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77" t="s">
        <v>2935</v>
      </c>
      <c r="B63" s="2881">
        <f>估价对象房地状况!C24</f>
        <v>0</v>
      </c>
      <c r="C63" s="2770"/>
      <c r="D63" s="1288">
        <f t="shared" si="16"/>
        <v>0</v>
      </c>
      <c r="E63" s="821"/>
      <c r="F63" s="2501"/>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77" t="s">
        <v>2936</v>
      </c>
      <c r="B64" s="2883" t="s">
        <v>2937</v>
      </c>
      <c r="C64" s="2770"/>
      <c r="D64" s="1288">
        <f t="shared" si="16"/>
        <v>0</v>
      </c>
      <c r="E64" s="821"/>
      <c r="F64" s="2501"/>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77" t="s">
        <v>2938</v>
      </c>
      <c r="B65" s="1726" t="str">
        <f>估价对象房地状况!C21</f>
        <v>估价对象所在区域公共配套设施齐备情况</v>
      </c>
      <c r="C65" s="2770"/>
      <c r="D65" s="1288">
        <f t="shared" si="16"/>
        <v>0</v>
      </c>
      <c r="E65" s="821"/>
      <c r="F65" s="2501"/>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77" t="s">
        <v>2939</v>
      </c>
      <c r="B66" s="1726" t="str">
        <f>估价对象房地状况!C22</f>
        <v>估价对象所在区域基础设施水平</v>
      </c>
      <c r="C66" s="2770"/>
      <c r="D66" s="1288">
        <f t="shared" si="16"/>
        <v>0</v>
      </c>
      <c r="E66" s="821"/>
      <c r="F66" s="2501"/>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5" t="s">
        <v>2940</v>
      </c>
      <c r="B67" s="2887" t="str">
        <f>估价对象房地状况!C20</f>
        <v>区域自然环境：；人文环境；综合评价环境状况一般</v>
      </c>
      <c r="C67" s="2770"/>
      <c r="D67" s="1288">
        <f t="shared" si="16"/>
        <v>0</v>
      </c>
      <c r="E67" s="824"/>
      <c r="F67" s="2501"/>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3" t="s">
        <v>2944</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2922</v>
      </c>
      <c r="B69" s="2944"/>
      <c r="C69" s="2944" t="s">
        <v>2924</v>
      </c>
      <c r="D69" s="2944" t="s">
        <v>2925</v>
      </c>
      <c r="E69" s="818" t="s">
        <v>2926</v>
      </c>
      <c r="F69" s="2878" t="s">
        <v>2942</v>
      </c>
      <c r="G69" s="2944" t="s">
        <v>754</v>
      </c>
      <c r="H69" s="2879" t="s">
        <v>2928</v>
      </c>
      <c r="I69" s="2944" t="s">
        <v>2929</v>
      </c>
      <c r="J69" s="602" t="s">
        <v>2579</v>
      </c>
      <c r="K69" s="602" t="s">
        <v>2580</v>
      </c>
      <c r="L69" s="602" t="s">
        <v>2581</v>
      </c>
      <c r="M69" s="602" t="s">
        <v>2582</v>
      </c>
      <c r="N69" s="602" t="s">
        <v>2583</v>
      </c>
      <c r="AA69" s="1373"/>
      <c r="AB69" s="1373"/>
      <c r="AC69" s="1373"/>
      <c r="AD69" s="1373"/>
      <c r="AE69" s="1373"/>
      <c r="AF69" s="1373"/>
      <c r="AG69" s="1373"/>
      <c r="AH69" s="1373"/>
      <c r="AI69" s="1373"/>
      <c r="AJ69" s="1373"/>
      <c r="AK69" s="1373"/>
    </row>
    <row r="70" spans="1:37" s="1372" customFormat="1" ht="51">
      <c r="A70" s="2877" t="s">
        <v>2945</v>
      </c>
      <c r="B70" s="2880" t="str">
        <f>估价对象房地状况!C15</f>
        <v>估价对象周边居住用地比例、居住小区规模和社区发展完善程度，综合评价居住社区成熟度一般</v>
      </c>
      <c r="C70" s="2770"/>
      <c r="D70" s="1288">
        <f t="shared" ref="D70:D78" si="21">SUMIF($J$69:$N$69,C70,J70:N70)</f>
        <v>0</v>
      </c>
      <c r="E70" s="820">
        <f>ROUND(SUM(D70:D78),4)</f>
        <v>0</v>
      </c>
      <c r="F70" s="2501"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2931</v>
      </c>
      <c r="B71" s="2881" t="str">
        <f>估价对象房地状况!C18</f>
        <v>估价对象周边道路状况、公共交通通达情况、停车便捷程度，综合评价交通便捷度较好</v>
      </c>
      <c r="C71" s="2770"/>
      <c r="D71" s="1288">
        <f t="shared" si="21"/>
        <v>0</v>
      </c>
      <c r="E71" s="825"/>
      <c r="F71" s="2501"/>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2932</v>
      </c>
      <c r="B72" s="2881">
        <f>估价对象房地状况!C19</f>
        <v>0</v>
      </c>
      <c r="C72" s="2770"/>
      <c r="D72" s="1288">
        <f t="shared" si="21"/>
        <v>0</v>
      </c>
      <c r="E72" s="825"/>
      <c r="F72" s="2501"/>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2946</v>
      </c>
      <c r="B73" s="2881">
        <f>估价对象房地状况!C24</f>
        <v>0</v>
      </c>
      <c r="C73" s="2770"/>
      <c r="D73" s="1288">
        <f t="shared" si="21"/>
        <v>0</v>
      </c>
      <c r="E73" s="825"/>
      <c r="F73" s="2501"/>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2938</v>
      </c>
      <c r="B74" s="1726" t="str">
        <f>估价对象房地状况!C21</f>
        <v>估价对象所在区域公共配套设施齐备情况</v>
      </c>
      <c r="C74" s="2770"/>
      <c r="D74" s="1288">
        <f t="shared" si="21"/>
        <v>0</v>
      </c>
      <c r="E74" s="825"/>
      <c r="F74" s="2501"/>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77" t="s">
        <v>2939</v>
      </c>
      <c r="B75" s="1726" t="str">
        <f>估价对象房地状况!C22</f>
        <v>估价对象所在区域基础设施水平</v>
      </c>
      <c r="C75" s="2770"/>
      <c r="D75" s="1288">
        <f t="shared" si="21"/>
        <v>0</v>
      </c>
      <c r="E75" s="825"/>
      <c r="F75" s="2501"/>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9" customFormat="1" ht="24">
      <c r="A76" s="2877" t="s">
        <v>2936</v>
      </c>
      <c r="B76" s="2883" t="s">
        <v>2937</v>
      </c>
      <c r="C76" s="2770"/>
      <c r="D76" s="1288">
        <f t="shared" si="21"/>
        <v>0</v>
      </c>
      <c r="E76" s="825"/>
      <c r="F76" s="2501"/>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2940</v>
      </c>
      <c r="B77" s="2880" t="str">
        <f>估价对象房地状况!C20</f>
        <v>区域自然环境：；人文环境；综合评价环境状况一般</v>
      </c>
      <c r="C77" s="2770"/>
      <c r="D77" s="1288">
        <f t="shared" si="21"/>
        <v>0</v>
      </c>
      <c r="E77" s="825"/>
      <c r="F77" s="2501"/>
      <c r="G77" s="1286"/>
      <c r="H77" s="1290" t="str">
        <f t="shared" si="22"/>
        <v>——</v>
      </c>
      <c r="I77" s="819">
        <v>0.15</v>
      </c>
      <c r="J77" s="1287">
        <f t="shared" si="23"/>
        <v>0</v>
      </c>
      <c r="K77" s="1287">
        <f t="shared" si="24"/>
        <v>0</v>
      </c>
      <c r="L77" s="1287">
        <v>0</v>
      </c>
      <c r="M77" s="1287">
        <f t="shared" si="25"/>
        <v>0</v>
      </c>
      <c r="N77" s="1287">
        <f t="shared" si="25"/>
        <v>0</v>
      </c>
      <c r="Z77" s="2720"/>
      <c r="AA77" s="2796"/>
      <c r="AG77" s="1374"/>
      <c r="AK77" s="2796"/>
    </row>
    <row r="78" spans="1:37" ht="24.75" thickBot="1">
      <c r="A78" s="2885" t="s">
        <v>2947</v>
      </c>
      <c r="B78" s="2889"/>
      <c r="C78" s="2770"/>
      <c r="D78" s="1288">
        <f t="shared" si="21"/>
        <v>0</v>
      </c>
      <c r="E78" s="826"/>
      <c r="F78" s="2501"/>
      <c r="G78" s="1286"/>
      <c r="H78" s="1290" t="str">
        <f t="shared" si="22"/>
        <v>——</v>
      </c>
      <c r="I78" s="823">
        <v>0.04</v>
      </c>
      <c r="J78" s="1287">
        <f t="shared" si="23"/>
        <v>0</v>
      </c>
      <c r="K78" s="1287">
        <f t="shared" si="24"/>
        <v>0</v>
      </c>
      <c r="L78" s="1287">
        <v>0</v>
      </c>
      <c r="M78" s="1287">
        <f t="shared" si="25"/>
        <v>0</v>
      </c>
      <c r="N78" s="1287">
        <f t="shared" si="25"/>
        <v>0</v>
      </c>
      <c r="Z78" s="2720"/>
      <c r="AA78" s="2796"/>
      <c r="AG78" s="1374"/>
      <c r="AK78" s="2796"/>
    </row>
    <row r="79" spans="1:37" ht="15">
      <c r="A79" s="2873" t="s">
        <v>2948</v>
      </c>
      <c r="B79" s="2874">
        <f>1+E81</f>
        <v>1</v>
      </c>
      <c r="C79" s="813"/>
      <c r="D79" s="813"/>
      <c r="E79" s="814"/>
      <c r="F79" s="2876"/>
      <c r="G79" s="6"/>
      <c r="H79" s="6"/>
      <c r="I79" s="6"/>
      <c r="J79" s="7"/>
      <c r="K79" s="7"/>
      <c r="L79" s="7"/>
      <c r="M79" s="7"/>
      <c r="N79" s="7"/>
      <c r="Z79" s="2720"/>
      <c r="AA79" s="2796"/>
      <c r="AG79" s="1374"/>
      <c r="AK79" s="2796"/>
    </row>
    <row r="80" spans="1:37" ht="24.75">
      <c r="A80" s="2877" t="s">
        <v>2922</v>
      </c>
      <c r="B80" s="2944"/>
      <c r="C80" s="2944" t="s">
        <v>2924</v>
      </c>
      <c r="D80" s="2944" t="s">
        <v>2925</v>
      </c>
      <c r="E80" s="818" t="s">
        <v>2926</v>
      </c>
      <c r="F80" s="2878" t="s">
        <v>2942</v>
      </c>
      <c r="G80" s="2944" t="s">
        <v>754</v>
      </c>
      <c r="H80" s="2879" t="s">
        <v>2928</v>
      </c>
      <c r="I80" s="2944" t="s">
        <v>2929</v>
      </c>
      <c r="J80" s="602" t="s">
        <v>2579</v>
      </c>
      <c r="K80" s="602" t="s">
        <v>2580</v>
      </c>
      <c r="L80" s="602" t="s">
        <v>2581</v>
      </c>
      <c r="M80" s="602" t="s">
        <v>2582</v>
      </c>
      <c r="N80" s="602" t="s">
        <v>2583</v>
      </c>
      <c r="Z80" s="2720"/>
      <c r="AA80" s="2796"/>
      <c r="AG80" s="1374"/>
      <c r="AK80" s="2796"/>
    </row>
    <row r="81" spans="1:37" ht="38.25">
      <c r="A81" s="2877" t="s">
        <v>2949</v>
      </c>
      <c r="B81" s="2881" t="str">
        <f>估价对象房地状况!G15</f>
        <v>估价对象位于XX开发区，园区建设成熟度XX，产业集聚程度XX</v>
      </c>
      <c r="C81" s="2770"/>
      <c r="D81" s="1288">
        <f t="shared" ref="D81:D88" si="26">SUMIF($J$80:$N$80,C81,J81:N81)</f>
        <v>0</v>
      </c>
      <c r="E81" s="820">
        <f>ROUND(SUM(D81:D88),4)</f>
        <v>0</v>
      </c>
      <c r="F81" s="2501"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0"/>
      <c r="AA81" s="2796"/>
      <c r="AG81" s="1374"/>
      <c r="AK81" s="2796"/>
    </row>
    <row r="82" spans="1:37" ht="51">
      <c r="A82" s="2877" t="s">
        <v>2931</v>
      </c>
      <c r="B82" s="2881" t="str">
        <f>估价对象房地状况!G16</f>
        <v>估价对象周边道路状况、公共交通通达情况、停车便捷程度，综合评价交通便捷度较好</v>
      </c>
      <c r="C82" s="2770"/>
      <c r="D82" s="1288">
        <f t="shared" si="26"/>
        <v>0</v>
      </c>
      <c r="E82" s="825"/>
      <c r="F82" s="2501"/>
      <c r="G82" s="1286"/>
      <c r="H82" s="1290" t="str">
        <f t="shared" si="27"/>
        <v>——</v>
      </c>
      <c r="I82" s="819">
        <v>0.33</v>
      </c>
      <c r="J82" s="1287">
        <f t="shared" si="28"/>
        <v>0</v>
      </c>
      <c r="K82" s="1287">
        <f t="shared" si="29"/>
        <v>0</v>
      </c>
      <c r="L82" s="1287">
        <v>0</v>
      </c>
      <c r="M82" s="1287">
        <f t="shared" si="30"/>
        <v>0</v>
      </c>
      <c r="N82" s="1287">
        <f t="shared" si="30"/>
        <v>0</v>
      </c>
      <c r="Z82" s="2720"/>
      <c r="AA82" s="2796"/>
      <c r="AG82" s="1374"/>
      <c r="AK82" s="2796"/>
    </row>
    <row r="83" spans="1:37" ht="24">
      <c r="A83" s="2877" t="s">
        <v>2932</v>
      </c>
      <c r="B83" s="2881">
        <f>估价对象房地状况!G17</f>
        <v>0</v>
      </c>
      <c r="C83" s="2770"/>
      <c r="D83" s="1288">
        <f t="shared" si="26"/>
        <v>0</v>
      </c>
      <c r="E83" s="825"/>
      <c r="F83" s="2501"/>
      <c r="G83" s="1286"/>
      <c r="H83" s="1290" t="str">
        <f t="shared" si="27"/>
        <v>——</v>
      </c>
      <c r="I83" s="819">
        <v>0.05</v>
      </c>
      <c r="J83" s="1287">
        <f t="shared" si="28"/>
        <v>0</v>
      </c>
      <c r="K83" s="1287">
        <f t="shared" si="29"/>
        <v>0</v>
      </c>
      <c r="L83" s="1287">
        <v>0</v>
      </c>
      <c r="M83" s="1287">
        <f t="shared" si="30"/>
        <v>0</v>
      </c>
      <c r="N83" s="1287">
        <f t="shared" si="30"/>
        <v>0</v>
      </c>
      <c r="Z83" s="2720"/>
      <c r="AA83" s="2796"/>
      <c r="AG83" s="1374"/>
      <c r="AK83" s="2796"/>
    </row>
    <row r="84" spans="1:37" ht="14.25">
      <c r="A84" s="2877" t="s">
        <v>2946</v>
      </c>
      <c r="B84" s="2881">
        <f>估价对象房地状况!G22</f>
        <v>0</v>
      </c>
      <c r="C84" s="2770"/>
      <c r="D84" s="1288">
        <f t="shared" si="26"/>
        <v>0</v>
      </c>
      <c r="E84" s="825"/>
      <c r="F84" s="2501"/>
      <c r="G84" s="1286"/>
      <c r="H84" s="1290" t="str">
        <f t="shared" si="27"/>
        <v>——</v>
      </c>
      <c r="I84" s="819">
        <v>0.04</v>
      </c>
      <c r="J84" s="1287">
        <f t="shared" si="28"/>
        <v>0</v>
      </c>
      <c r="K84" s="1287">
        <f t="shared" si="29"/>
        <v>0</v>
      </c>
      <c r="L84" s="1287">
        <v>0</v>
      </c>
      <c r="M84" s="1287">
        <f t="shared" si="30"/>
        <v>0</v>
      </c>
      <c r="N84" s="1287">
        <f t="shared" si="30"/>
        <v>0</v>
      </c>
      <c r="Z84" s="2720"/>
      <c r="AA84" s="2796"/>
      <c r="AG84" s="1374"/>
      <c r="AK84" s="2796"/>
    </row>
    <row r="85" spans="1:37" ht="25.5">
      <c r="A85" s="2877" t="s">
        <v>2938</v>
      </c>
      <c r="B85" s="1726" t="str">
        <f>估价对象房地状况!G19</f>
        <v>估价对象所在区域公共配套设施齐备情况</v>
      </c>
      <c r="C85" s="2770"/>
      <c r="D85" s="1288">
        <f t="shared" si="26"/>
        <v>0</v>
      </c>
      <c r="E85" s="825"/>
      <c r="F85" s="2501"/>
      <c r="G85" s="1286"/>
      <c r="H85" s="1290" t="str">
        <f t="shared" si="27"/>
        <v>——</v>
      </c>
      <c r="I85" s="819">
        <v>0.06</v>
      </c>
      <c r="J85" s="1287">
        <f t="shared" si="28"/>
        <v>0</v>
      </c>
      <c r="K85" s="1287">
        <f t="shared" si="29"/>
        <v>0</v>
      </c>
      <c r="L85" s="1287">
        <v>0</v>
      </c>
      <c r="M85" s="1287">
        <f t="shared" si="30"/>
        <v>0</v>
      </c>
      <c r="N85" s="1287">
        <f t="shared" si="30"/>
        <v>0</v>
      </c>
      <c r="Z85" s="2720"/>
      <c r="AA85" s="2796"/>
      <c r="AG85" s="1374"/>
      <c r="AK85" s="2796"/>
    </row>
    <row r="86" spans="1:37" ht="25.5">
      <c r="A86" s="2877" t="s">
        <v>2939</v>
      </c>
      <c r="B86" s="1726" t="str">
        <f>估价对象房地状况!G20</f>
        <v>估价对象所在区域基础设施水平</v>
      </c>
      <c r="C86" s="2770"/>
      <c r="D86" s="1288">
        <f t="shared" si="26"/>
        <v>0</v>
      </c>
      <c r="E86" s="825"/>
      <c r="F86" s="2501"/>
      <c r="G86" s="1286"/>
      <c r="H86" s="1290" t="str">
        <f t="shared" si="27"/>
        <v>——</v>
      </c>
      <c r="I86" s="819">
        <v>0.15</v>
      </c>
      <c r="J86" s="1287">
        <f t="shared" si="28"/>
        <v>0</v>
      </c>
      <c r="K86" s="1287">
        <f t="shared" si="29"/>
        <v>0</v>
      </c>
      <c r="L86" s="1287">
        <v>0</v>
      </c>
      <c r="M86" s="1287">
        <f t="shared" si="30"/>
        <v>0</v>
      </c>
      <c r="N86" s="1287">
        <f t="shared" si="30"/>
        <v>0</v>
      </c>
      <c r="Z86" s="2720"/>
      <c r="AA86" s="2796"/>
      <c r="AG86" s="1374"/>
      <c r="AK86" s="2796"/>
    </row>
    <row r="87" spans="1:37" ht="24">
      <c r="A87" s="2877" t="s">
        <v>2936</v>
      </c>
      <c r="B87" s="2883" t="s">
        <v>2950</v>
      </c>
      <c r="C87" s="2770"/>
      <c r="D87" s="1288">
        <f t="shared" si="26"/>
        <v>0</v>
      </c>
      <c r="E87" s="825"/>
      <c r="F87" s="2501"/>
      <c r="G87" s="1286"/>
      <c r="H87" s="1290" t="str">
        <f t="shared" si="27"/>
        <v>——</v>
      </c>
      <c r="I87" s="819">
        <v>0.05</v>
      </c>
      <c r="J87" s="1287">
        <f t="shared" si="28"/>
        <v>0</v>
      </c>
      <c r="K87" s="1287">
        <f t="shared" si="29"/>
        <v>0</v>
      </c>
      <c r="L87" s="1287">
        <v>0</v>
      </c>
      <c r="M87" s="1287">
        <f t="shared" si="30"/>
        <v>0</v>
      </c>
      <c r="N87" s="1287">
        <f t="shared" si="30"/>
        <v>0</v>
      </c>
      <c r="Z87" s="2720"/>
      <c r="AA87" s="2796"/>
      <c r="AG87" s="1374"/>
      <c r="AK87" s="2796"/>
    </row>
    <row r="88" spans="1:37" ht="39" thickBot="1">
      <c r="A88" s="2885" t="s">
        <v>2951</v>
      </c>
      <c r="B88" s="2890" t="str">
        <f>估价对象房地状况!G18</f>
        <v>该园区内是否有污染型企业，绿化情况，卫生条件，整体环境状况判断</v>
      </c>
      <c r="C88" s="2770"/>
      <c r="D88" s="1288">
        <f t="shared" si="26"/>
        <v>0</v>
      </c>
      <c r="E88" s="826"/>
      <c r="F88" s="2501"/>
      <c r="G88" s="1286"/>
      <c r="H88" s="1290" t="str">
        <f t="shared" si="27"/>
        <v>——</v>
      </c>
      <c r="I88" s="823">
        <v>0.06</v>
      </c>
      <c r="J88" s="1287">
        <f t="shared" si="28"/>
        <v>0</v>
      </c>
      <c r="K88" s="1287">
        <f t="shared" si="29"/>
        <v>0</v>
      </c>
      <c r="L88" s="1287">
        <v>0</v>
      </c>
      <c r="M88" s="1287">
        <f t="shared" si="30"/>
        <v>0</v>
      </c>
      <c r="N88" s="1287">
        <f t="shared" si="30"/>
        <v>0</v>
      </c>
      <c r="Z88" s="2720"/>
      <c r="AA88" s="2796"/>
      <c r="AG88" s="1374"/>
      <c r="AK88" s="2796"/>
    </row>
    <row r="90" spans="1:37">
      <c r="A90" s="3248" t="s">
        <v>2952</v>
      </c>
      <c r="B90" s="3248"/>
      <c r="C90" s="3248"/>
      <c r="D90" s="3248"/>
      <c r="E90" s="3248"/>
      <c r="F90" s="3248"/>
      <c r="G90" s="3248"/>
      <c r="H90" s="3248"/>
      <c r="I90" s="3248"/>
      <c r="J90" s="3248"/>
      <c r="K90" s="2953"/>
      <c r="L90" s="2953"/>
      <c r="M90" s="2953"/>
      <c r="N90" s="2953"/>
    </row>
    <row r="91" spans="1:37">
      <c r="A91" s="3250" t="s">
        <v>2953</v>
      </c>
      <c r="B91" s="3250" t="s">
        <v>2954</v>
      </c>
      <c r="C91" s="2845" t="s">
        <v>2955</v>
      </c>
      <c r="D91" s="2846"/>
      <c r="E91" s="2846"/>
      <c r="F91" s="2846"/>
      <c r="G91" s="2846"/>
      <c r="H91" s="2846"/>
      <c r="I91" s="2846"/>
      <c r="J91" s="2892"/>
      <c r="K91" s="2893"/>
      <c r="L91" s="2893"/>
      <c r="M91" s="2893"/>
      <c r="N91" s="2893"/>
    </row>
    <row r="92" spans="1:37">
      <c r="A92" s="3250"/>
      <c r="B92" s="3250"/>
      <c r="C92" s="2955" t="s">
        <v>2821</v>
      </c>
      <c r="D92" s="2955" t="s">
        <v>2822</v>
      </c>
      <c r="E92" s="2955" t="s">
        <v>2823</v>
      </c>
      <c r="F92" s="2955" t="s">
        <v>2824</v>
      </c>
      <c r="G92" s="2955" t="s">
        <v>2825</v>
      </c>
      <c r="H92" s="2955" t="s">
        <v>2826</v>
      </c>
      <c r="I92" s="2955" t="s">
        <v>2827</v>
      </c>
      <c r="J92" s="2955" t="s">
        <v>2828</v>
      </c>
      <c r="K92" s="2955" t="s">
        <v>2829</v>
      </c>
      <c r="L92" s="2955" t="s">
        <v>2830</v>
      </c>
      <c r="M92" s="2955" t="s">
        <v>2831</v>
      </c>
      <c r="N92" s="2955" t="s">
        <v>2832</v>
      </c>
    </row>
    <row r="93" spans="1:37">
      <c r="A93" s="3251" t="s">
        <v>2956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2"/>
      <c r="B99" s="2894" t="s">
        <v>2837</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5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1" t="s">
        <v>2957</v>
      </c>
      <c r="B101" s="2898" t="s">
        <v>2958</v>
      </c>
      <c r="C101" s="2899">
        <f>$G$3</f>
        <v>2.88</v>
      </c>
      <c r="D101" s="2899">
        <f t="shared" ref="D101:N101" si="32">$G$3</f>
        <v>2.88</v>
      </c>
      <c r="E101" s="2899">
        <f t="shared" si="32"/>
        <v>2.88</v>
      </c>
      <c r="F101" s="2899">
        <f t="shared" si="32"/>
        <v>2.88</v>
      </c>
      <c r="G101" s="2899">
        <f t="shared" si="32"/>
        <v>2.88</v>
      </c>
      <c r="H101" s="2899">
        <f t="shared" si="32"/>
        <v>2.88</v>
      </c>
      <c r="I101" s="2899">
        <f t="shared" si="32"/>
        <v>2.88</v>
      </c>
      <c r="J101" s="2899">
        <f t="shared" si="32"/>
        <v>2.88</v>
      </c>
      <c r="K101" s="2899">
        <f t="shared" si="32"/>
        <v>2.88</v>
      </c>
      <c r="L101" s="2899">
        <f t="shared" si="32"/>
        <v>2.88</v>
      </c>
      <c r="M101" s="2899">
        <f t="shared" si="32"/>
        <v>2.88</v>
      </c>
      <c r="N101" s="2899">
        <f t="shared" si="32"/>
        <v>2.88</v>
      </c>
    </row>
    <row r="102" spans="1:14">
      <c r="A102" s="3252"/>
      <c r="B102" s="2894">
        <v>1</v>
      </c>
      <c r="C102" s="2895">
        <f>1.9362/C101</f>
        <v>0.67229166666666662</v>
      </c>
      <c r="D102" s="2895">
        <f>1.9362/D101</f>
        <v>0.67229166666666662</v>
      </c>
      <c r="E102" s="2895">
        <f>1.8629/E101</f>
        <v>0.64684027777777775</v>
      </c>
      <c r="F102" s="2895">
        <f>1.8629/F101</f>
        <v>0.64684027777777775</v>
      </c>
      <c r="G102" s="2895">
        <f>1.8629/G101</f>
        <v>0.64684027777777775</v>
      </c>
      <c r="H102" s="2895">
        <f>1.8629/H101</f>
        <v>0.64684027777777775</v>
      </c>
      <c r="I102" s="2895">
        <f>1.8629/I101</f>
        <v>0.64684027777777775</v>
      </c>
      <c r="J102" s="2895">
        <f>1.942/J101</f>
        <v>0.6743055555555556</v>
      </c>
      <c r="K102" s="2895">
        <f>1.942/K101</f>
        <v>0.6743055555555556</v>
      </c>
      <c r="L102" s="2895">
        <f>1.942/L101</f>
        <v>0.6743055555555556</v>
      </c>
      <c r="M102" s="2895">
        <f>1.942/M101</f>
        <v>0.6743055555555556</v>
      </c>
      <c r="N102" s="2895">
        <f>1.942/N101</f>
        <v>0.6743055555555556</v>
      </c>
    </row>
    <row r="103" spans="1:14">
      <c r="A103" s="3252"/>
      <c r="B103" s="2894">
        <v>2</v>
      </c>
      <c r="C103" s="2895">
        <f>1.4198/C101</f>
        <v>0.49298611111111112</v>
      </c>
      <c r="D103" s="2895">
        <f>1.4198/D101</f>
        <v>0.49298611111111112</v>
      </c>
      <c r="E103" s="2895">
        <f>1.3372/E101</f>
        <v>0.46430555555555553</v>
      </c>
      <c r="F103" s="2895">
        <f>1.3372/F101</f>
        <v>0.46430555555555553</v>
      </c>
      <c r="G103" s="2895">
        <f>1.3372/G101</f>
        <v>0.46430555555555553</v>
      </c>
      <c r="H103" s="2895">
        <f>1.3372/H101</f>
        <v>0.46430555555555553</v>
      </c>
      <c r="I103" s="2895">
        <f>1.3372/I101</f>
        <v>0.46430555555555553</v>
      </c>
      <c r="J103" s="2895">
        <f>1.2799/J101</f>
        <v>0.44440972222222225</v>
      </c>
      <c r="K103" s="2895">
        <f>1.2799/K101</f>
        <v>0.44440972222222225</v>
      </c>
      <c r="L103" s="2895">
        <f>1.2799/L101</f>
        <v>0.44440972222222225</v>
      </c>
      <c r="M103" s="2895">
        <f>1.2799/M101</f>
        <v>0.44440972222222225</v>
      </c>
      <c r="N103" s="2895">
        <f>1.2799/N101</f>
        <v>0.44440972222222225</v>
      </c>
    </row>
    <row r="104" spans="1:14">
      <c r="A104" s="3252"/>
      <c r="B104" s="2894">
        <v>3</v>
      </c>
      <c r="C104" s="2895">
        <f>1.1594/C101</f>
        <v>0.40256944444444448</v>
      </c>
      <c r="D104" s="2895">
        <f>1.1594/D101</f>
        <v>0.40256944444444448</v>
      </c>
      <c r="E104" s="2895">
        <f>1.0788/E101</f>
        <v>0.37458333333333332</v>
      </c>
      <c r="F104" s="2895">
        <f>1.0788/F101</f>
        <v>0.37458333333333332</v>
      </c>
      <c r="G104" s="2895">
        <f>1.0788/G101</f>
        <v>0.37458333333333332</v>
      </c>
      <c r="H104" s="2895">
        <f>1.0788/H101</f>
        <v>0.37458333333333332</v>
      </c>
      <c r="I104" s="2895">
        <f>1.0788/I101</f>
        <v>0.37458333333333332</v>
      </c>
      <c r="J104" s="2895">
        <f>1.0072/J101</f>
        <v>0.34972222222222227</v>
      </c>
      <c r="K104" s="2895">
        <f>1.0072/K101</f>
        <v>0.34972222222222227</v>
      </c>
      <c r="L104" s="2895">
        <f>1.0072/L101</f>
        <v>0.34972222222222227</v>
      </c>
      <c r="M104" s="2895">
        <f>1.0072/M101</f>
        <v>0.34972222222222227</v>
      </c>
      <c r="N104" s="2895">
        <f>1.0072/N101</f>
        <v>0.34972222222222227</v>
      </c>
    </row>
    <row r="105" spans="1:14">
      <c r="A105" s="3252"/>
      <c r="B105" s="2894">
        <v>4</v>
      </c>
      <c r="C105" s="2895">
        <f>0.9622/C101</f>
        <v>0.33409722222222227</v>
      </c>
      <c r="D105" s="2895">
        <f>0.9622/D101</f>
        <v>0.33409722222222227</v>
      </c>
      <c r="E105" s="2895">
        <f>0.8656/E101</f>
        <v>0.30055555555555558</v>
      </c>
      <c r="F105" s="2895">
        <f>0.8656/F101</f>
        <v>0.30055555555555558</v>
      </c>
      <c r="G105" s="2895">
        <f>0.8656/G101</f>
        <v>0.30055555555555558</v>
      </c>
      <c r="H105" s="2895">
        <f>0.8656/H101</f>
        <v>0.30055555555555558</v>
      </c>
      <c r="I105" s="2895">
        <f>0.8656/I101</f>
        <v>0.30055555555555558</v>
      </c>
      <c r="J105" s="2895">
        <f>0.7525/J101</f>
        <v>0.26128472222222221</v>
      </c>
      <c r="K105" s="2895">
        <f>0.7525/K101</f>
        <v>0.26128472222222221</v>
      </c>
      <c r="L105" s="2895">
        <f>0.7525/L101</f>
        <v>0.26128472222222221</v>
      </c>
      <c r="M105" s="2895">
        <f>0.7525/M101</f>
        <v>0.26128472222222221</v>
      </c>
      <c r="N105" s="2895">
        <f>0.7525/N101</f>
        <v>0.26128472222222221</v>
      </c>
    </row>
    <row r="106" spans="1:14">
      <c r="A106" s="3252"/>
      <c r="B106" s="2894">
        <v>5</v>
      </c>
      <c r="C106" s="2895">
        <f>0.8417/C101</f>
        <v>0.29225694444444444</v>
      </c>
      <c r="D106" s="2895">
        <f>0.8417/D101</f>
        <v>0.29225694444444444</v>
      </c>
      <c r="E106" s="2895">
        <f>0.7371/E101</f>
        <v>0.25593749999999998</v>
      </c>
      <c r="F106" s="2895">
        <f>0.7371/F101</f>
        <v>0.25593749999999998</v>
      </c>
      <c r="G106" s="2895">
        <f>0.7371/G101</f>
        <v>0.25593749999999998</v>
      </c>
      <c r="H106" s="2895">
        <f>0.7371/H101</f>
        <v>0.25593749999999998</v>
      </c>
      <c r="I106" s="2895">
        <f>0.7371/I101</f>
        <v>0.25593749999999998</v>
      </c>
      <c r="J106" s="2895">
        <f>0.5659/J101</f>
        <v>0.19649305555555555</v>
      </c>
      <c r="K106" s="2895">
        <f>0.5659/K101</f>
        <v>0.19649305555555555</v>
      </c>
      <c r="L106" s="2895">
        <f>0.5659/L101</f>
        <v>0.19649305555555555</v>
      </c>
      <c r="M106" s="2895">
        <f>0.5659/M101</f>
        <v>0.19649305555555555</v>
      </c>
      <c r="N106" s="2895">
        <f>0.5659/N101</f>
        <v>0.19649305555555555</v>
      </c>
    </row>
    <row r="107" spans="1:14">
      <c r="A107" s="3252"/>
      <c r="B107" s="2894">
        <v>6</v>
      </c>
      <c r="C107" s="2895">
        <f>0.7608/C101</f>
        <v>0.26416666666666666</v>
      </c>
      <c r="D107" s="2895">
        <f>0.7608/D101</f>
        <v>0.26416666666666666</v>
      </c>
      <c r="E107" s="2895">
        <f>0.6482/E101</f>
        <v>0.22506944444444446</v>
      </c>
      <c r="F107" s="2895">
        <f>0.6482/F101</f>
        <v>0.22506944444444446</v>
      </c>
      <c r="G107" s="2895">
        <f>0.6482/G101</f>
        <v>0.22506944444444446</v>
      </c>
      <c r="H107" s="2895">
        <f>0.6482/H101</f>
        <v>0.22506944444444446</v>
      </c>
      <c r="I107" s="2895">
        <f>0.6482/I101</f>
        <v>0.22506944444444446</v>
      </c>
      <c r="J107" s="2895">
        <f>0.4525/J101</f>
        <v>0.15711805555555555</v>
      </c>
      <c r="K107" s="2895">
        <f>0.4525/K101</f>
        <v>0.15711805555555555</v>
      </c>
      <c r="L107" s="2895">
        <f>0.4525/L101</f>
        <v>0.15711805555555555</v>
      </c>
      <c r="M107" s="2895">
        <f>0.4525/M101</f>
        <v>0.15711805555555555</v>
      </c>
      <c r="N107" s="2895">
        <f>0.4525/N101</f>
        <v>0.15711805555555555</v>
      </c>
    </row>
    <row r="108" spans="1:14">
      <c r="A108" s="3252"/>
      <c r="B108" s="3078" t="s">
        <v>2959</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53"/>
      <c r="B109" s="3079"/>
      <c r="C109" s="2897">
        <f>(-0.163*(C108^2)-0.59*C108+7617)*(10^(-4))/C101</f>
        <v>0.26447916666666671</v>
      </c>
      <c r="D109" s="2897">
        <f>(-0.163*(D108^2)-0.59*D108+7617)*(10^(-4))/D101</f>
        <v>0.26447916666666671</v>
      </c>
      <c r="E109" s="2897">
        <f>(-0.161*(E108^2)-7.509*E108+6533)*(10^(-4))/E101</f>
        <v>0.22684027777777779</v>
      </c>
      <c r="F109" s="2897">
        <f>(-0.161*(F108^2)-7.509*F108+6533)*(10^(-4))/F101</f>
        <v>0.22684027777777779</v>
      </c>
      <c r="G109" s="2897">
        <f>(-0.161*(G108^2)-7.509*G108+6533)*(10^(-4))/G101</f>
        <v>0.22684027777777779</v>
      </c>
      <c r="H109" s="2897">
        <f>(-0.161*(H108^2)-7.509*H108+6533)*(10^(-4))/H101</f>
        <v>0.22684027777777779</v>
      </c>
      <c r="I109" s="2897">
        <f>(-0.161*(I108^2)-7.509*I108+6533)*(10^(-4))/I101</f>
        <v>0.22684027777777779</v>
      </c>
      <c r="J109" s="2897">
        <f>(-0.214*(J108^2)-21.991*J108+4665)*(10^(-4))/J101</f>
        <v>0.16197916666666667</v>
      </c>
      <c r="K109" s="2897">
        <f>(-0.214*(K108^2)-21.991*K108+4665)*(10^(-4))/K101</f>
        <v>0.16197916666666667</v>
      </c>
      <c r="L109" s="2897">
        <f>(-0.214*(L108^2)-21.991*L108+4665)*(10^(-4))/L101</f>
        <v>0.16197916666666667</v>
      </c>
      <c r="M109" s="2897">
        <f>(-0.214*(M108^2)-21.991*M108+4665)*(10^(-4))/M101</f>
        <v>0.16197916666666667</v>
      </c>
      <c r="N109" s="2897">
        <f>(-0.214*(N108^2)-21.991*N108+4665)*(10^(-4))/N101</f>
        <v>0.16197916666666667</v>
      </c>
    </row>
    <row r="110" spans="1:14">
      <c r="A110" s="3249" t="s">
        <v>2960</v>
      </c>
      <c r="B110" s="3249"/>
      <c r="C110" s="3249"/>
      <c r="D110" s="3249"/>
      <c r="E110" s="3249"/>
      <c r="F110" s="3249"/>
      <c r="G110" s="3249"/>
      <c r="H110" s="3249"/>
      <c r="I110" s="3249"/>
      <c r="J110" s="3249"/>
      <c r="K110" s="2954"/>
      <c r="L110" s="2954"/>
      <c r="M110" s="2954"/>
      <c r="N110" s="2954"/>
    </row>
    <row r="112" spans="1:14" ht="13.5" thickBot="1"/>
    <row r="113" spans="1:13" ht="25.5" thickBot="1">
      <c r="A113" s="902" t="s">
        <v>2961</v>
      </c>
      <c r="B113" s="1289">
        <f>G3</f>
        <v>2.88</v>
      </c>
      <c r="C113" s="903" t="s">
        <v>2962</v>
      </c>
      <c r="D113" s="904">
        <f>SUMPRODUCT((A115:A118=F113)*(B114:M114=H113)*B115:M118)</f>
        <v>0.64439999999999997</v>
      </c>
      <c r="E113" s="2724" t="s">
        <v>2794</v>
      </c>
      <c r="F113" s="2902" t="str">
        <f>E2</f>
        <v>商业</v>
      </c>
      <c r="G113" s="2724" t="s">
        <v>2795</v>
      </c>
      <c r="H113" s="2902" t="str">
        <f>G2</f>
        <v>八级</v>
      </c>
      <c r="I113" s="2724"/>
      <c r="J113" s="2903"/>
      <c r="K113" s="2903"/>
      <c r="L113" s="2903"/>
      <c r="M113" s="2903"/>
    </row>
    <row r="114" spans="1:13">
      <c r="A114" s="907"/>
      <c r="B114" s="2904" t="s">
        <v>2963</v>
      </c>
      <c r="C114" s="2904" t="s">
        <v>2964</v>
      </c>
      <c r="D114" s="2904" t="s">
        <v>2965</v>
      </c>
      <c r="E114" s="2905" t="s">
        <v>2966</v>
      </c>
      <c r="F114" s="2905" t="s">
        <v>2967</v>
      </c>
      <c r="G114" s="2905" t="s">
        <v>2968</v>
      </c>
      <c r="H114" s="2906" t="s">
        <v>2969</v>
      </c>
      <c r="I114" s="2906" t="s">
        <v>2970</v>
      </c>
      <c r="J114" s="2907" t="s">
        <v>2971</v>
      </c>
      <c r="K114" s="2907" t="s">
        <v>2972</v>
      </c>
      <c r="L114" s="2907" t="s">
        <v>2973</v>
      </c>
      <c r="M114" s="2908" t="s">
        <v>2974</v>
      </c>
    </row>
    <row r="115" spans="1:13">
      <c r="A115" s="908" t="s">
        <v>2859</v>
      </c>
      <c r="B115" s="909">
        <f>ROUND(0.9335-0.0094*B113,4)</f>
        <v>0.90639999999999998</v>
      </c>
      <c r="C115" s="909">
        <f>B115</f>
        <v>0.90639999999999998</v>
      </c>
      <c r="D115" s="909">
        <f>ROUND(0.8331-0.0109*B113,4)</f>
        <v>0.80169999999999997</v>
      </c>
      <c r="E115" s="909">
        <f>D115</f>
        <v>0.80169999999999997</v>
      </c>
      <c r="F115" s="909">
        <f>E115</f>
        <v>0.80169999999999997</v>
      </c>
      <c r="G115" s="909">
        <f>F115</f>
        <v>0.80169999999999997</v>
      </c>
      <c r="H115" s="909">
        <f>G115</f>
        <v>0.80169999999999997</v>
      </c>
      <c r="I115" s="909">
        <f>ROUND(0.689-0.0155*B113,4)</f>
        <v>0.64439999999999997</v>
      </c>
      <c r="J115" s="909">
        <f t="shared" ref="J115:M118" si="34">I115</f>
        <v>0.64439999999999997</v>
      </c>
      <c r="K115" s="909">
        <f t="shared" si="34"/>
        <v>0.64439999999999997</v>
      </c>
      <c r="L115" s="909">
        <f t="shared" si="34"/>
        <v>0.64439999999999997</v>
      </c>
      <c r="M115" s="910">
        <f t="shared" si="34"/>
        <v>0.64439999999999997</v>
      </c>
    </row>
    <row r="116" spans="1:13">
      <c r="A116" s="908" t="s">
        <v>2860</v>
      </c>
      <c r="B116" s="909">
        <f>ROUND(0.949-0.012*B113,4)</f>
        <v>0.91439999999999999</v>
      </c>
      <c r="C116" s="909">
        <f>B116</f>
        <v>0.91439999999999999</v>
      </c>
      <c r="D116" s="909">
        <f>ROUND(0.8567-0.013*B113,4)</f>
        <v>0.81930000000000003</v>
      </c>
      <c r="E116" s="909">
        <f t="shared" ref="E116:H117" si="35">D116</f>
        <v>0.81930000000000003</v>
      </c>
      <c r="F116" s="909">
        <f t="shared" si="35"/>
        <v>0.81930000000000003</v>
      </c>
      <c r="G116" s="909">
        <f t="shared" si="35"/>
        <v>0.81930000000000003</v>
      </c>
      <c r="H116" s="909">
        <f t="shared" si="35"/>
        <v>0.81930000000000003</v>
      </c>
      <c r="I116" s="909">
        <f>ROUND(0.7694-0.014*B113,4)</f>
        <v>0.72909999999999997</v>
      </c>
      <c r="J116" s="909">
        <f t="shared" si="34"/>
        <v>0.72909999999999997</v>
      </c>
      <c r="K116" s="909">
        <f t="shared" si="34"/>
        <v>0.72909999999999997</v>
      </c>
      <c r="L116" s="909">
        <f t="shared" si="34"/>
        <v>0.72909999999999997</v>
      </c>
      <c r="M116" s="910">
        <f t="shared" si="34"/>
        <v>0.72909999999999997</v>
      </c>
    </row>
    <row r="117" spans="1:13">
      <c r="A117" s="908" t="s">
        <v>2861</v>
      </c>
      <c r="B117" s="909">
        <f>ROUND(0.8808-0.006*B113,4)</f>
        <v>0.86350000000000005</v>
      </c>
      <c r="C117" s="909">
        <f>B117</f>
        <v>0.86350000000000005</v>
      </c>
      <c r="D117" s="909">
        <f>ROUND(0.8748-0.008*B113,4)</f>
        <v>0.8518</v>
      </c>
      <c r="E117" s="909">
        <f t="shared" si="35"/>
        <v>0.8518</v>
      </c>
      <c r="F117" s="909">
        <f t="shared" si="35"/>
        <v>0.8518</v>
      </c>
      <c r="G117" s="909">
        <f t="shared" si="35"/>
        <v>0.8518</v>
      </c>
      <c r="H117" s="909">
        <f t="shared" si="35"/>
        <v>0.8518</v>
      </c>
      <c r="I117" s="909">
        <f>ROUND(0.7412-0.0095*B113,4)</f>
        <v>0.71379999999999999</v>
      </c>
      <c r="J117" s="909">
        <f t="shared" si="34"/>
        <v>0.71379999999999999</v>
      </c>
      <c r="K117" s="909">
        <f t="shared" si="34"/>
        <v>0.71379999999999999</v>
      </c>
      <c r="L117" s="909">
        <f t="shared" si="34"/>
        <v>0.71379999999999999</v>
      </c>
      <c r="M117" s="910">
        <f t="shared" si="34"/>
        <v>0.71379999999999999</v>
      </c>
    </row>
    <row r="118" spans="1:13" ht="13.5" thickBot="1">
      <c r="A118" s="713" t="s">
        <v>2862</v>
      </c>
      <c r="B118" s="911">
        <f>ROUND(0.7275-0.01*B113,4)</f>
        <v>0.69869999999999999</v>
      </c>
      <c r="C118" s="911">
        <f>B118</f>
        <v>0.69869999999999999</v>
      </c>
      <c r="D118" s="911">
        <f>ROUND(0.7043-0.012*B113,4)</f>
        <v>0.66969999999999996</v>
      </c>
      <c r="E118" s="911">
        <f>D118</f>
        <v>0.66969999999999996</v>
      </c>
      <c r="F118" s="911">
        <f>E118</f>
        <v>0.66969999999999996</v>
      </c>
      <c r="G118" s="911">
        <f>ROUND(0.6299-0.0122*B113,4)</f>
        <v>0.5948</v>
      </c>
      <c r="H118" s="911">
        <f>G118</f>
        <v>0.5948</v>
      </c>
      <c r="I118" s="911">
        <f>ROUND(0.5667-0.0136*B113,4)</f>
        <v>0.52749999999999997</v>
      </c>
      <c r="J118" s="911">
        <f t="shared" si="34"/>
        <v>0.52749999999999997</v>
      </c>
      <c r="K118" s="911">
        <f t="shared" si="34"/>
        <v>0.52749999999999997</v>
      </c>
      <c r="L118" s="911">
        <f t="shared" si="34"/>
        <v>0.52749999999999997</v>
      </c>
      <c r="M118" s="912">
        <f t="shared" si="34"/>
        <v>0.52749999999999997</v>
      </c>
    </row>
  </sheetData>
  <sheetProtection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6"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2784</v>
      </c>
      <c r="B1" s="240"/>
      <c r="C1" s="244" t="s">
        <v>2785</v>
      </c>
      <c r="D1" s="387">
        <f>SUM(D29:D30,D33:D39)</f>
        <v>21142</v>
      </c>
      <c r="E1" s="2717"/>
      <c r="F1" s="2717"/>
      <c r="G1" s="2717"/>
      <c r="H1" s="2717"/>
      <c r="I1" s="2717"/>
      <c r="J1" s="2717"/>
      <c r="K1" s="1372"/>
      <c r="L1" s="2718" t="s">
        <v>2786</v>
      </c>
      <c r="M1" s="1082">
        <f>SUMPRODUCT((区片价!B5:B9=I2)*(区片价!C3:F3=E2)*(区片价!C5:F9))</f>
        <v>0</v>
      </c>
      <c r="N1" s="1085">
        <f>SUMPRODUCT((因素修正幅度!B5:B9=I2)*(因素修正幅度!C3:F3=E2)*(因素修正幅度!C5:F9))</f>
        <v>0</v>
      </c>
      <c r="O1" s="2719"/>
      <c r="P1" s="2719"/>
      <c r="Q1" s="1372"/>
      <c r="R1" s="1603" t="s">
        <v>2787</v>
      </c>
      <c r="S1" s="1603" t="s">
        <v>2788</v>
      </c>
      <c r="T1" s="1603" t="s">
        <v>2789</v>
      </c>
      <c r="U1" s="1603" t="s">
        <v>2790</v>
      </c>
      <c r="V1" s="1603" t="s">
        <v>2791</v>
      </c>
      <c r="W1" s="1607"/>
      <c r="X1" s="1607"/>
      <c r="Y1" s="1607"/>
      <c r="Z1" s="1607"/>
      <c r="AA1" s="1607"/>
      <c r="AB1" s="1607"/>
      <c r="AC1" s="1608"/>
      <c r="AD1" s="1609"/>
      <c r="AE1" s="1609"/>
      <c r="AF1" s="1609"/>
      <c r="AG1" s="1609"/>
      <c r="AH1" s="1609"/>
      <c r="AI1" s="1609"/>
      <c r="AJ1" s="1610"/>
    </row>
    <row r="2" spans="1:36" ht="15.75">
      <c r="A2" s="244" t="s">
        <v>2792</v>
      </c>
      <c r="B2" s="247">
        <f ca="1">C26</f>
        <v>13235</v>
      </c>
      <c r="C2" s="2721" t="s">
        <v>2793</v>
      </c>
      <c r="D2" s="2722" t="s">
        <v>2794</v>
      </c>
      <c r="E2" s="2723" t="s">
        <v>27</v>
      </c>
      <c r="F2" s="2722" t="s">
        <v>2795</v>
      </c>
      <c r="G2" s="2724" t="str">
        <f>IF(E2="商业",项目基本情况!B37,IF(E2="办公",项目基本情况!C37,IF(E2="住宅",项目基本情况!D37,项目基本情况!E37)))</f>
        <v>八级</v>
      </c>
      <c r="H2" s="2722" t="s">
        <v>2796</v>
      </c>
      <c r="I2" s="2724" t="str">
        <f>IF(E2="商业",项目基本情况!B38,IF(E2="办公",项目基本情况!C38,IF(E2="住宅",项目基本情况!D38,项目基本情况!E38)))</f>
        <v>Ⅷ-昌2</v>
      </c>
      <c r="J2" s="2725"/>
      <c r="K2" s="1372"/>
      <c r="L2" s="2726" t="s">
        <v>2797</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13777</v>
      </c>
      <c r="U2" s="1604"/>
      <c r="V2" s="1603">
        <f ca="1">ROUND(T2*U2/10000,0)</f>
        <v>0</v>
      </c>
      <c r="W2" s="1607"/>
      <c r="X2" s="1607"/>
      <c r="Y2" s="1607"/>
      <c r="Z2" s="1607"/>
      <c r="AA2" s="1607"/>
      <c r="AB2" s="1607"/>
      <c r="AC2" s="1608"/>
      <c r="AD2" s="1609"/>
      <c r="AE2" s="1609"/>
      <c r="AF2" s="1609"/>
      <c r="AG2" s="1609"/>
      <c r="AH2" s="1609"/>
      <c r="AI2" s="1609"/>
      <c r="AJ2" s="1610"/>
    </row>
    <row r="3" spans="1:36" ht="25.5">
      <c r="A3" s="246" t="s">
        <v>2798</v>
      </c>
      <c r="B3" s="247">
        <f ca="1">ROUND(B2*10000/D1,0)</f>
        <v>6260</v>
      </c>
      <c r="C3" s="2721" t="s">
        <v>2799</v>
      </c>
      <c r="D3" s="2722" t="s">
        <v>2800</v>
      </c>
      <c r="E3" s="2727" t="s">
        <v>3135</v>
      </c>
      <c r="F3" s="2728" t="s">
        <v>2801</v>
      </c>
      <c r="G3" s="915">
        <f>IF(F3="宗地容积率",'数据-汇总表'!I4,IF(F3="估价对象容积率",'数据-汇总表'!I6,'数据-汇总表'!I7))</f>
        <v>2.88</v>
      </c>
      <c r="H3" s="197" t="s">
        <v>2802</v>
      </c>
      <c r="I3" s="946"/>
      <c r="J3" s="2725" t="s">
        <v>2803</v>
      </c>
      <c r="K3" s="1372"/>
      <c r="L3" s="2726" t="s">
        <v>2804</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9080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60"/>
      <c r="B4" s="3261"/>
      <c r="C4" s="3261"/>
      <c r="D4" s="3262"/>
      <c r="E4" s="3262"/>
      <c r="F4" s="3262"/>
      <c r="G4" s="3262"/>
      <c r="H4" s="3262"/>
      <c r="I4" s="3262"/>
      <c r="J4" s="3263"/>
      <c r="K4" s="1372"/>
      <c r="L4" s="2726" t="s">
        <v>2805</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7145</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806</v>
      </c>
      <c r="B5" s="2730" t="s">
        <v>2806</v>
      </c>
      <c r="C5" s="916">
        <f>ROUND(IF(E2="商业",IF(F16="增加",C6*C7+C16,C6*C7-C16),IF(E2="住宅",IF(F16="增加",C6*C12+C16,C6*C12-C16),IF(F16="增加",C6+C16,C6-C16))),0)</f>
        <v>5455</v>
      </c>
      <c r="D5" s="1788">
        <f>ROUND(IF(E2="商业",IF(F16="增加",C6+C16,C6-C16)),0)</f>
        <v>0</v>
      </c>
      <c r="E5" s="2731"/>
      <c r="F5" s="2731"/>
      <c r="G5" s="2732"/>
      <c r="H5" s="2732"/>
      <c r="I5" s="2732"/>
      <c r="J5" s="2733"/>
      <c r="K5" s="2734"/>
      <c r="L5" s="2726" t="s">
        <v>2807</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5338</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2808</v>
      </c>
      <c r="B6" s="2740" t="s">
        <v>2809</v>
      </c>
      <c r="C6" s="917">
        <f>SUMIF(L1:L12,G2,M1:M12)</f>
        <v>5420</v>
      </c>
      <c r="D6" s="2741" t="s">
        <v>2810</v>
      </c>
      <c r="E6" s="2742"/>
      <c r="F6" s="2742"/>
      <c r="G6" s="2743"/>
      <c r="H6" s="2743"/>
      <c r="I6" s="2743"/>
      <c r="J6" s="2744"/>
      <c r="K6" s="1843"/>
      <c r="L6" s="2726" t="s">
        <v>2811</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4015</v>
      </c>
      <c r="U6" s="1604"/>
      <c r="V6" s="1603">
        <f t="shared" ca="1" si="1"/>
        <v>0</v>
      </c>
      <c r="W6" s="1607"/>
      <c r="X6" s="1607"/>
      <c r="Y6" s="1607"/>
      <c r="Z6" s="1607"/>
      <c r="AA6" s="1607"/>
      <c r="AB6" s="1607"/>
      <c r="AC6" s="2735"/>
      <c r="AD6" s="2736"/>
      <c r="AE6" s="2736"/>
      <c r="AF6" s="2736"/>
      <c r="AG6" s="2736"/>
      <c r="AH6" s="2736"/>
      <c r="AI6" s="2736"/>
      <c r="AJ6" s="2737"/>
    </row>
    <row r="7" spans="1:36" ht="24">
      <c r="A7" s="3246" t="str">
        <f>IF(E2="商业",IF(C8="不临58条商业街","",2),"")</f>
        <v/>
      </c>
      <c r="B7" s="2745" t="s">
        <v>2812</v>
      </c>
      <c r="C7" s="918">
        <f>IF(C8="不临58条商业街",1,ROUND(1+(1.6*E8+1.2*E9+0.8*E10+0.4*E11)*C9,4))</f>
        <v>1</v>
      </c>
      <c r="D7" s="2746" t="s">
        <v>2813</v>
      </c>
      <c r="E7" s="947">
        <v>60</v>
      </c>
      <c r="F7" s="2747"/>
      <c r="G7" s="2748"/>
      <c r="H7" s="2748"/>
      <c r="I7" s="2748"/>
      <c r="J7" s="2749"/>
      <c r="K7" s="1843"/>
      <c r="L7" s="2726" t="s">
        <v>2814</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3210</v>
      </c>
      <c r="U7" s="1604"/>
      <c r="V7" s="1603">
        <f t="shared" ca="1" si="1"/>
        <v>0</v>
      </c>
      <c r="W7" s="2952" t="s">
        <v>2815</v>
      </c>
      <c r="X7" s="1605" t="str">
        <f>G2</f>
        <v>八级</v>
      </c>
      <c r="Y7" s="1605" t="s">
        <v>2816</v>
      </c>
      <c r="Z7" s="1606">
        <f>G3</f>
        <v>2.88</v>
      </c>
      <c r="AA7" s="1607"/>
      <c r="AB7" s="1607"/>
      <c r="AC7" s="1608"/>
      <c r="AD7" s="1609"/>
      <c r="AE7" s="1609"/>
      <c r="AF7" s="1609"/>
      <c r="AG7" s="1609"/>
      <c r="AH7" s="1609"/>
      <c r="AI7" s="1609"/>
      <c r="AJ7" s="1610"/>
    </row>
    <row r="8" spans="1:36" ht="25.5">
      <c r="A8" s="3247"/>
      <c r="B8" s="197" t="s">
        <v>2817</v>
      </c>
      <c r="C8" s="2750" t="s">
        <v>3136</v>
      </c>
      <c r="D8" s="919" t="s">
        <v>139</v>
      </c>
      <c r="E8" s="920">
        <f>ROUND(C11/E7,4)</f>
        <v>0</v>
      </c>
      <c r="F8" s="2751" t="s">
        <v>2818</v>
      </c>
      <c r="G8" s="2752"/>
      <c r="H8" s="2752"/>
      <c r="I8" s="2752"/>
      <c r="J8" s="2753"/>
      <c r="K8" s="1372"/>
      <c r="L8" s="2726" t="s">
        <v>2819</v>
      </c>
      <c r="M8" s="1083">
        <f>SUMPRODUCT((区片价!B206:B244=I2)*(区片价!C3:F3=E2)*(区片价!C206:F244))</f>
        <v>5420</v>
      </c>
      <c r="N8" s="1085">
        <f>SUMPRODUCT((因素修正幅度!B206:B244=I2)*(因素修正幅度!C3:F3=E2)*(因素修正幅度!C206:F244))</f>
        <v>0.15</v>
      </c>
      <c r="O8" s="1372"/>
      <c r="P8" s="1372"/>
      <c r="Q8" s="1372"/>
      <c r="R8" s="1603">
        <v>7</v>
      </c>
      <c r="S8" s="1604"/>
      <c r="T8" s="1603">
        <f t="shared" ca="1" si="0"/>
        <v>0</v>
      </c>
      <c r="U8" s="1604"/>
      <c r="V8" s="1603">
        <f t="shared" ca="1" si="1"/>
        <v>0</v>
      </c>
      <c r="W8" s="3257" t="s">
        <v>2820</v>
      </c>
      <c r="X8" s="3258"/>
      <c r="Y8" s="1611" t="s">
        <v>2821</v>
      </c>
      <c r="Z8" s="1611" t="s">
        <v>2822</v>
      </c>
      <c r="AA8" s="1611" t="s">
        <v>2823</v>
      </c>
      <c r="AB8" s="1611" t="s">
        <v>2824</v>
      </c>
      <c r="AC8" s="1611" t="s">
        <v>2825</v>
      </c>
      <c r="AD8" s="1611" t="s">
        <v>2826</v>
      </c>
      <c r="AE8" s="1611" t="s">
        <v>2827</v>
      </c>
      <c r="AF8" s="1611" t="s">
        <v>2828</v>
      </c>
      <c r="AG8" s="1611" t="s">
        <v>2829</v>
      </c>
      <c r="AH8" s="1611" t="s">
        <v>2830</v>
      </c>
      <c r="AI8" s="1611" t="s">
        <v>2831</v>
      </c>
      <c r="AJ8" s="1611" t="s">
        <v>2832</v>
      </c>
    </row>
    <row r="9" spans="1:36" ht="15">
      <c r="A9" s="3247"/>
      <c r="B9" s="197" t="s">
        <v>2833</v>
      </c>
      <c r="C9" s="921">
        <f>SUMIF(修正!C59:C119,C8,修正!E59:E119)</f>
        <v>0</v>
      </c>
      <c r="D9" s="199" t="s">
        <v>140</v>
      </c>
      <c r="E9" s="199">
        <f>ROUND(C11/E7,4)</f>
        <v>0</v>
      </c>
      <c r="F9" s="2751" t="s">
        <v>2834</v>
      </c>
      <c r="G9" s="2752"/>
      <c r="H9" s="2752"/>
      <c r="I9" s="2752"/>
      <c r="J9" s="2753"/>
      <c r="K9" s="1372"/>
      <c r="L9" s="2726" t="s">
        <v>2835</v>
      </c>
      <c r="M9" s="1083">
        <f>SUMPRODUCT((区片价!B245:B289=I2)*(区片价!C3:F3=E2)*(区片价!C245:F289))</f>
        <v>0</v>
      </c>
      <c r="N9" s="1085">
        <f>SUMPRODUCT((因素修正幅度!B245:B289=I2)*(因素修正幅度!C3:F3=E2)*(因素修正幅度!C245:F289))</f>
        <v>0</v>
      </c>
      <c r="O9" s="1372"/>
      <c r="P9" s="1372"/>
      <c r="Q9" s="1372"/>
      <c r="R9" s="1603">
        <v>8</v>
      </c>
      <c r="S9" s="1604"/>
      <c r="T9" s="1603">
        <f t="shared" ca="1" si="0"/>
        <v>0</v>
      </c>
      <c r="U9" s="1604"/>
      <c r="V9" s="1603">
        <f t="shared" ca="1" si="1"/>
        <v>0</v>
      </c>
      <c r="W9" s="3259" t="s">
        <v>2836</v>
      </c>
      <c r="X9" s="1612" t="s">
        <v>2837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7"/>
      <c r="B10" s="197" t="s">
        <v>2838</v>
      </c>
      <c r="C10" s="199">
        <f>SUMIF(修正!C59:C119,C8,修正!F59:F119)</f>
        <v>0</v>
      </c>
      <c r="D10" s="199" t="s">
        <v>141</v>
      </c>
      <c r="E10" s="199">
        <f>ROUND(C11/E7,4)</f>
        <v>0</v>
      </c>
      <c r="F10" s="2751" t="s">
        <v>2839</v>
      </c>
      <c r="G10" s="2752"/>
      <c r="H10" s="2752"/>
      <c r="I10" s="2752"/>
      <c r="J10" s="2753"/>
      <c r="K10" s="1372"/>
      <c r="L10" s="2726" t="s">
        <v>2840</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f t="shared" ca="1" si="0"/>
        <v>0</v>
      </c>
      <c r="U10" s="1604"/>
      <c r="V10" s="1603">
        <f t="shared" ca="1" si="1"/>
        <v>0</v>
      </c>
      <c r="W10" s="325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7"/>
      <c r="B11" s="2754" t="s">
        <v>2841</v>
      </c>
      <c r="C11" s="922">
        <f>C10/4</f>
        <v>0</v>
      </c>
      <c r="D11" s="922" t="s">
        <v>142</v>
      </c>
      <c r="E11" s="922">
        <f>ROUND(C11/E7,4)</f>
        <v>0</v>
      </c>
      <c r="F11" s="2755" t="s">
        <v>2842</v>
      </c>
      <c r="G11" s="2756"/>
      <c r="H11" s="2756"/>
      <c r="I11" s="2756"/>
      <c r="J11" s="2757"/>
      <c r="K11" s="1372"/>
      <c r="L11" s="2726" t="s">
        <v>2843</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f t="shared" ca="1" si="0"/>
        <v>0</v>
      </c>
      <c r="U11" s="1604"/>
      <c r="V11" s="1603">
        <f t="shared" ca="1" si="1"/>
        <v>0</v>
      </c>
      <c r="W11" s="3259" t="s">
        <v>2844</v>
      </c>
      <c r="X11" s="1615" t="s">
        <v>2845</v>
      </c>
      <c r="Y11" s="1616">
        <f>$G$3</f>
        <v>2.88</v>
      </c>
      <c r="Z11" s="1616">
        <f t="shared" ref="Z11:AJ11" si="3">$G$3</f>
        <v>2.88</v>
      </c>
      <c r="AA11" s="1616">
        <f t="shared" si="3"/>
        <v>2.88</v>
      </c>
      <c r="AB11" s="1616">
        <f t="shared" si="3"/>
        <v>2.88</v>
      </c>
      <c r="AC11" s="1616">
        <f t="shared" si="3"/>
        <v>2.88</v>
      </c>
      <c r="AD11" s="1616">
        <f t="shared" si="3"/>
        <v>2.88</v>
      </c>
      <c r="AE11" s="1616">
        <f t="shared" si="3"/>
        <v>2.88</v>
      </c>
      <c r="AF11" s="1616">
        <f t="shared" si="3"/>
        <v>2.88</v>
      </c>
      <c r="AG11" s="1616">
        <f t="shared" si="3"/>
        <v>2.88</v>
      </c>
      <c r="AH11" s="1616">
        <f t="shared" si="3"/>
        <v>2.88</v>
      </c>
      <c r="AI11" s="1616">
        <f t="shared" si="3"/>
        <v>2.88</v>
      </c>
      <c r="AJ11" s="1616">
        <f t="shared" si="3"/>
        <v>2.88</v>
      </c>
    </row>
    <row r="12" spans="1:36" ht="25.5" thickBot="1">
      <c r="A12" s="3246" t="s">
        <v>2846</v>
      </c>
      <c r="B12" s="2758" t="s">
        <v>2847</v>
      </c>
      <c r="C12" s="918">
        <f>ROUND(C15*D15*E15*F15*G15*H15*I15*J15,4)</f>
        <v>1.1000000000000001</v>
      </c>
      <c r="D12" s="2759" t="s">
        <v>2848</v>
      </c>
      <c r="E12" s="2760"/>
      <c r="F12" s="2760"/>
      <c r="G12" s="2761"/>
      <c r="H12" s="2761"/>
      <c r="I12" s="2761"/>
      <c r="J12" s="2762"/>
      <c r="K12" s="1372"/>
      <c r="L12" s="2763" t="s">
        <v>2849</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f t="shared" ca="1" si="0"/>
        <v>0</v>
      </c>
      <c r="U12" s="1604"/>
      <c r="V12" s="1603">
        <f t="shared" ca="1" si="1"/>
        <v>0</v>
      </c>
      <c r="W12" s="3259"/>
      <c r="X12" s="1617" t="s">
        <v>2850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4"/>
      <c r="B13" s="2764" t="s">
        <v>2851</v>
      </c>
      <c r="C13" s="2765" t="s">
        <v>2852</v>
      </c>
      <c r="D13" s="2945" t="s">
        <v>2853</v>
      </c>
      <c r="E13" s="2945" t="s">
        <v>2854</v>
      </c>
      <c r="F13" s="30" t="s">
        <v>2855</v>
      </c>
      <c r="G13" s="2766" t="s">
        <v>2856</v>
      </c>
      <c r="H13" s="2766" t="s">
        <v>2856</v>
      </c>
      <c r="I13" s="2766" t="s">
        <v>2856</v>
      </c>
      <c r="J13" s="2767" t="s">
        <v>2856</v>
      </c>
      <c r="K13" s="1372"/>
      <c r="L13" s="1372"/>
      <c r="M13" s="1372"/>
      <c r="N13" s="1372"/>
      <c r="O13" s="1372"/>
      <c r="P13" s="1372"/>
      <c r="Q13" s="1372"/>
      <c r="R13" s="1603">
        <v>12</v>
      </c>
      <c r="S13" s="1604"/>
      <c r="T13" s="1603">
        <f t="shared" ca="1" si="0"/>
        <v>0</v>
      </c>
      <c r="U13" s="1604"/>
      <c r="V13" s="1603">
        <f t="shared" ca="1" si="1"/>
        <v>0</v>
      </c>
      <c r="W13" s="3259"/>
      <c r="X13" s="1617"/>
      <c r="Y13" s="1614">
        <f>(-0.163*(Y12^2)-0.59*Y12+7617)*(10^(-4))/Y11</f>
        <v>0.26447916666666671</v>
      </c>
      <c r="Z13" s="1614">
        <f t="shared" ref="Z13:AJ13" si="5">(-0.163*(Z12^2)-0.59*Z12+7617)*(10^(-4))/Z11</f>
        <v>0.26447916666666671</v>
      </c>
      <c r="AA13" s="1614">
        <f t="shared" si="5"/>
        <v>0.26447916666666671</v>
      </c>
      <c r="AB13" s="1614">
        <f t="shared" si="5"/>
        <v>0.26447916666666671</v>
      </c>
      <c r="AC13" s="1614">
        <f t="shared" si="5"/>
        <v>0.26447916666666671</v>
      </c>
      <c r="AD13" s="1614">
        <f t="shared" si="5"/>
        <v>0.26447916666666671</v>
      </c>
      <c r="AE13" s="1614">
        <f t="shared" si="5"/>
        <v>0.26447916666666671</v>
      </c>
      <c r="AF13" s="1614">
        <f t="shared" si="5"/>
        <v>0.26447916666666671</v>
      </c>
      <c r="AG13" s="1614">
        <f t="shared" si="5"/>
        <v>0.26447916666666671</v>
      </c>
      <c r="AH13" s="1614">
        <f t="shared" si="5"/>
        <v>0.26447916666666671</v>
      </c>
      <c r="AI13" s="1614">
        <f t="shared" si="5"/>
        <v>0.26447916666666671</v>
      </c>
      <c r="AJ13" s="1614">
        <f t="shared" si="5"/>
        <v>0.26447916666666671</v>
      </c>
    </row>
    <row r="14" spans="1:36" ht="15">
      <c r="A14" s="3264"/>
      <c r="B14" s="2768"/>
      <c r="C14" s="2769" t="s">
        <v>3032</v>
      </c>
      <c r="D14" s="2770" t="s">
        <v>3137</v>
      </c>
      <c r="E14" s="2770" t="s">
        <v>3032</v>
      </c>
      <c r="F14" s="2771" t="s">
        <v>3138</v>
      </c>
      <c r="G14" s="2772" t="s">
        <v>2857</v>
      </c>
      <c r="H14" s="2773"/>
      <c r="I14" s="2774"/>
      <c r="J14" s="2775"/>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5"/>
      <c r="B15" s="2776" t="s">
        <v>2858</v>
      </c>
      <c r="C15" s="228">
        <f>IF(C14="有",1.1,1)</f>
        <v>1</v>
      </c>
      <c r="D15" s="228">
        <f>IF(D14="有",1.1,1)</f>
        <v>1.1000000000000001</v>
      </c>
      <c r="E15" s="228">
        <f>IF(E14="有",1.1,1)</f>
        <v>1</v>
      </c>
      <c r="F15" s="228">
        <f>IF(F14="500米范围内",1.2,IF(F14="500-1000米",1.1,1))</f>
        <v>1</v>
      </c>
      <c r="G15" s="948">
        <v>1</v>
      </c>
      <c r="H15" s="948">
        <v>1</v>
      </c>
      <c r="I15" s="948">
        <v>1</v>
      </c>
      <c r="J15" s="949">
        <v>1</v>
      </c>
      <c r="K15" s="1372"/>
      <c r="L15" s="2777" t="s">
        <v>2794</v>
      </c>
      <c r="M15" s="919" t="s">
        <v>2859</v>
      </c>
      <c r="N15" s="919" t="s">
        <v>2860</v>
      </c>
      <c r="O15" s="919" t="s">
        <v>2861</v>
      </c>
      <c r="P15" s="2778" t="s">
        <v>2862</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46" t="s">
        <v>2863</v>
      </c>
      <c r="B16" s="2745" t="s">
        <v>2864</v>
      </c>
      <c r="C16" s="2941">
        <f>ROUND(SUM(G17:J17)/C17,0)</f>
        <v>35</v>
      </c>
      <c r="D16" s="2779" t="s">
        <v>2865</v>
      </c>
      <c r="E16" s="2780" t="s">
        <v>3139</v>
      </c>
      <c r="F16" s="2781" t="s">
        <v>3140</v>
      </c>
      <c r="G16" s="2782" t="s">
        <v>3039</v>
      </c>
      <c r="H16" s="2782" t="s">
        <v>3038</v>
      </c>
      <c r="I16" s="2782"/>
      <c r="J16" s="2783"/>
      <c r="K16" s="1372"/>
      <c r="L16" s="2784" t="s">
        <v>2866</v>
      </c>
      <c r="M16" s="921">
        <v>0.25</v>
      </c>
      <c r="N16" s="921">
        <v>0.2</v>
      </c>
      <c r="O16" s="921">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47"/>
      <c r="B17" s="2785" t="s">
        <v>2867</v>
      </c>
      <c r="C17" s="923">
        <f>SUMPRODUCT((修正!A2:A5=E2)*(修正!B1:M1=G2)*(修正!B2:M5))</f>
        <v>2</v>
      </c>
      <c r="D17" s="2786" t="s">
        <v>2868</v>
      </c>
      <c r="E17" s="922" t="str">
        <f>IF(OR(G2="八级",G2="九级",G2="十级",G2="十一级",G2="十二级"),"五通一平","七通一平")</f>
        <v>五通一平</v>
      </c>
      <c r="F17" s="923" t="s">
        <v>2869</v>
      </c>
      <c r="G17" s="923">
        <f>SUMPRODUCT((七通一平=G16)*(修正!B1:M1=G2)*(修正!B6:M14))</f>
        <v>30</v>
      </c>
      <c r="H17" s="923">
        <f>SUMPRODUCT((七通一平=H16)*(修正!B1:M1=G2)*(修正!B6:M14))</f>
        <v>40</v>
      </c>
      <c r="I17" s="923">
        <f>SUMPRODUCT((七通一平=I16)*(修正!B1:M1=G2)*(修正!B6:M14))</f>
        <v>0</v>
      </c>
      <c r="J17" s="924">
        <f>SUMPRODUCT((七通一平=J16)*(修正!B1:M1=G2)*(修正!B6:M14))</f>
        <v>0</v>
      </c>
      <c r="K17" s="1372"/>
      <c r="L17" s="2787" t="s">
        <v>2870</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807</v>
      </c>
      <c r="B18" s="2790" t="s">
        <v>2871</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808</v>
      </c>
      <c r="B19" s="2790" t="s">
        <v>2872</v>
      </c>
      <c r="C19" s="926">
        <f>ROUND(IF(H19="按公示增长率计算",SUMPRODUCT((地价!A3:A21=YEAR(G19)&amp;"-"&amp;ROUNDUP(MONTH(G19)/3,0))*(地价!X2:AB2=E2)*(地价!X3:AB21)),IF(H19="地价指数",M20/M19,(1+I19)^O19)),4)</f>
        <v>1.2463</v>
      </c>
      <c r="D19" s="2797" t="s">
        <v>2873</v>
      </c>
      <c r="E19" s="927">
        <v>41640</v>
      </c>
      <c r="F19" s="2797" t="s">
        <v>2874</v>
      </c>
      <c r="G19" s="928">
        <f>'数据-取费表'!B2</f>
        <v>42990</v>
      </c>
      <c r="H19" s="2798" t="s">
        <v>3141</v>
      </c>
      <c r="I19" s="929" t="str">
        <f>IF(H19="季度增幅（自定义）",SUMIF(N21:N24,E2,O21:O24),"")</f>
        <v/>
      </c>
      <c r="J19" s="2795"/>
      <c r="K19" s="1379"/>
      <c r="L19" s="2799" t="s">
        <v>2875</v>
      </c>
      <c r="M19" s="1735">
        <f>ROUND(SUMIF(地价!B2:F2,E2,地价!B21:F21),0)</f>
        <v>258</v>
      </c>
      <c r="N19" s="2800" t="s">
        <v>2876</v>
      </c>
      <c r="O19" s="930">
        <f>ROUNDDOWN(DATEDIF(E19,G19,"M")/3,0)</f>
        <v>14</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809</v>
      </c>
      <c r="B20" s="2805" t="s">
        <v>2877</v>
      </c>
      <c r="C20" s="931">
        <f ca="1">ROUND(POWER(1+G20,J20-I20)*(POWER(1+G20,I20)-1)/(POWER(1+G20,J20)-1),4)</f>
        <v>0.98729999999999996</v>
      </c>
      <c r="D20" s="2806" t="s">
        <v>2878</v>
      </c>
      <c r="E20" s="1769">
        <f ca="1">存贷款利率!D4/100</f>
        <v>4.3499999999999997E-2</v>
      </c>
      <c r="F20" s="2806" t="s">
        <v>2870</v>
      </c>
      <c r="G20" s="936">
        <f ca="1">SUMIF(M15:P15,E2,M17:P17)</f>
        <v>5.1999999999999998E-2</v>
      </c>
      <c r="H20" s="2806" t="s">
        <v>2879</v>
      </c>
      <c r="I20" s="937">
        <f>SUMIF('数据-取费表'!C6:C15,E2,'数据-取费表'!F6:F15)/COUNTIF('数据-取费表'!C6:C15,E2)</f>
        <v>47.29</v>
      </c>
      <c r="J20" s="938">
        <f>IF(E2="住宅",70,IF(E2="商业",40,50))</f>
        <v>50</v>
      </c>
      <c r="K20" s="1379"/>
      <c r="L20" s="2807" t="s">
        <v>2880</v>
      </c>
      <c r="M20" s="1736">
        <f>ROUND(SUMPRODUCT((地价!A4:A21=YEAR(G19)&amp;"-"&amp;ROUNDUP(MONTH(G19)/3,0))*(地价!B2:F2=E2)*(地价!B4:F21)),0)</f>
        <v>321</v>
      </c>
      <c r="N20" s="2808" t="s">
        <v>2881</v>
      </c>
      <c r="O20" s="2809" t="s">
        <v>2882</v>
      </c>
      <c r="P20" s="2810" t="s">
        <v>2883</v>
      </c>
      <c r="R20" s="1378"/>
      <c r="S20" s="1378"/>
      <c r="T20" s="1373"/>
      <c r="U20" s="1373"/>
      <c r="V20" s="1373"/>
      <c r="W20" s="1372"/>
      <c r="X20" s="1372"/>
      <c r="Y20" s="1372"/>
      <c r="Z20" s="1379"/>
      <c r="AA20" s="1380"/>
      <c r="AB20" s="1380"/>
      <c r="AC20" s="1380"/>
      <c r="AD20" s="1380"/>
      <c r="AE20" s="1380"/>
      <c r="AF20" s="1380"/>
    </row>
    <row r="21" spans="1:37" s="2738" customFormat="1" ht="15">
      <c r="A21" s="2811" t="s">
        <v>810</v>
      </c>
      <c r="B21" s="3298" t="s">
        <v>3142</v>
      </c>
      <c r="C21" s="2951">
        <f>IF(B21="容积率修正",IF(G3&lt;=10,D22,J22),C23)</f>
        <v>0.88239999999999996</v>
      </c>
      <c r="D21" s="2812"/>
      <c r="E21" s="2812"/>
      <c r="F21" s="2812"/>
      <c r="G21" s="2812"/>
      <c r="H21" s="2812"/>
      <c r="I21" s="2812"/>
      <c r="J21" s="2813"/>
      <c r="K21" s="1379"/>
      <c r="N21" s="2814" t="s">
        <v>2884</v>
      </c>
      <c r="O21" s="1563"/>
      <c r="P21" s="1564">
        <f>SUMPRODUCT((地价!A3:A21=YEAR(G19)&amp;"-"&amp;ROUNDUP(MONTH(G19)/3,0))*(地价!AD2:AH2=N21)*(地价!AD3:AH21))</f>
        <v>1.6400000000000001E-2</v>
      </c>
      <c r="R21" s="1378"/>
      <c r="S21" s="1378"/>
      <c r="T21" s="1373"/>
      <c r="U21" s="1373"/>
      <c r="V21" s="1373"/>
      <c r="W21" s="1372"/>
      <c r="X21" s="1372"/>
      <c r="Y21" s="1372"/>
      <c r="Z21" s="1379"/>
      <c r="AA21" s="1380"/>
      <c r="AB21" s="1380"/>
      <c r="AC21" s="1380"/>
      <c r="AD21" s="1380"/>
      <c r="AE21" s="1380"/>
      <c r="AF21" s="1380"/>
    </row>
    <row r="22" spans="1:37" s="2738" customFormat="1" ht="14.25">
      <c r="A22" s="2664" t="s">
        <v>2885</v>
      </c>
      <c r="B22" s="2815" t="s">
        <v>2886</v>
      </c>
      <c r="C22" s="2950" t="s">
        <v>2887</v>
      </c>
      <c r="D22" s="2950">
        <f>IF(E22=G22,F22,IF(G3&lt;=10,ROUND(F22+(H22-F22)*(G3-E22)/(G22-E22),4),"——"))</f>
        <v>0.88239999999999996</v>
      </c>
      <c r="E22" s="915">
        <f>ROUNDDOWN(G3,1)</f>
        <v>2.8</v>
      </c>
      <c r="F22" s="2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915">
        <f>ROUNDUP(G3,1)</f>
        <v>2.9</v>
      </c>
      <c r="H22" s="2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0.88019999999999998</v>
      </c>
      <c r="I22" s="2950" t="s">
        <v>155</v>
      </c>
      <c r="J22" s="940" t="str">
        <f>IF(G3&gt;10,D113,"——")</f>
        <v>——</v>
      </c>
      <c r="K22" s="1379"/>
      <c r="N22" s="2814" t="s">
        <v>2888</v>
      </c>
      <c r="O22" s="1563"/>
      <c r="P22" s="1564">
        <f>SUMPRODUCT((地价!A3:A21=YEAR(G19)&amp;"-"&amp;ROUNDUP(MONTH(G19)/3,0))*(地价!AD2:AH2=N22)*(地价!AD3:AH21))</f>
        <v>1.6400000000000001E-2</v>
      </c>
      <c r="R22" s="1378"/>
      <c r="S22" s="1378"/>
      <c r="T22" s="1373"/>
      <c r="U22" s="1373"/>
      <c r="V22" s="1373"/>
      <c r="W22" s="1372"/>
      <c r="X22" s="1372"/>
      <c r="Y22" s="1372"/>
      <c r="Z22" s="1379"/>
      <c r="AA22" s="1380"/>
      <c r="AB22" s="1380"/>
      <c r="AC22" s="1380"/>
      <c r="AD22" s="1380"/>
      <c r="AE22" s="1380"/>
      <c r="AF22" s="1380"/>
    </row>
    <row r="23" spans="1:37" ht="27.75" thickBot="1">
      <c r="A23" s="2664" t="s">
        <v>2889</v>
      </c>
      <c r="B23" s="2816" t="s">
        <v>2890</v>
      </c>
      <c r="C23" s="1015">
        <f>ROUND(IF(G3&gt;1,IF(I3&lt;7,SUMPRODUCT((B93:B98=I3)*(C92:N92=G2)*(C93:N98)),SUMIF(C92:N92,G2,C100:N100)),IF(I3&lt;7,SUMPRODUCT((B102:B107=I3)*(C92:N92=G2)*(C102:N107)),SUMIF(C92:N92,G2,C109:N109))),4)</f>
        <v>0</v>
      </c>
      <c r="D23" s="2773"/>
      <c r="E23" s="2773"/>
      <c r="F23" s="2817"/>
      <c r="G23" s="2818"/>
      <c r="H23" s="2819"/>
      <c r="I23" s="2820"/>
      <c r="J23" s="2821"/>
      <c r="K23" s="1372"/>
      <c r="N23" s="2814" t="s">
        <v>2891</v>
      </c>
      <c r="O23" s="1563"/>
      <c r="P23" s="1564">
        <f>SUMPRODUCT((地价!A3:A21=YEAR(G19)&amp;"-"&amp;ROUNDUP(MONTH(G19)/3,0))*(地价!AD2:AH2=N23)*(地价!AD3:AH21))</f>
        <v>2.7799999999999998E-2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811</v>
      </c>
      <c r="B24" s="2790" t="s">
        <v>2892</v>
      </c>
      <c r="C24" s="926">
        <f>SUMIF(A45:A88,E2,B45:B88)</f>
        <v>1.0569</v>
      </c>
      <c r="D24" s="2793"/>
      <c r="E24" s="2822"/>
      <c r="F24" s="2822"/>
      <c r="G24" s="2822"/>
      <c r="H24" s="2822"/>
      <c r="I24" s="2822"/>
      <c r="J24" s="2823"/>
      <c r="K24" s="1379"/>
      <c r="N24" s="2824" t="s">
        <v>2893</v>
      </c>
      <c r="O24" s="1565"/>
      <c r="P24" s="1566">
        <f>SUMPRODUCT((地价!A3:A21=YEAR(G19)&amp;"-"&amp;ROUNDUP(MONTH(G19)/3,0))*(地价!AD2:AH2=N24)*(地价!AD3:AH21))</f>
        <v>1.3899999999999999E-2</v>
      </c>
      <c r="R24" s="1378"/>
      <c r="S24" s="1378"/>
      <c r="T24" s="1373"/>
      <c r="U24" s="1373"/>
      <c r="V24" s="1373"/>
      <c r="W24" s="1372"/>
      <c r="X24" s="1372"/>
      <c r="Y24" s="1372"/>
      <c r="Z24" s="1379"/>
      <c r="AA24" s="1380"/>
      <c r="AB24" s="1380"/>
      <c r="AC24" s="1380"/>
      <c r="AD24" s="1380"/>
      <c r="AE24" s="1380"/>
      <c r="AF24" s="1380"/>
    </row>
    <row r="25" spans="1:37" ht="15.75" thickBot="1">
      <c r="A25" s="2804" t="s">
        <v>812</v>
      </c>
      <c r="B25" s="2825" t="s">
        <v>2894</v>
      </c>
      <c r="C25" s="932"/>
      <c r="D25" s="2748"/>
      <c r="E25" s="2748"/>
      <c r="F25" s="2826"/>
      <c r="G25" s="2748"/>
      <c r="H25" s="2748"/>
      <c r="I25" s="2748"/>
      <c r="J25" s="2749"/>
      <c r="K25" s="1372"/>
      <c r="N25" s="2827" t="s">
        <v>2895</v>
      </c>
      <c r="O25" s="1567"/>
      <c r="P25" s="1566">
        <f>SUMPRODUCT((地价!A3:A21=YEAR(G19)&amp;"-"&amp;ROUNDUP(MONTH(G19)/3,0))*(地价!AD2:AH2=N25)*(地价!AD3:AH21))</f>
        <v>2.4899999999999999E-2</v>
      </c>
      <c r="R25" s="1378"/>
      <c r="S25" s="1378"/>
      <c r="T25" s="1373"/>
      <c r="U25" s="1373"/>
      <c r="V25" s="1373"/>
      <c r="W25" s="1372"/>
      <c r="X25" s="1372"/>
      <c r="Y25" s="1372"/>
      <c r="Z25" s="1379"/>
      <c r="AA25" s="1380"/>
      <c r="AB25" s="1380"/>
      <c r="AC25" s="1380"/>
      <c r="AD25" s="1380"/>
    </row>
    <row r="26" spans="1:37" ht="15">
      <c r="A26" s="2828"/>
      <c r="B26" s="2815" t="s">
        <v>2896</v>
      </c>
      <c r="C26" s="205">
        <f ca="1">E29+SUM(E33:E39)</f>
        <v>13235</v>
      </c>
      <c r="D26" s="2829"/>
      <c r="E26" s="2773"/>
      <c r="F26" s="2830"/>
      <c r="G26" s="2773"/>
      <c r="H26" s="2773"/>
      <c r="I26" s="2773"/>
      <c r="J26" s="2831"/>
      <c r="K26" s="1372"/>
      <c r="R26" s="1378"/>
      <c r="S26" s="1378"/>
      <c r="T26" s="1373"/>
      <c r="U26" s="1373"/>
      <c r="V26" s="1373"/>
      <c r="W26" s="1372"/>
      <c r="X26" s="1372"/>
      <c r="Y26" s="1372"/>
      <c r="Z26" s="1379"/>
      <c r="AA26" s="1380"/>
      <c r="AB26" s="1380"/>
      <c r="AC26" s="1380"/>
      <c r="AD26" s="1380"/>
    </row>
    <row r="27" spans="1:37" ht="15.75" thickBot="1">
      <c r="A27" s="2828"/>
      <c r="B27" s="2832" t="s">
        <v>2897</v>
      </c>
      <c r="C27" s="933">
        <f ca="1">E30+SUM(I33:I39)</f>
        <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2898</v>
      </c>
      <c r="C28" s="2839" t="s">
        <v>2899</v>
      </c>
      <c r="D28" s="2839" t="s">
        <v>2900</v>
      </c>
      <c r="E28" s="2840" t="s">
        <v>2901</v>
      </c>
      <c r="F28" s="2841"/>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2902</v>
      </c>
      <c r="C29" s="205">
        <f ca="1">ROUND(C5*C18*C19*C20*C21*C24,0)</f>
        <v>6260</v>
      </c>
      <c r="D29" s="2844">
        <f>'数据-汇总表'!F21</f>
        <v>21142</v>
      </c>
      <c r="E29" s="2955">
        <f ca="1">ROUND(C29*D29/10000,0)</f>
        <v>13235</v>
      </c>
      <c r="F29" s="2845" t="s">
        <v>2903</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8"/>
      <c r="B30" s="2849" t="s">
        <v>2904</v>
      </c>
      <c r="C30" s="228">
        <f ca="1">ROUND(IF(E2="工业",C29*M39,C29*M38),0)</f>
        <v>1565</v>
      </c>
      <c r="D30" s="2850"/>
      <c r="E30" s="2955">
        <f ca="1">ROUND(C30*D30/10000,0)</f>
        <v>0</v>
      </c>
      <c r="F30" s="2851" t="s">
        <v>2905</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4"/>
      <c r="B31" s="2855" t="s">
        <v>2906</v>
      </c>
      <c r="C31" s="2856" t="s">
        <v>2907</v>
      </c>
      <c r="D31" s="2761"/>
      <c r="E31" s="2856"/>
      <c r="F31" s="2856"/>
      <c r="G31" s="2759" t="s">
        <v>2908</v>
      </c>
      <c r="H31" s="2761"/>
      <c r="I31" s="2857"/>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2"/>
      <c r="B32" s="2858"/>
      <c r="C32" s="500" t="s">
        <v>2899</v>
      </c>
      <c r="D32" s="497" t="s">
        <v>2900</v>
      </c>
      <c r="E32" s="497" t="s">
        <v>2901</v>
      </c>
      <c r="F32" s="387" t="s">
        <v>2909</v>
      </c>
      <c r="G32" s="2859" t="s">
        <v>2899</v>
      </c>
      <c r="H32" s="2859" t="s">
        <v>2900</v>
      </c>
      <c r="I32" s="2859" t="s">
        <v>2901</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hidden="1" customHeight="1">
      <c r="A33" s="3254" t="s">
        <v>2910</v>
      </c>
      <c r="B33" s="2860" t="s">
        <v>2911</v>
      </c>
      <c r="C33" s="205">
        <f ca="1">ROUND(D5*C19*C20*C24*F33,0)</f>
        <v>0</v>
      </c>
      <c r="D33" s="2844"/>
      <c r="E33" s="199">
        <f ca="1">ROUND(C33*D33/10000,0)</f>
        <v>0</v>
      </c>
      <c r="F33" s="199">
        <f>SUMIF(修正!A45:A56,G2,修正!B45:B56)</f>
        <v>0.6</v>
      </c>
      <c r="G33" s="199">
        <f t="shared" ref="G33:G39" ca="1" si="6">ROUND(IF(E2="工业",C33*$M$39,C33*$M$38),0)</f>
        <v>0</v>
      </c>
      <c r="H33" s="199">
        <f>D33</f>
        <v>0</v>
      </c>
      <c r="I33" s="199">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hidden="1">
      <c r="A34" s="3255"/>
      <c r="B34" s="2765" t="s">
        <v>2912</v>
      </c>
      <c r="C34" s="205">
        <f ca="1">ROUND(D5*C19*C20*C24*F34,0)</f>
        <v>0</v>
      </c>
      <c r="D34" s="2844"/>
      <c r="E34" s="199">
        <f t="shared" ref="E34:E39" ca="1" si="7">ROUND(C34*D34/10000,0)</f>
        <v>0</v>
      </c>
      <c r="F34" s="199">
        <f>SUMIF(修正!A45:A56,G2,修正!C45:C56)</f>
        <v>0.3</v>
      </c>
      <c r="G34" s="199">
        <f t="shared" ca="1" si="6"/>
        <v>0</v>
      </c>
      <c r="H34" s="199">
        <f t="shared" ref="H34:H39" si="8">D34</f>
        <v>0</v>
      </c>
      <c r="I34" s="199">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hidden="1">
      <c r="A35" s="3255"/>
      <c r="B35" s="2765" t="s">
        <v>2913</v>
      </c>
      <c r="C35" s="205">
        <f ca="1">ROUND(D5*C19*C20*C24*F35,0)</f>
        <v>0</v>
      </c>
      <c r="D35" s="2844"/>
      <c r="E35" s="199">
        <f t="shared" ca="1" si="7"/>
        <v>0</v>
      </c>
      <c r="F35" s="199">
        <f>SUMIF(修正!A45:A56,G2,修正!D45:D56)</f>
        <v>0.2</v>
      </c>
      <c r="G35" s="199">
        <f t="shared" ca="1" si="6"/>
        <v>0</v>
      </c>
      <c r="H35" s="199">
        <f t="shared" si="8"/>
        <v>0</v>
      </c>
      <c r="I35" s="199">
        <f t="shared" ca="1" si="9"/>
        <v>0</v>
      </c>
      <c r="J35" s="2861"/>
      <c r="K35" s="1372"/>
      <c r="L35" s="1372"/>
      <c r="M35" s="1372"/>
      <c r="N35" s="1372"/>
      <c r="O35" s="1372"/>
      <c r="P35" s="1372"/>
      <c r="Q35" s="1372"/>
      <c r="R35" s="1372"/>
      <c r="S35" s="1372"/>
      <c r="T35" s="1372"/>
      <c r="U35" s="1372"/>
      <c r="V35" s="1372"/>
      <c r="W35" s="1372"/>
      <c r="X35" s="1372"/>
      <c r="Y35" s="1372"/>
      <c r="Z35" s="1373"/>
    </row>
    <row r="36" spans="1:37" hidden="1">
      <c r="A36" s="3256"/>
      <c r="B36" s="2765" t="s">
        <v>2914</v>
      </c>
      <c r="C36" s="205">
        <f ca="1">ROUND(D5*C19*C20*C24*F36,0)</f>
        <v>0</v>
      </c>
      <c r="D36" s="2844"/>
      <c r="E36" s="199">
        <f t="shared" ca="1" si="7"/>
        <v>0</v>
      </c>
      <c r="F36" s="199">
        <f>SUMIF(修正!A45:A56,G2,修正!E45:E56)</f>
        <v>0.2</v>
      </c>
      <c r="G36" s="199">
        <f t="shared" ca="1" si="6"/>
        <v>0</v>
      </c>
      <c r="H36" s="199">
        <f t="shared" si="8"/>
        <v>0</v>
      </c>
      <c r="I36" s="199">
        <f t="shared" ca="1" si="9"/>
        <v>0</v>
      </c>
      <c r="J36" s="2861"/>
      <c r="K36" s="1372"/>
      <c r="L36" s="2719"/>
      <c r="M36" s="2719"/>
      <c r="N36" s="1372"/>
      <c r="O36" s="1372"/>
      <c r="P36" s="1372"/>
      <c r="Q36" s="1372"/>
      <c r="R36" s="1372"/>
      <c r="S36" s="1372"/>
      <c r="T36" s="1372"/>
      <c r="U36" s="1372"/>
      <c r="V36" s="1372"/>
      <c r="W36" s="1372"/>
      <c r="X36" s="1372"/>
      <c r="Y36" s="1372"/>
      <c r="Z36" s="1373"/>
    </row>
    <row r="37" spans="1:37" hidden="1">
      <c r="A37" s="2862"/>
      <c r="B37" s="2765" t="s">
        <v>2915</v>
      </c>
      <c r="C37" s="199">
        <f ca="1">ROUND(C5*C19*C20*C24*F37,0)</f>
        <v>1419</v>
      </c>
      <c r="D37" s="2844"/>
      <c r="E37" s="199">
        <f t="shared" ca="1" si="7"/>
        <v>0</v>
      </c>
      <c r="F37" s="205">
        <f>SUMIF(修正!A45:A56,G2,修正!F45:F56)</f>
        <v>0.2</v>
      </c>
      <c r="G37" s="199">
        <f t="shared" ca="1" si="6"/>
        <v>355</v>
      </c>
      <c r="H37" s="199">
        <f t="shared" si="8"/>
        <v>0</v>
      </c>
      <c r="I37" s="199">
        <f t="shared" ca="1" si="9"/>
        <v>0</v>
      </c>
      <c r="J37" s="2861"/>
      <c r="K37" s="1372"/>
      <c r="L37" s="2863" t="s">
        <v>2916</v>
      </c>
      <c r="M37" s="2864"/>
      <c r="N37" s="1372"/>
      <c r="O37" s="1372"/>
      <c r="P37" s="1372"/>
      <c r="Q37" s="1372"/>
      <c r="R37" s="1372"/>
      <c r="S37" s="1372"/>
      <c r="T37" s="1372"/>
      <c r="U37" s="1372"/>
      <c r="V37" s="1372"/>
      <c r="W37" s="1372"/>
      <c r="X37" s="1372"/>
      <c r="Y37" s="1372"/>
      <c r="Z37" s="1373"/>
    </row>
    <row r="38" spans="1:37" hidden="1">
      <c r="A38" s="2862"/>
      <c r="B38" s="2765" t="s">
        <v>2917</v>
      </c>
      <c r="C38" s="199">
        <f ca="1">ROUND(C5*C19*C20*C24*F38,0)</f>
        <v>1419</v>
      </c>
      <c r="D38" s="2844"/>
      <c r="E38" s="199">
        <f t="shared" ca="1" si="7"/>
        <v>0</v>
      </c>
      <c r="F38" s="205">
        <f>SUMIF(修正!A45:A56,G2,修正!G45:G56)</f>
        <v>0.2</v>
      </c>
      <c r="G38" s="199">
        <f t="shared" ca="1" si="6"/>
        <v>355</v>
      </c>
      <c r="H38" s="199">
        <f t="shared" si="8"/>
        <v>0</v>
      </c>
      <c r="I38" s="199">
        <f t="shared" ca="1" si="9"/>
        <v>0</v>
      </c>
      <c r="J38" s="2861"/>
      <c r="K38" s="1372"/>
      <c r="L38" s="1888" t="s">
        <v>2918</v>
      </c>
      <c r="M38" s="2865">
        <v>0.25</v>
      </c>
      <c r="N38" s="1372"/>
      <c r="O38" s="1372"/>
      <c r="P38" s="1372"/>
      <c r="Q38" s="1372"/>
      <c r="R38" s="1372"/>
      <c r="S38" s="1372"/>
      <c r="T38" s="1372"/>
      <c r="U38" s="1372"/>
      <c r="V38" s="1372"/>
      <c r="W38" s="1372"/>
      <c r="X38" s="1372"/>
      <c r="Y38" s="1372"/>
      <c r="Z38" s="1373"/>
    </row>
    <row r="39" spans="1:37" ht="13.5" thickBot="1">
      <c r="A39" s="2848"/>
      <c r="B39" s="2866" t="s">
        <v>2919</v>
      </c>
      <c r="C39" s="228">
        <f ca="1">ROUND(C5*C19*C20*C24*F39,0)</f>
        <v>1064</v>
      </c>
      <c r="D39" s="2850"/>
      <c r="E39" s="228">
        <f t="shared" ca="1" si="7"/>
        <v>0</v>
      </c>
      <c r="F39" s="934">
        <f>SUMIF(修正!A45:A56,G2,修正!H45:H56)</f>
        <v>0.15</v>
      </c>
      <c r="G39" s="228">
        <f t="shared" ca="1" si="6"/>
        <v>266</v>
      </c>
      <c r="H39" s="228">
        <f t="shared" si="8"/>
        <v>0</v>
      </c>
      <c r="I39" s="228">
        <f t="shared" ca="1" si="9"/>
        <v>0</v>
      </c>
      <c r="J39" s="2867"/>
      <c r="K39" s="1372"/>
      <c r="L39" s="2868" t="s">
        <v>2862</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2920</v>
      </c>
      <c r="B45" s="2872"/>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3" t="s">
        <v>2921</v>
      </c>
      <c r="B46" s="2874">
        <f>1+E48</f>
        <v>1</v>
      </c>
      <c r="C46" s="2875"/>
      <c r="D46" s="813"/>
      <c r="E46" s="814"/>
      <c r="F46" s="2876"/>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7" t="s">
        <v>2922</v>
      </c>
      <c r="B47" s="2944" t="s">
        <v>2923</v>
      </c>
      <c r="C47" s="2944" t="s">
        <v>2924</v>
      </c>
      <c r="D47" s="2944" t="s">
        <v>2925</v>
      </c>
      <c r="E47" s="818" t="s">
        <v>2926</v>
      </c>
      <c r="F47" s="2878" t="s">
        <v>2927</v>
      </c>
      <c r="G47" s="2944" t="s">
        <v>754</v>
      </c>
      <c r="H47" s="2879" t="s">
        <v>2928</v>
      </c>
      <c r="I47" s="2944" t="s">
        <v>2929</v>
      </c>
      <c r="J47" s="602" t="s">
        <v>2579</v>
      </c>
      <c r="K47" s="602" t="s">
        <v>2580</v>
      </c>
      <c r="L47" s="602" t="s">
        <v>2581</v>
      </c>
      <c r="M47" s="602" t="s">
        <v>2582</v>
      </c>
      <c r="N47" s="602" t="s">
        <v>2583</v>
      </c>
      <c r="AA47" s="1373"/>
      <c r="AB47" s="1373"/>
      <c r="AC47" s="1373"/>
      <c r="AD47" s="1373"/>
      <c r="AE47" s="1373"/>
      <c r="AF47" s="1373"/>
      <c r="AG47" s="1373"/>
      <c r="AH47" s="1373"/>
      <c r="AI47" s="1373"/>
      <c r="AJ47" s="1373"/>
      <c r="AK47" s="1373"/>
    </row>
    <row r="48" spans="1:37" s="1372" customFormat="1" ht="38.25">
      <c r="A48" s="2877" t="s">
        <v>2930</v>
      </c>
      <c r="B48" s="2880"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2931</v>
      </c>
      <c r="B49" s="2881"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2932</v>
      </c>
      <c r="B50" s="2881">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2933</v>
      </c>
      <c r="B51" s="2882" t="s">
        <v>2934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2935</v>
      </c>
      <c r="B52" s="2881">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2936</v>
      </c>
      <c r="B53" s="2883" t="s">
        <v>2937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2938</v>
      </c>
      <c r="B54" s="1726"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4" t="s">
        <v>2939</v>
      </c>
      <c r="B55" s="2881"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2940</v>
      </c>
      <c r="B56" s="2886"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2941</v>
      </c>
      <c r="B57" s="2874">
        <f>1+E59</f>
        <v>1.0569</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2922</v>
      </c>
      <c r="B58" s="2944"/>
      <c r="C58" s="2944" t="s">
        <v>2924</v>
      </c>
      <c r="D58" s="2944" t="s">
        <v>2925</v>
      </c>
      <c r="E58" s="818" t="s">
        <v>2926</v>
      </c>
      <c r="F58" s="2878" t="s">
        <v>2942</v>
      </c>
      <c r="G58" s="2944" t="s">
        <v>754</v>
      </c>
      <c r="H58" s="2879" t="s">
        <v>2928</v>
      </c>
      <c r="I58" s="2944" t="s">
        <v>2929</v>
      </c>
      <c r="J58" s="602" t="s">
        <v>2579</v>
      </c>
      <c r="K58" s="602" t="s">
        <v>2580</v>
      </c>
      <c r="L58" s="602" t="s">
        <v>2581</v>
      </c>
      <c r="M58" s="602" t="s">
        <v>2582</v>
      </c>
      <c r="N58" s="602" t="s">
        <v>2583</v>
      </c>
      <c r="AA58" s="1373"/>
      <c r="AB58" s="1373"/>
      <c r="AC58" s="1373"/>
      <c r="AD58" s="1373"/>
      <c r="AE58" s="1373"/>
      <c r="AF58" s="1373"/>
      <c r="AG58" s="1373"/>
      <c r="AH58" s="1373"/>
      <c r="AI58" s="1373"/>
      <c r="AJ58" s="1373"/>
      <c r="AK58" s="1373"/>
    </row>
    <row r="59" spans="1:37" s="1372" customFormat="1" ht="38.25">
      <c r="A59" s="2877" t="s">
        <v>2943</v>
      </c>
      <c r="B59" s="2880" t="str">
        <f>估价对象房地状况!C17</f>
        <v>估价对象位于XX商圈，周边办公楼项目较多，入驻率高，办公集聚程度较好</v>
      </c>
      <c r="C59" s="2770" t="s">
        <v>3055</v>
      </c>
      <c r="D59" s="1288">
        <f t="shared" ref="D59:D67" si="15">SUMIF($J$58:$N$58,C59,J59:N59)</f>
        <v>0</v>
      </c>
      <c r="E59" s="820">
        <f>ROUND(SUM(D59:D67),4)</f>
        <v>5.6899999999999999E-2</v>
      </c>
      <c r="F59" s="2501">
        <f>IF(E2="办公",SUMIF(L1:L12,G2,N1:N12),"——")</f>
        <v>0.15</v>
      </c>
      <c r="G59" s="1286">
        <f>H59</f>
        <v>1.7999999999999999E-2</v>
      </c>
      <c r="H59" s="1290">
        <f t="shared" ref="H59:H67" si="16">IFERROR(ROUNDDOWN($F$59*I59/2,4),"——")</f>
        <v>1.7999999999999999E-2</v>
      </c>
      <c r="I59" s="819">
        <v>0.24</v>
      </c>
      <c r="J59" s="1287">
        <f t="shared" ref="J59:J67" si="17">K59+$G59</f>
        <v>3.5999999999999997E-2</v>
      </c>
      <c r="K59" s="1287">
        <f t="shared" ref="K59:K67" si="18">$L59+$G59</f>
        <v>1.7999999999999999E-2</v>
      </c>
      <c r="L59" s="1287">
        <v>0</v>
      </c>
      <c r="M59" s="1287">
        <f t="shared" ref="M59:N67" si="19">L59-$G59</f>
        <v>-1.7999999999999999E-2</v>
      </c>
      <c r="N59" s="1287">
        <f t="shared" si="19"/>
        <v>-3.5999999999999997E-2</v>
      </c>
      <c r="AA59" s="1373"/>
      <c r="AB59" s="1373"/>
      <c r="AC59" s="1373"/>
      <c r="AD59" s="1373"/>
      <c r="AE59" s="1373"/>
      <c r="AF59" s="1373"/>
      <c r="AG59" s="1373"/>
      <c r="AH59" s="1373"/>
      <c r="AI59" s="1373"/>
      <c r="AJ59" s="1373"/>
      <c r="AK59" s="1373"/>
    </row>
    <row r="60" spans="1:37" s="1372" customFormat="1" ht="51">
      <c r="A60" s="2877" t="s">
        <v>2931</v>
      </c>
      <c r="B60" s="2881" t="str">
        <f>估价对象房地状况!C18</f>
        <v>估价对象周边道路状况、公共交通通达情况、停车便捷程度，综合评价交通便捷度较好</v>
      </c>
      <c r="C60" s="2770" t="s">
        <v>3054</v>
      </c>
      <c r="D60" s="1288">
        <f t="shared" si="15"/>
        <v>2.2499999999999999E-2</v>
      </c>
      <c r="E60" s="821"/>
      <c r="F60" s="2501"/>
      <c r="G60" s="1286">
        <f t="shared" ref="G60:G67" si="20">H60</f>
        <v>2.2499999999999999E-2</v>
      </c>
      <c r="H60" s="1290">
        <f t="shared" si="16"/>
        <v>2.2499999999999999E-2</v>
      </c>
      <c r="I60" s="819">
        <v>0.3</v>
      </c>
      <c r="J60" s="1287">
        <f t="shared" si="17"/>
        <v>4.4999999999999998E-2</v>
      </c>
      <c r="K60" s="1287">
        <f t="shared" si="18"/>
        <v>2.2499999999999999E-2</v>
      </c>
      <c r="L60" s="1287">
        <v>0</v>
      </c>
      <c r="M60" s="1287">
        <f t="shared" si="19"/>
        <v>-2.2499999999999999E-2</v>
      </c>
      <c r="N60" s="1287">
        <f t="shared" si="19"/>
        <v>-4.4999999999999998E-2</v>
      </c>
      <c r="AA60" s="1373"/>
      <c r="AB60" s="1373"/>
      <c r="AC60" s="1373"/>
      <c r="AD60" s="1373"/>
      <c r="AE60" s="1373"/>
      <c r="AF60" s="1373"/>
      <c r="AG60" s="1373"/>
      <c r="AH60" s="1373"/>
      <c r="AI60" s="1373"/>
      <c r="AJ60" s="1373"/>
      <c r="AK60" s="1373"/>
    </row>
    <row r="61" spans="1:37" s="1372" customFormat="1" ht="24">
      <c r="A61" s="2877" t="s">
        <v>2932</v>
      </c>
      <c r="B61" s="2881">
        <f>估价对象房地状况!C19</f>
        <v>0</v>
      </c>
      <c r="C61" s="2770" t="s">
        <v>3054</v>
      </c>
      <c r="D61" s="1288">
        <f t="shared" si="15"/>
        <v>6.0000000000000001E-3</v>
      </c>
      <c r="E61" s="821"/>
      <c r="F61" s="2501"/>
      <c r="G61" s="1286">
        <f t="shared" si="20"/>
        <v>6.0000000000000001E-3</v>
      </c>
      <c r="H61" s="1290">
        <f t="shared" si="16"/>
        <v>6.0000000000000001E-3</v>
      </c>
      <c r="I61" s="819">
        <v>0.08</v>
      </c>
      <c r="J61" s="1287">
        <f t="shared" si="17"/>
        <v>1.2E-2</v>
      </c>
      <c r="K61" s="1287">
        <f t="shared" si="18"/>
        <v>6.0000000000000001E-3</v>
      </c>
      <c r="L61" s="1287">
        <v>0</v>
      </c>
      <c r="M61" s="1287">
        <f t="shared" si="19"/>
        <v>-6.0000000000000001E-3</v>
      </c>
      <c r="N61" s="1287">
        <f t="shared" si="19"/>
        <v>-1.2E-2</v>
      </c>
      <c r="AA61" s="1373"/>
      <c r="AB61" s="1373"/>
      <c r="AC61" s="1373"/>
      <c r="AD61" s="1373"/>
      <c r="AE61" s="1373"/>
      <c r="AF61" s="1373"/>
      <c r="AG61" s="1373"/>
      <c r="AH61" s="1373"/>
      <c r="AI61" s="1373"/>
      <c r="AJ61" s="1373"/>
      <c r="AK61" s="1373"/>
    </row>
    <row r="62" spans="1:37" s="1372" customFormat="1" ht="36.75">
      <c r="A62" s="2877" t="s">
        <v>2933</v>
      </c>
      <c r="B62" s="2882" t="s">
        <v>2934</v>
      </c>
      <c r="C62" s="2770" t="s">
        <v>3054</v>
      </c>
      <c r="D62" s="1288">
        <f t="shared" si="15"/>
        <v>3.0000000000000001E-3</v>
      </c>
      <c r="E62" s="821"/>
      <c r="F62" s="2501"/>
      <c r="G62" s="1286">
        <f t="shared" si="20"/>
        <v>3.0000000000000001E-3</v>
      </c>
      <c r="H62" s="1290">
        <f t="shared" si="16"/>
        <v>3.0000000000000001E-3</v>
      </c>
      <c r="I62" s="819">
        <v>0.04</v>
      </c>
      <c r="J62" s="1287">
        <f t="shared" si="17"/>
        <v>6.0000000000000001E-3</v>
      </c>
      <c r="K62" s="1287">
        <f t="shared" si="18"/>
        <v>3.0000000000000001E-3</v>
      </c>
      <c r="L62" s="1287">
        <v>0</v>
      </c>
      <c r="M62" s="1287">
        <f t="shared" si="19"/>
        <v>-3.0000000000000001E-3</v>
      </c>
      <c r="N62" s="1287">
        <f t="shared" si="19"/>
        <v>-6.0000000000000001E-3</v>
      </c>
      <c r="AA62" s="1373"/>
      <c r="AB62" s="1373"/>
      <c r="AC62" s="1373"/>
      <c r="AD62" s="1373"/>
      <c r="AE62" s="1373"/>
      <c r="AF62" s="1373"/>
      <c r="AG62" s="1373"/>
      <c r="AH62" s="1373"/>
      <c r="AI62" s="1373"/>
      <c r="AJ62" s="1373"/>
      <c r="AK62" s="1373"/>
    </row>
    <row r="63" spans="1:37" s="1372" customFormat="1" ht="24">
      <c r="A63" s="2877" t="s">
        <v>2935</v>
      </c>
      <c r="B63" s="2881">
        <f>估价对象房地状况!C24</f>
        <v>0</v>
      </c>
      <c r="C63" s="2770" t="s">
        <v>3054</v>
      </c>
      <c r="D63" s="1288">
        <f t="shared" si="15"/>
        <v>3.7000000000000002E-3</v>
      </c>
      <c r="E63" s="821"/>
      <c r="F63" s="2501"/>
      <c r="G63" s="1286">
        <f t="shared" si="20"/>
        <v>3.7000000000000002E-3</v>
      </c>
      <c r="H63" s="1290">
        <f t="shared" si="16"/>
        <v>3.7000000000000002E-3</v>
      </c>
      <c r="I63" s="819">
        <v>0.05</v>
      </c>
      <c r="J63" s="1287">
        <f t="shared" si="17"/>
        <v>7.4000000000000003E-3</v>
      </c>
      <c r="K63" s="1287">
        <f t="shared" si="18"/>
        <v>3.7000000000000002E-3</v>
      </c>
      <c r="L63" s="1287">
        <v>0</v>
      </c>
      <c r="M63" s="1287">
        <f t="shared" si="19"/>
        <v>-3.7000000000000002E-3</v>
      </c>
      <c r="N63" s="1287">
        <f t="shared" si="19"/>
        <v>-7.4000000000000003E-3</v>
      </c>
      <c r="AA63" s="1373"/>
      <c r="AB63" s="1373"/>
      <c r="AC63" s="1373"/>
      <c r="AD63" s="1373"/>
      <c r="AE63" s="1373"/>
      <c r="AF63" s="1373"/>
      <c r="AG63" s="1373"/>
      <c r="AH63" s="1373"/>
      <c r="AI63" s="1373"/>
      <c r="AJ63" s="1373"/>
      <c r="AK63" s="1373"/>
    </row>
    <row r="64" spans="1:37" s="1372" customFormat="1" ht="24">
      <c r="A64" s="2877" t="s">
        <v>2936</v>
      </c>
      <c r="B64" s="2883" t="s">
        <v>2937</v>
      </c>
      <c r="C64" s="2770" t="s">
        <v>3054</v>
      </c>
      <c r="D64" s="1288">
        <f t="shared" si="15"/>
        <v>3.7000000000000002E-3</v>
      </c>
      <c r="E64" s="821"/>
      <c r="F64" s="2501"/>
      <c r="G64" s="1286">
        <f t="shared" si="20"/>
        <v>3.7000000000000002E-3</v>
      </c>
      <c r="H64" s="1290">
        <f t="shared" si="16"/>
        <v>3.7000000000000002E-3</v>
      </c>
      <c r="I64" s="819">
        <v>0.05</v>
      </c>
      <c r="J64" s="1287">
        <f t="shared" si="17"/>
        <v>7.4000000000000003E-3</v>
      </c>
      <c r="K64" s="1287">
        <f t="shared" si="18"/>
        <v>3.7000000000000002E-3</v>
      </c>
      <c r="L64" s="1287">
        <v>0</v>
      </c>
      <c r="M64" s="1287">
        <f t="shared" si="19"/>
        <v>-3.7000000000000002E-3</v>
      </c>
      <c r="N64" s="1287">
        <f t="shared" si="19"/>
        <v>-7.4000000000000003E-3</v>
      </c>
      <c r="AA64" s="1373"/>
      <c r="AB64" s="1373"/>
      <c r="AC64" s="1373"/>
      <c r="AD64" s="1373"/>
      <c r="AE64" s="1373"/>
      <c r="AF64" s="1373"/>
      <c r="AG64" s="1373"/>
      <c r="AH64" s="1373"/>
      <c r="AI64" s="1373"/>
      <c r="AJ64" s="1373"/>
      <c r="AK64" s="1373"/>
    </row>
    <row r="65" spans="1:37" s="1372" customFormat="1" ht="25.5">
      <c r="A65" s="2877" t="s">
        <v>2938</v>
      </c>
      <c r="B65" s="1726" t="str">
        <f>估价对象房地状况!C21</f>
        <v>估价对象所在区域公共配套设施齐备情况</v>
      </c>
      <c r="C65" s="2770" t="s">
        <v>3055</v>
      </c>
      <c r="D65" s="1288">
        <f t="shared" si="15"/>
        <v>0</v>
      </c>
      <c r="E65" s="821"/>
      <c r="F65" s="2501"/>
      <c r="G65" s="1286">
        <f t="shared" si="20"/>
        <v>4.4999999999999997E-3</v>
      </c>
      <c r="H65" s="1290">
        <f t="shared" si="16"/>
        <v>4.4999999999999997E-3</v>
      </c>
      <c r="I65" s="819">
        <v>0.06</v>
      </c>
      <c r="J65" s="1287">
        <f t="shared" si="17"/>
        <v>8.9999999999999993E-3</v>
      </c>
      <c r="K65" s="1287">
        <f t="shared" si="18"/>
        <v>4.4999999999999997E-3</v>
      </c>
      <c r="L65" s="1287">
        <v>0</v>
      </c>
      <c r="M65" s="1287">
        <f t="shared" si="19"/>
        <v>-4.4999999999999997E-3</v>
      </c>
      <c r="N65" s="1287">
        <f t="shared" si="19"/>
        <v>-8.9999999999999993E-3</v>
      </c>
      <c r="AA65" s="1373"/>
      <c r="AB65" s="1373"/>
      <c r="AC65" s="1373"/>
      <c r="AD65" s="1373"/>
      <c r="AE65" s="1373"/>
      <c r="AF65" s="1373"/>
      <c r="AG65" s="1373"/>
      <c r="AH65" s="1373"/>
      <c r="AI65" s="1373"/>
      <c r="AJ65" s="1373"/>
      <c r="AK65" s="1373"/>
    </row>
    <row r="66" spans="1:37" s="1372" customFormat="1" ht="25.5">
      <c r="A66" s="2877" t="s">
        <v>2939</v>
      </c>
      <c r="B66" s="1726" t="str">
        <f>估价对象房地状况!C22</f>
        <v>估价对象所在区域基础设施水平</v>
      </c>
      <c r="C66" s="2770" t="s">
        <v>3143</v>
      </c>
      <c r="D66" s="1288">
        <f t="shared" si="15"/>
        <v>1.7999999999999999E-2</v>
      </c>
      <c r="E66" s="821"/>
      <c r="F66" s="2501"/>
      <c r="G66" s="1286">
        <f t="shared" si="20"/>
        <v>8.9999999999999993E-3</v>
      </c>
      <c r="H66" s="1290">
        <f t="shared" si="16"/>
        <v>8.9999999999999993E-3</v>
      </c>
      <c r="I66" s="819">
        <v>0.12</v>
      </c>
      <c r="J66" s="1287">
        <f t="shared" si="17"/>
        <v>1.7999999999999999E-2</v>
      </c>
      <c r="K66" s="1287">
        <f t="shared" si="18"/>
        <v>8.9999999999999993E-3</v>
      </c>
      <c r="L66" s="1287">
        <v>0</v>
      </c>
      <c r="M66" s="1287">
        <f t="shared" si="19"/>
        <v>-8.9999999999999993E-3</v>
      </c>
      <c r="N66" s="1287">
        <f t="shared" si="19"/>
        <v>-1.7999999999999999E-2</v>
      </c>
      <c r="AA66" s="1373"/>
      <c r="AB66" s="1373"/>
      <c r="AC66" s="1373"/>
      <c r="AD66" s="1373"/>
      <c r="AE66" s="1373"/>
      <c r="AF66" s="1373"/>
      <c r="AG66" s="1373"/>
      <c r="AH66" s="1373"/>
      <c r="AI66" s="1373"/>
      <c r="AJ66" s="1373"/>
      <c r="AK66" s="1373"/>
    </row>
    <row r="67" spans="1:37" s="1372" customFormat="1" ht="39" thickBot="1">
      <c r="A67" s="2885" t="s">
        <v>2940</v>
      </c>
      <c r="B67" s="2887" t="str">
        <f>估价对象房地状况!C20</f>
        <v>区域自然环境：；人文环境；综合评价环境状况一般</v>
      </c>
      <c r="C67" s="2770" t="s">
        <v>3055</v>
      </c>
      <c r="D67" s="1288">
        <f t="shared" si="15"/>
        <v>0</v>
      </c>
      <c r="E67" s="824"/>
      <c r="F67" s="2501"/>
      <c r="G67" s="1286">
        <f t="shared" si="20"/>
        <v>4.4999999999999997E-3</v>
      </c>
      <c r="H67" s="1290">
        <f t="shared" si="16"/>
        <v>4.4999999999999997E-3</v>
      </c>
      <c r="I67" s="823">
        <v>0.06</v>
      </c>
      <c r="J67" s="1287">
        <f t="shared" si="17"/>
        <v>8.9999999999999993E-3</v>
      </c>
      <c r="K67" s="1287">
        <f t="shared" si="18"/>
        <v>4.4999999999999997E-3</v>
      </c>
      <c r="L67" s="1287">
        <v>0</v>
      </c>
      <c r="M67" s="1287">
        <f t="shared" si="19"/>
        <v>-4.4999999999999997E-3</v>
      </c>
      <c r="N67" s="1287">
        <f t="shared" si="19"/>
        <v>-8.9999999999999993E-3</v>
      </c>
      <c r="AA67" s="1373"/>
      <c r="AB67" s="1373"/>
      <c r="AC67" s="1373"/>
      <c r="AD67" s="1373"/>
      <c r="AE67" s="1373"/>
      <c r="AF67" s="1373"/>
      <c r="AG67" s="1373"/>
      <c r="AH67" s="1373"/>
      <c r="AI67" s="1373"/>
      <c r="AJ67" s="1373"/>
      <c r="AK67" s="1373"/>
    </row>
    <row r="68" spans="1:37" s="1372" customFormat="1" ht="15">
      <c r="A68" s="2873" t="s">
        <v>2944</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2922</v>
      </c>
      <c r="B69" s="2944"/>
      <c r="C69" s="2944" t="s">
        <v>2924</v>
      </c>
      <c r="D69" s="2944" t="s">
        <v>2925</v>
      </c>
      <c r="E69" s="818" t="s">
        <v>2926</v>
      </c>
      <c r="F69" s="2878" t="s">
        <v>2942</v>
      </c>
      <c r="G69" s="2944" t="s">
        <v>754</v>
      </c>
      <c r="H69" s="2879" t="s">
        <v>2928</v>
      </c>
      <c r="I69" s="2944" t="s">
        <v>2929</v>
      </c>
      <c r="J69" s="602" t="s">
        <v>2579</v>
      </c>
      <c r="K69" s="602" t="s">
        <v>2580</v>
      </c>
      <c r="L69" s="602" t="s">
        <v>2581</v>
      </c>
      <c r="M69" s="602" t="s">
        <v>2582</v>
      </c>
      <c r="N69" s="602" t="s">
        <v>2583</v>
      </c>
      <c r="AA69" s="1373"/>
      <c r="AB69" s="1373"/>
      <c r="AC69" s="1373"/>
      <c r="AD69" s="1373"/>
      <c r="AE69" s="1373"/>
      <c r="AF69" s="1373"/>
      <c r="AG69" s="1373"/>
      <c r="AH69" s="1373"/>
      <c r="AI69" s="1373"/>
      <c r="AJ69" s="1373"/>
      <c r="AK69" s="1373"/>
    </row>
    <row r="70" spans="1:37" s="1372" customFormat="1" ht="51">
      <c r="A70" s="2877" t="s">
        <v>2945</v>
      </c>
      <c r="B70" s="2880" t="str">
        <f>估价对象房地状况!C15</f>
        <v>估价对象周边居住用地比例、居住小区规模和社区发展完善程度，综合评价居住社区成熟度一般</v>
      </c>
      <c r="C70" s="2770"/>
      <c r="D70" s="1288">
        <f t="shared" ref="D70:D78" si="21">SUMIF($J$69:$N$69,C70,J70:N70)</f>
        <v>0</v>
      </c>
      <c r="E70" s="820">
        <f>ROUND(SUM(D70:D78),4)</f>
        <v>0</v>
      </c>
      <c r="F70" s="2501"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2931</v>
      </c>
      <c r="B71" s="2881" t="str">
        <f>估价对象房地状况!C18</f>
        <v>估价对象周边道路状况、公共交通通达情况、停车便捷程度，综合评价交通便捷度较好</v>
      </c>
      <c r="C71" s="2770"/>
      <c r="D71" s="1288">
        <f t="shared" si="21"/>
        <v>0</v>
      </c>
      <c r="E71" s="825"/>
      <c r="F71" s="2501"/>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2932</v>
      </c>
      <c r="B72" s="2881">
        <f>估价对象房地状况!C19</f>
        <v>0</v>
      </c>
      <c r="C72" s="2770"/>
      <c r="D72" s="1288">
        <f t="shared" si="21"/>
        <v>0</v>
      </c>
      <c r="E72" s="825"/>
      <c r="F72" s="2501"/>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2946</v>
      </c>
      <c r="B73" s="2881">
        <f>估价对象房地状况!C24</f>
        <v>0</v>
      </c>
      <c r="C73" s="2770"/>
      <c r="D73" s="1288">
        <f t="shared" si="21"/>
        <v>0</v>
      </c>
      <c r="E73" s="825"/>
      <c r="F73" s="2501"/>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2938</v>
      </c>
      <c r="B74" s="1726" t="str">
        <f>估价对象房地状况!C21</f>
        <v>估价对象所在区域公共配套设施齐备情况</v>
      </c>
      <c r="C74" s="2770"/>
      <c r="D74" s="1288">
        <f t="shared" si="21"/>
        <v>0</v>
      </c>
      <c r="E74" s="825"/>
      <c r="F74" s="2501"/>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77" t="s">
        <v>2939</v>
      </c>
      <c r="B75" s="1726" t="str">
        <f>估价对象房地状况!C22</f>
        <v>估价对象所在区域基础设施水平</v>
      </c>
      <c r="C75" s="2770"/>
      <c r="D75" s="1288">
        <f t="shared" si="21"/>
        <v>0</v>
      </c>
      <c r="E75" s="825"/>
      <c r="F75" s="2501"/>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9" customFormat="1" ht="24">
      <c r="A76" s="2877" t="s">
        <v>2936</v>
      </c>
      <c r="B76" s="2883" t="s">
        <v>2937</v>
      </c>
      <c r="C76" s="2770"/>
      <c r="D76" s="1288">
        <f t="shared" si="21"/>
        <v>0</v>
      </c>
      <c r="E76" s="825"/>
      <c r="F76" s="2501"/>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2940</v>
      </c>
      <c r="B77" s="2880" t="str">
        <f>估价对象房地状况!C20</f>
        <v>区域自然环境：；人文环境；综合评价环境状况一般</v>
      </c>
      <c r="C77" s="2770"/>
      <c r="D77" s="1288">
        <f t="shared" si="21"/>
        <v>0</v>
      </c>
      <c r="E77" s="825"/>
      <c r="F77" s="2501"/>
      <c r="G77" s="1286"/>
      <c r="H77" s="1290" t="str">
        <f t="shared" si="22"/>
        <v>——</v>
      </c>
      <c r="I77" s="819">
        <v>0.15</v>
      </c>
      <c r="J77" s="1287">
        <f t="shared" si="23"/>
        <v>0</v>
      </c>
      <c r="K77" s="1287">
        <f t="shared" si="24"/>
        <v>0</v>
      </c>
      <c r="L77" s="1287">
        <v>0</v>
      </c>
      <c r="M77" s="1287">
        <f t="shared" si="25"/>
        <v>0</v>
      </c>
      <c r="N77" s="1287">
        <f t="shared" si="25"/>
        <v>0</v>
      </c>
      <c r="Z77" s="2720"/>
      <c r="AA77" s="2796"/>
      <c r="AG77" s="1374"/>
      <c r="AK77" s="2796"/>
    </row>
    <row r="78" spans="1:37" ht="24.75" thickBot="1">
      <c r="A78" s="2885" t="s">
        <v>2947</v>
      </c>
      <c r="B78" s="2889"/>
      <c r="C78" s="2770"/>
      <c r="D78" s="1288">
        <f t="shared" si="21"/>
        <v>0</v>
      </c>
      <c r="E78" s="826"/>
      <c r="F78" s="2501"/>
      <c r="G78" s="1286"/>
      <c r="H78" s="1290" t="str">
        <f t="shared" si="22"/>
        <v>——</v>
      </c>
      <c r="I78" s="823">
        <v>0.04</v>
      </c>
      <c r="J78" s="1287">
        <f t="shared" si="23"/>
        <v>0</v>
      </c>
      <c r="K78" s="1287">
        <f t="shared" si="24"/>
        <v>0</v>
      </c>
      <c r="L78" s="1287">
        <v>0</v>
      </c>
      <c r="M78" s="1287">
        <f t="shared" si="25"/>
        <v>0</v>
      </c>
      <c r="N78" s="1287">
        <f t="shared" si="25"/>
        <v>0</v>
      </c>
      <c r="Z78" s="2720"/>
      <c r="AA78" s="2796"/>
      <c r="AG78" s="1374"/>
      <c r="AK78" s="2796"/>
    </row>
    <row r="79" spans="1:37" ht="15">
      <c r="A79" s="2873" t="s">
        <v>2948</v>
      </c>
      <c r="B79" s="2874">
        <f>1+E81</f>
        <v>1</v>
      </c>
      <c r="C79" s="813"/>
      <c r="D79" s="813"/>
      <c r="E79" s="814"/>
      <c r="F79" s="2876"/>
      <c r="G79" s="6"/>
      <c r="H79" s="6"/>
      <c r="I79" s="6"/>
      <c r="J79" s="7"/>
      <c r="K79" s="7"/>
      <c r="L79" s="7"/>
      <c r="M79" s="7"/>
      <c r="N79" s="7"/>
      <c r="Z79" s="2720"/>
      <c r="AA79" s="2796"/>
      <c r="AG79" s="1374"/>
      <c r="AK79" s="2796"/>
    </row>
    <row r="80" spans="1:37" ht="24.75">
      <c r="A80" s="2877" t="s">
        <v>2922</v>
      </c>
      <c r="B80" s="2944"/>
      <c r="C80" s="2944" t="s">
        <v>2924</v>
      </c>
      <c r="D80" s="2944" t="s">
        <v>2925</v>
      </c>
      <c r="E80" s="818" t="s">
        <v>2926</v>
      </c>
      <c r="F80" s="2878" t="s">
        <v>2942</v>
      </c>
      <c r="G80" s="2944" t="s">
        <v>754</v>
      </c>
      <c r="H80" s="2879" t="s">
        <v>2928</v>
      </c>
      <c r="I80" s="2944" t="s">
        <v>2929</v>
      </c>
      <c r="J80" s="602" t="s">
        <v>2579</v>
      </c>
      <c r="K80" s="602" t="s">
        <v>2580</v>
      </c>
      <c r="L80" s="602" t="s">
        <v>2581</v>
      </c>
      <c r="M80" s="602" t="s">
        <v>2582</v>
      </c>
      <c r="N80" s="602" t="s">
        <v>2583</v>
      </c>
      <c r="Z80" s="2720"/>
      <c r="AA80" s="2796"/>
      <c r="AG80" s="1374"/>
      <c r="AK80" s="2796"/>
    </row>
    <row r="81" spans="1:37" ht="38.25">
      <c r="A81" s="2877" t="s">
        <v>2949</v>
      </c>
      <c r="B81" s="2881" t="str">
        <f>估价对象房地状况!G15</f>
        <v>估价对象位于XX开发区，园区建设成熟度XX，产业集聚程度XX</v>
      </c>
      <c r="C81" s="2770"/>
      <c r="D81" s="1288">
        <f t="shared" ref="D81:D88" si="26">SUMIF($J$80:$N$80,C81,J81:N81)</f>
        <v>0</v>
      </c>
      <c r="E81" s="820">
        <f>ROUND(SUM(D81:D88),4)</f>
        <v>0</v>
      </c>
      <c r="F81" s="2501"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0"/>
      <c r="AA81" s="2796"/>
      <c r="AG81" s="1374"/>
      <c r="AK81" s="2796"/>
    </row>
    <row r="82" spans="1:37" ht="51">
      <c r="A82" s="2877" t="s">
        <v>2931</v>
      </c>
      <c r="B82" s="2881" t="str">
        <f>估价对象房地状况!G16</f>
        <v>估价对象周边道路状况、公共交通通达情况、停车便捷程度，综合评价交通便捷度较好</v>
      </c>
      <c r="C82" s="2770"/>
      <c r="D82" s="1288">
        <f t="shared" si="26"/>
        <v>0</v>
      </c>
      <c r="E82" s="825"/>
      <c r="F82" s="2501"/>
      <c r="G82" s="1286"/>
      <c r="H82" s="1290" t="str">
        <f t="shared" si="27"/>
        <v>——</v>
      </c>
      <c r="I82" s="819">
        <v>0.33</v>
      </c>
      <c r="J82" s="1287">
        <f t="shared" si="28"/>
        <v>0</v>
      </c>
      <c r="K82" s="1287">
        <f t="shared" si="29"/>
        <v>0</v>
      </c>
      <c r="L82" s="1287">
        <v>0</v>
      </c>
      <c r="M82" s="1287">
        <f t="shared" si="30"/>
        <v>0</v>
      </c>
      <c r="N82" s="1287">
        <f t="shared" si="30"/>
        <v>0</v>
      </c>
      <c r="Z82" s="2720"/>
      <c r="AA82" s="2796"/>
      <c r="AG82" s="1374"/>
      <c r="AK82" s="2796"/>
    </row>
    <row r="83" spans="1:37" ht="24">
      <c r="A83" s="2877" t="s">
        <v>2932</v>
      </c>
      <c r="B83" s="2881">
        <f>估价对象房地状况!G17</f>
        <v>0</v>
      </c>
      <c r="C83" s="2770"/>
      <c r="D83" s="1288">
        <f t="shared" si="26"/>
        <v>0</v>
      </c>
      <c r="E83" s="825"/>
      <c r="F83" s="2501"/>
      <c r="G83" s="1286"/>
      <c r="H83" s="1290" t="str">
        <f t="shared" si="27"/>
        <v>——</v>
      </c>
      <c r="I83" s="819">
        <v>0.05</v>
      </c>
      <c r="J83" s="1287">
        <f t="shared" si="28"/>
        <v>0</v>
      </c>
      <c r="K83" s="1287">
        <f t="shared" si="29"/>
        <v>0</v>
      </c>
      <c r="L83" s="1287">
        <v>0</v>
      </c>
      <c r="M83" s="1287">
        <f t="shared" si="30"/>
        <v>0</v>
      </c>
      <c r="N83" s="1287">
        <f t="shared" si="30"/>
        <v>0</v>
      </c>
      <c r="Z83" s="2720"/>
      <c r="AA83" s="2796"/>
      <c r="AG83" s="1374"/>
      <c r="AK83" s="2796"/>
    </row>
    <row r="84" spans="1:37" ht="14.25">
      <c r="A84" s="2877" t="s">
        <v>2946</v>
      </c>
      <c r="B84" s="2881">
        <f>估价对象房地状况!G22</f>
        <v>0</v>
      </c>
      <c r="C84" s="2770"/>
      <c r="D84" s="1288">
        <f t="shared" si="26"/>
        <v>0</v>
      </c>
      <c r="E84" s="825"/>
      <c r="F84" s="2501"/>
      <c r="G84" s="1286"/>
      <c r="H84" s="1290" t="str">
        <f t="shared" si="27"/>
        <v>——</v>
      </c>
      <c r="I84" s="819">
        <v>0.04</v>
      </c>
      <c r="J84" s="1287">
        <f t="shared" si="28"/>
        <v>0</v>
      </c>
      <c r="K84" s="1287">
        <f t="shared" si="29"/>
        <v>0</v>
      </c>
      <c r="L84" s="1287">
        <v>0</v>
      </c>
      <c r="M84" s="1287">
        <f t="shared" si="30"/>
        <v>0</v>
      </c>
      <c r="N84" s="1287">
        <f t="shared" si="30"/>
        <v>0</v>
      </c>
      <c r="Z84" s="2720"/>
      <c r="AA84" s="2796"/>
      <c r="AG84" s="1374"/>
      <c r="AK84" s="2796"/>
    </row>
    <row r="85" spans="1:37" ht="25.5">
      <c r="A85" s="2877" t="s">
        <v>2938</v>
      </c>
      <c r="B85" s="1726" t="str">
        <f>估价对象房地状况!G19</f>
        <v>估价对象所在区域公共配套设施齐备情况</v>
      </c>
      <c r="C85" s="2770"/>
      <c r="D85" s="1288">
        <f t="shared" si="26"/>
        <v>0</v>
      </c>
      <c r="E85" s="825"/>
      <c r="F85" s="2501"/>
      <c r="G85" s="1286"/>
      <c r="H85" s="1290" t="str">
        <f t="shared" si="27"/>
        <v>——</v>
      </c>
      <c r="I85" s="819">
        <v>0.06</v>
      </c>
      <c r="J85" s="1287">
        <f t="shared" si="28"/>
        <v>0</v>
      </c>
      <c r="K85" s="1287">
        <f t="shared" si="29"/>
        <v>0</v>
      </c>
      <c r="L85" s="1287">
        <v>0</v>
      </c>
      <c r="M85" s="1287">
        <f t="shared" si="30"/>
        <v>0</v>
      </c>
      <c r="N85" s="1287">
        <f t="shared" si="30"/>
        <v>0</v>
      </c>
      <c r="Z85" s="2720"/>
      <c r="AA85" s="2796"/>
      <c r="AG85" s="1374"/>
      <c r="AK85" s="2796"/>
    </row>
    <row r="86" spans="1:37" ht="25.5">
      <c r="A86" s="2877" t="s">
        <v>2939</v>
      </c>
      <c r="B86" s="1726" t="str">
        <f>估价对象房地状况!G20</f>
        <v>估价对象所在区域基础设施水平</v>
      </c>
      <c r="C86" s="2770"/>
      <c r="D86" s="1288">
        <f t="shared" si="26"/>
        <v>0</v>
      </c>
      <c r="E86" s="825"/>
      <c r="F86" s="2501"/>
      <c r="G86" s="1286"/>
      <c r="H86" s="1290" t="str">
        <f t="shared" si="27"/>
        <v>——</v>
      </c>
      <c r="I86" s="819">
        <v>0.15</v>
      </c>
      <c r="J86" s="1287">
        <f t="shared" si="28"/>
        <v>0</v>
      </c>
      <c r="K86" s="1287">
        <f t="shared" si="29"/>
        <v>0</v>
      </c>
      <c r="L86" s="1287">
        <v>0</v>
      </c>
      <c r="M86" s="1287">
        <f t="shared" si="30"/>
        <v>0</v>
      </c>
      <c r="N86" s="1287">
        <f t="shared" si="30"/>
        <v>0</v>
      </c>
      <c r="Z86" s="2720"/>
      <c r="AA86" s="2796"/>
      <c r="AG86" s="1374"/>
      <c r="AK86" s="2796"/>
    </row>
    <row r="87" spans="1:37" ht="24">
      <c r="A87" s="2877" t="s">
        <v>2936</v>
      </c>
      <c r="B87" s="2883" t="s">
        <v>2950</v>
      </c>
      <c r="C87" s="2770"/>
      <c r="D87" s="1288">
        <f t="shared" si="26"/>
        <v>0</v>
      </c>
      <c r="E87" s="825"/>
      <c r="F87" s="2501"/>
      <c r="G87" s="1286"/>
      <c r="H87" s="1290" t="str">
        <f t="shared" si="27"/>
        <v>——</v>
      </c>
      <c r="I87" s="819">
        <v>0.05</v>
      </c>
      <c r="J87" s="1287">
        <f t="shared" si="28"/>
        <v>0</v>
      </c>
      <c r="K87" s="1287">
        <f t="shared" si="29"/>
        <v>0</v>
      </c>
      <c r="L87" s="1287">
        <v>0</v>
      </c>
      <c r="M87" s="1287">
        <f t="shared" si="30"/>
        <v>0</v>
      </c>
      <c r="N87" s="1287">
        <f t="shared" si="30"/>
        <v>0</v>
      </c>
      <c r="Z87" s="2720"/>
      <c r="AA87" s="2796"/>
      <c r="AG87" s="1374"/>
      <c r="AK87" s="2796"/>
    </row>
    <row r="88" spans="1:37" ht="39" thickBot="1">
      <c r="A88" s="2885" t="s">
        <v>2951</v>
      </c>
      <c r="B88" s="2890" t="str">
        <f>估价对象房地状况!G18</f>
        <v>该园区内是否有污染型企业，绿化情况，卫生条件，整体环境状况判断</v>
      </c>
      <c r="C88" s="2770"/>
      <c r="D88" s="1288">
        <f t="shared" si="26"/>
        <v>0</v>
      </c>
      <c r="E88" s="826"/>
      <c r="F88" s="2501"/>
      <c r="G88" s="1286"/>
      <c r="H88" s="1290" t="str">
        <f t="shared" si="27"/>
        <v>——</v>
      </c>
      <c r="I88" s="823">
        <v>0.06</v>
      </c>
      <c r="J88" s="1287">
        <f t="shared" si="28"/>
        <v>0</v>
      </c>
      <c r="K88" s="1287">
        <f t="shared" si="29"/>
        <v>0</v>
      </c>
      <c r="L88" s="1287">
        <v>0</v>
      </c>
      <c r="M88" s="1287">
        <f t="shared" si="30"/>
        <v>0</v>
      </c>
      <c r="N88" s="1287">
        <f t="shared" si="30"/>
        <v>0</v>
      </c>
      <c r="Z88" s="2720"/>
      <c r="AA88" s="2796"/>
      <c r="AG88" s="1374"/>
      <c r="AK88" s="2796"/>
    </row>
    <row r="90" spans="1:37">
      <c r="A90" s="3248" t="s">
        <v>2952</v>
      </c>
      <c r="B90" s="3248"/>
      <c r="C90" s="3248"/>
      <c r="D90" s="3248"/>
      <c r="E90" s="3248"/>
      <c r="F90" s="3248"/>
      <c r="G90" s="3248"/>
      <c r="H90" s="3248"/>
      <c r="I90" s="3248"/>
      <c r="J90" s="3248"/>
      <c r="K90" s="2953"/>
      <c r="L90" s="2953"/>
      <c r="M90" s="2953"/>
      <c r="N90" s="2953"/>
    </row>
    <row r="91" spans="1:37">
      <c r="A91" s="3250" t="s">
        <v>2953</v>
      </c>
      <c r="B91" s="3250" t="s">
        <v>2954</v>
      </c>
      <c r="C91" s="2845" t="s">
        <v>2955</v>
      </c>
      <c r="D91" s="2846"/>
      <c r="E91" s="2846"/>
      <c r="F91" s="2846"/>
      <c r="G91" s="2846"/>
      <c r="H91" s="2846"/>
      <c r="I91" s="2846"/>
      <c r="J91" s="2892"/>
      <c r="K91" s="2893"/>
      <c r="L91" s="2893"/>
      <c r="M91" s="2893"/>
      <c r="N91" s="2893"/>
    </row>
    <row r="92" spans="1:37">
      <c r="A92" s="3250"/>
      <c r="B92" s="3250"/>
      <c r="C92" s="2955" t="s">
        <v>2821</v>
      </c>
      <c r="D92" s="2955" t="s">
        <v>2822</v>
      </c>
      <c r="E92" s="2955" t="s">
        <v>2823</v>
      </c>
      <c r="F92" s="2955" t="s">
        <v>2824</v>
      </c>
      <c r="G92" s="2955" t="s">
        <v>2825</v>
      </c>
      <c r="H92" s="2955" t="s">
        <v>2826</v>
      </c>
      <c r="I92" s="2955" t="s">
        <v>2827</v>
      </c>
      <c r="J92" s="2955" t="s">
        <v>2828</v>
      </c>
      <c r="K92" s="2955" t="s">
        <v>2829</v>
      </c>
      <c r="L92" s="2955" t="s">
        <v>2830</v>
      </c>
      <c r="M92" s="2955" t="s">
        <v>2831</v>
      </c>
      <c r="N92" s="2955" t="s">
        <v>2832</v>
      </c>
    </row>
    <row r="93" spans="1:37">
      <c r="A93" s="3251" t="s">
        <v>2956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2"/>
      <c r="B99" s="2894" t="s">
        <v>2837</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5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1" t="s">
        <v>2957</v>
      </c>
      <c r="B101" s="2898" t="s">
        <v>2958</v>
      </c>
      <c r="C101" s="2899">
        <f>$G$3</f>
        <v>2.88</v>
      </c>
      <c r="D101" s="2899">
        <f t="shared" ref="D101:N101" si="32">$G$3</f>
        <v>2.88</v>
      </c>
      <c r="E101" s="2899">
        <f t="shared" si="32"/>
        <v>2.88</v>
      </c>
      <c r="F101" s="2899">
        <f t="shared" si="32"/>
        <v>2.88</v>
      </c>
      <c r="G101" s="2899">
        <f t="shared" si="32"/>
        <v>2.88</v>
      </c>
      <c r="H101" s="2899">
        <f t="shared" si="32"/>
        <v>2.88</v>
      </c>
      <c r="I101" s="2899">
        <f t="shared" si="32"/>
        <v>2.88</v>
      </c>
      <c r="J101" s="2899">
        <f t="shared" si="32"/>
        <v>2.88</v>
      </c>
      <c r="K101" s="2899">
        <f t="shared" si="32"/>
        <v>2.88</v>
      </c>
      <c r="L101" s="2899">
        <f t="shared" si="32"/>
        <v>2.88</v>
      </c>
      <c r="M101" s="2899">
        <f t="shared" si="32"/>
        <v>2.88</v>
      </c>
      <c r="N101" s="2899">
        <f t="shared" si="32"/>
        <v>2.88</v>
      </c>
    </row>
    <row r="102" spans="1:14">
      <c r="A102" s="3252"/>
      <c r="B102" s="2894">
        <v>1</v>
      </c>
      <c r="C102" s="2895">
        <f>1.9362/C101</f>
        <v>0.67229166666666662</v>
      </c>
      <c r="D102" s="2895">
        <f>1.9362/D101</f>
        <v>0.67229166666666662</v>
      </c>
      <c r="E102" s="2895">
        <f>1.8629/E101</f>
        <v>0.64684027777777775</v>
      </c>
      <c r="F102" s="2895">
        <f>1.8629/F101</f>
        <v>0.64684027777777775</v>
      </c>
      <c r="G102" s="2895">
        <f>1.8629/G101</f>
        <v>0.64684027777777775</v>
      </c>
      <c r="H102" s="2895">
        <f>1.8629/H101</f>
        <v>0.64684027777777775</v>
      </c>
      <c r="I102" s="2895">
        <f>1.8629/I101</f>
        <v>0.64684027777777775</v>
      </c>
      <c r="J102" s="2895">
        <f>1.942/J101</f>
        <v>0.6743055555555556</v>
      </c>
      <c r="K102" s="2895">
        <f>1.942/K101</f>
        <v>0.6743055555555556</v>
      </c>
      <c r="L102" s="2895">
        <f>1.942/L101</f>
        <v>0.6743055555555556</v>
      </c>
      <c r="M102" s="2895">
        <f>1.942/M101</f>
        <v>0.6743055555555556</v>
      </c>
      <c r="N102" s="2895">
        <f>1.942/N101</f>
        <v>0.6743055555555556</v>
      </c>
    </row>
    <row r="103" spans="1:14">
      <c r="A103" s="3252"/>
      <c r="B103" s="2894">
        <v>2</v>
      </c>
      <c r="C103" s="2895">
        <f>1.4198/C101</f>
        <v>0.49298611111111112</v>
      </c>
      <c r="D103" s="2895">
        <f>1.4198/D101</f>
        <v>0.49298611111111112</v>
      </c>
      <c r="E103" s="2895">
        <f>1.3372/E101</f>
        <v>0.46430555555555553</v>
      </c>
      <c r="F103" s="2895">
        <f>1.3372/F101</f>
        <v>0.46430555555555553</v>
      </c>
      <c r="G103" s="2895">
        <f>1.3372/G101</f>
        <v>0.46430555555555553</v>
      </c>
      <c r="H103" s="2895">
        <f>1.3372/H101</f>
        <v>0.46430555555555553</v>
      </c>
      <c r="I103" s="2895">
        <f>1.3372/I101</f>
        <v>0.46430555555555553</v>
      </c>
      <c r="J103" s="2895">
        <f>1.2799/J101</f>
        <v>0.44440972222222225</v>
      </c>
      <c r="K103" s="2895">
        <f>1.2799/K101</f>
        <v>0.44440972222222225</v>
      </c>
      <c r="L103" s="2895">
        <f>1.2799/L101</f>
        <v>0.44440972222222225</v>
      </c>
      <c r="M103" s="2895">
        <f>1.2799/M101</f>
        <v>0.44440972222222225</v>
      </c>
      <c r="N103" s="2895">
        <f>1.2799/N101</f>
        <v>0.44440972222222225</v>
      </c>
    </row>
    <row r="104" spans="1:14">
      <c r="A104" s="3252"/>
      <c r="B104" s="2894">
        <v>3</v>
      </c>
      <c r="C104" s="2895">
        <f>1.1594/C101</f>
        <v>0.40256944444444448</v>
      </c>
      <c r="D104" s="2895">
        <f>1.1594/D101</f>
        <v>0.40256944444444448</v>
      </c>
      <c r="E104" s="2895">
        <f>1.0788/E101</f>
        <v>0.37458333333333332</v>
      </c>
      <c r="F104" s="2895">
        <f>1.0788/F101</f>
        <v>0.37458333333333332</v>
      </c>
      <c r="G104" s="2895">
        <f>1.0788/G101</f>
        <v>0.37458333333333332</v>
      </c>
      <c r="H104" s="2895">
        <f>1.0788/H101</f>
        <v>0.37458333333333332</v>
      </c>
      <c r="I104" s="2895">
        <f>1.0788/I101</f>
        <v>0.37458333333333332</v>
      </c>
      <c r="J104" s="2895">
        <f>1.0072/J101</f>
        <v>0.34972222222222227</v>
      </c>
      <c r="K104" s="2895">
        <f>1.0072/K101</f>
        <v>0.34972222222222227</v>
      </c>
      <c r="L104" s="2895">
        <f>1.0072/L101</f>
        <v>0.34972222222222227</v>
      </c>
      <c r="M104" s="2895">
        <f>1.0072/M101</f>
        <v>0.34972222222222227</v>
      </c>
      <c r="N104" s="2895">
        <f>1.0072/N101</f>
        <v>0.34972222222222227</v>
      </c>
    </row>
    <row r="105" spans="1:14">
      <c r="A105" s="3252"/>
      <c r="B105" s="2894">
        <v>4</v>
      </c>
      <c r="C105" s="2895">
        <f>0.9622/C101</f>
        <v>0.33409722222222227</v>
      </c>
      <c r="D105" s="2895">
        <f>0.9622/D101</f>
        <v>0.33409722222222227</v>
      </c>
      <c r="E105" s="2895">
        <f>0.8656/E101</f>
        <v>0.30055555555555558</v>
      </c>
      <c r="F105" s="2895">
        <f>0.8656/F101</f>
        <v>0.30055555555555558</v>
      </c>
      <c r="G105" s="2895">
        <f>0.8656/G101</f>
        <v>0.30055555555555558</v>
      </c>
      <c r="H105" s="2895">
        <f>0.8656/H101</f>
        <v>0.30055555555555558</v>
      </c>
      <c r="I105" s="2895">
        <f>0.8656/I101</f>
        <v>0.30055555555555558</v>
      </c>
      <c r="J105" s="2895">
        <f>0.7525/J101</f>
        <v>0.26128472222222221</v>
      </c>
      <c r="K105" s="2895">
        <f>0.7525/K101</f>
        <v>0.26128472222222221</v>
      </c>
      <c r="L105" s="2895">
        <f>0.7525/L101</f>
        <v>0.26128472222222221</v>
      </c>
      <c r="M105" s="2895">
        <f>0.7525/M101</f>
        <v>0.26128472222222221</v>
      </c>
      <c r="N105" s="2895">
        <f>0.7525/N101</f>
        <v>0.26128472222222221</v>
      </c>
    </row>
    <row r="106" spans="1:14">
      <c r="A106" s="3252"/>
      <c r="B106" s="2894">
        <v>5</v>
      </c>
      <c r="C106" s="2895">
        <f>0.8417/C101</f>
        <v>0.29225694444444444</v>
      </c>
      <c r="D106" s="2895">
        <f>0.8417/D101</f>
        <v>0.29225694444444444</v>
      </c>
      <c r="E106" s="2895">
        <f>0.7371/E101</f>
        <v>0.25593749999999998</v>
      </c>
      <c r="F106" s="2895">
        <f>0.7371/F101</f>
        <v>0.25593749999999998</v>
      </c>
      <c r="G106" s="2895">
        <f>0.7371/G101</f>
        <v>0.25593749999999998</v>
      </c>
      <c r="H106" s="2895">
        <f>0.7371/H101</f>
        <v>0.25593749999999998</v>
      </c>
      <c r="I106" s="2895">
        <f>0.7371/I101</f>
        <v>0.25593749999999998</v>
      </c>
      <c r="J106" s="2895">
        <f>0.5659/J101</f>
        <v>0.19649305555555555</v>
      </c>
      <c r="K106" s="2895">
        <f>0.5659/K101</f>
        <v>0.19649305555555555</v>
      </c>
      <c r="L106" s="2895">
        <f>0.5659/L101</f>
        <v>0.19649305555555555</v>
      </c>
      <c r="M106" s="2895">
        <f>0.5659/M101</f>
        <v>0.19649305555555555</v>
      </c>
      <c r="N106" s="2895">
        <f>0.5659/N101</f>
        <v>0.19649305555555555</v>
      </c>
    </row>
    <row r="107" spans="1:14">
      <c r="A107" s="3252"/>
      <c r="B107" s="2894">
        <v>6</v>
      </c>
      <c r="C107" s="2895">
        <f>0.7608/C101</f>
        <v>0.26416666666666666</v>
      </c>
      <c r="D107" s="2895">
        <f>0.7608/D101</f>
        <v>0.26416666666666666</v>
      </c>
      <c r="E107" s="2895">
        <f>0.6482/E101</f>
        <v>0.22506944444444446</v>
      </c>
      <c r="F107" s="2895">
        <f>0.6482/F101</f>
        <v>0.22506944444444446</v>
      </c>
      <c r="G107" s="2895">
        <f>0.6482/G101</f>
        <v>0.22506944444444446</v>
      </c>
      <c r="H107" s="2895">
        <f>0.6482/H101</f>
        <v>0.22506944444444446</v>
      </c>
      <c r="I107" s="2895">
        <f>0.6482/I101</f>
        <v>0.22506944444444446</v>
      </c>
      <c r="J107" s="2895">
        <f>0.4525/J101</f>
        <v>0.15711805555555555</v>
      </c>
      <c r="K107" s="2895">
        <f>0.4525/K101</f>
        <v>0.15711805555555555</v>
      </c>
      <c r="L107" s="2895">
        <f>0.4525/L101</f>
        <v>0.15711805555555555</v>
      </c>
      <c r="M107" s="2895">
        <f>0.4525/M101</f>
        <v>0.15711805555555555</v>
      </c>
      <c r="N107" s="2895">
        <f>0.4525/N101</f>
        <v>0.15711805555555555</v>
      </c>
    </row>
    <row r="108" spans="1:14">
      <c r="A108" s="3252"/>
      <c r="B108" s="3078" t="s">
        <v>2959</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53"/>
      <c r="B109" s="3079"/>
      <c r="C109" s="2897">
        <f>(-0.163*(C108^2)-0.59*C108+7617)*(10^(-4))/C101</f>
        <v>0.26447916666666671</v>
      </c>
      <c r="D109" s="2897">
        <f>(-0.163*(D108^2)-0.59*D108+7617)*(10^(-4))/D101</f>
        <v>0.26447916666666671</v>
      </c>
      <c r="E109" s="2897">
        <f>(-0.161*(E108^2)-7.509*E108+6533)*(10^(-4))/E101</f>
        <v>0.22684027777777779</v>
      </c>
      <c r="F109" s="2897">
        <f>(-0.161*(F108^2)-7.509*F108+6533)*(10^(-4))/F101</f>
        <v>0.22684027777777779</v>
      </c>
      <c r="G109" s="2897">
        <f>(-0.161*(G108^2)-7.509*G108+6533)*(10^(-4))/G101</f>
        <v>0.22684027777777779</v>
      </c>
      <c r="H109" s="2897">
        <f>(-0.161*(H108^2)-7.509*H108+6533)*(10^(-4))/H101</f>
        <v>0.22684027777777779</v>
      </c>
      <c r="I109" s="2897">
        <f>(-0.161*(I108^2)-7.509*I108+6533)*(10^(-4))/I101</f>
        <v>0.22684027777777779</v>
      </c>
      <c r="J109" s="2897">
        <f>(-0.214*(J108^2)-21.991*J108+4665)*(10^(-4))/J101</f>
        <v>0.16197916666666667</v>
      </c>
      <c r="K109" s="2897">
        <f>(-0.214*(K108^2)-21.991*K108+4665)*(10^(-4))/K101</f>
        <v>0.16197916666666667</v>
      </c>
      <c r="L109" s="2897">
        <f>(-0.214*(L108^2)-21.991*L108+4665)*(10^(-4))/L101</f>
        <v>0.16197916666666667</v>
      </c>
      <c r="M109" s="2897">
        <f>(-0.214*(M108^2)-21.991*M108+4665)*(10^(-4))/M101</f>
        <v>0.16197916666666667</v>
      </c>
      <c r="N109" s="2897">
        <f>(-0.214*(N108^2)-21.991*N108+4665)*(10^(-4))/N101</f>
        <v>0.16197916666666667</v>
      </c>
    </row>
    <row r="110" spans="1:14">
      <c r="A110" s="3249" t="s">
        <v>2960</v>
      </c>
      <c r="B110" s="3249"/>
      <c r="C110" s="3249"/>
      <c r="D110" s="3249"/>
      <c r="E110" s="3249"/>
      <c r="F110" s="3249"/>
      <c r="G110" s="3249"/>
      <c r="H110" s="3249"/>
      <c r="I110" s="3249"/>
      <c r="J110" s="3249"/>
      <c r="K110" s="2954"/>
      <c r="L110" s="2954"/>
      <c r="M110" s="2954"/>
      <c r="N110" s="2954"/>
    </row>
    <row r="112" spans="1:14" ht="13.5" thickBot="1"/>
    <row r="113" spans="1:13" ht="25.5" thickBot="1">
      <c r="A113" s="902" t="s">
        <v>2961</v>
      </c>
      <c r="B113" s="1289">
        <f>G3</f>
        <v>2.88</v>
      </c>
      <c r="C113" s="903" t="s">
        <v>2962</v>
      </c>
      <c r="D113" s="904">
        <f>SUMPRODUCT((A115:A118=F113)*(B114:M114=H113)*B115:M118)</f>
        <v>0.72909999999999997</v>
      </c>
      <c r="E113" s="2724" t="s">
        <v>2794</v>
      </c>
      <c r="F113" s="2902" t="str">
        <f>E2</f>
        <v>办公</v>
      </c>
      <c r="G113" s="2724" t="s">
        <v>2795</v>
      </c>
      <c r="H113" s="2902" t="str">
        <f>G2</f>
        <v>八级</v>
      </c>
      <c r="I113" s="2724"/>
      <c r="J113" s="2903"/>
      <c r="K113" s="2903"/>
      <c r="L113" s="2903"/>
      <c r="M113" s="2903"/>
    </row>
    <row r="114" spans="1:13">
      <c r="A114" s="907"/>
      <c r="B114" s="2904" t="s">
        <v>2963</v>
      </c>
      <c r="C114" s="2904" t="s">
        <v>2964</v>
      </c>
      <c r="D114" s="2904" t="s">
        <v>2965</v>
      </c>
      <c r="E114" s="2905" t="s">
        <v>2966</v>
      </c>
      <c r="F114" s="2905" t="s">
        <v>2967</v>
      </c>
      <c r="G114" s="2905" t="s">
        <v>2968</v>
      </c>
      <c r="H114" s="2906" t="s">
        <v>2969</v>
      </c>
      <c r="I114" s="2906" t="s">
        <v>2970</v>
      </c>
      <c r="J114" s="2907" t="s">
        <v>2971</v>
      </c>
      <c r="K114" s="2907" t="s">
        <v>2972</v>
      </c>
      <c r="L114" s="2907" t="s">
        <v>2973</v>
      </c>
      <c r="M114" s="2908" t="s">
        <v>2974</v>
      </c>
    </row>
    <row r="115" spans="1:13">
      <c r="A115" s="908" t="s">
        <v>2859</v>
      </c>
      <c r="B115" s="909">
        <f>ROUND(0.9335-0.0094*B113,4)</f>
        <v>0.90639999999999998</v>
      </c>
      <c r="C115" s="909">
        <f>B115</f>
        <v>0.90639999999999998</v>
      </c>
      <c r="D115" s="909">
        <f>ROUND(0.8331-0.0109*B113,4)</f>
        <v>0.80169999999999997</v>
      </c>
      <c r="E115" s="909">
        <f>D115</f>
        <v>0.80169999999999997</v>
      </c>
      <c r="F115" s="909">
        <f>E115</f>
        <v>0.80169999999999997</v>
      </c>
      <c r="G115" s="909">
        <f>F115</f>
        <v>0.80169999999999997</v>
      </c>
      <c r="H115" s="909">
        <f>G115</f>
        <v>0.80169999999999997</v>
      </c>
      <c r="I115" s="909">
        <f>ROUND(0.689-0.0155*B113,4)</f>
        <v>0.64439999999999997</v>
      </c>
      <c r="J115" s="909">
        <f t="shared" ref="J115:M118" si="34">I115</f>
        <v>0.64439999999999997</v>
      </c>
      <c r="K115" s="909">
        <f t="shared" si="34"/>
        <v>0.64439999999999997</v>
      </c>
      <c r="L115" s="909">
        <f t="shared" si="34"/>
        <v>0.64439999999999997</v>
      </c>
      <c r="M115" s="910">
        <f t="shared" si="34"/>
        <v>0.64439999999999997</v>
      </c>
    </row>
    <row r="116" spans="1:13">
      <c r="A116" s="908" t="s">
        <v>2860</v>
      </c>
      <c r="B116" s="909">
        <f>ROUND(0.949-0.012*B113,4)</f>
        <v>0.91439999999999999</v>
      </c>
      <c r="C116" s="909">
        <f>B116</f>
        <v>0.91439999999999999</v>
      </c>
      <c r="D116" s="909">
        <f>ROUND(0.8567-0.013*B113,4)</f>
        <v>0.81930000000000003</v>
      </c>
      <c r="E116" s="909">
        <f t="shared" ref="E116:H117" si="35">D116</f>
        <v>0.81930000000000003</v>
      </c>
      <c r="F116" s="909">
        <f t="shared" si="35"/>
        <v>0.81930000000000003</v>
      </c>
      <c r="G116" s="909">
        <f t="shared" si="35"/>
        <v>0.81930000000000003</v>
      </c>
      <c r="H116" s="909">
        <f t="shared" si="35"/>
        <v>0.81930000000000003</v>
      </c>
      <c r="I116" s="909">
        <f>ROUND(0.7694-0.014*B113,4)</f>
        <v>0.72909999999999997</v>
      </c>
      <c r="J116" s="909">
        <f t="shared" si="34"/>
        <v>0.72909999999999997</v>
      </c>
      <c r="K116" s="909">
        <f t="shared" si="34"/>
        <v>0.72909999999999997</v>
      </c>
      <c r="L116" s="909">
        <f t="shared" si="34"/>
        <v>0.72909999999999997</v>
      </c>
      <c r="M116" s="910">
        <f t="shared" si="34"/>
        <v>0.72909999999999997</v>
      </c>
    </row>
    <row r="117" spans="1:13">
      <c r="A117" s="908" t="s">
        <v>2861</v>
      </c>
      <c r="B117" s="909">
        <f>ROUND(0.8808-0.006*B113,4)</f>
        <v>0.86350000000000005</v>
      </c>
      <c r="C117" s="909">
        <f>B117</f>
        <v>0.86350000000000005</v>
      </c>
      <c r="D117" s="909">
        <f>ROUND(0.8748-0.008*B113,4)</f>
        <v>0.8518</v>
      </c>
      <c r="E117" s="909">
        <f t="shared" si="35"/>
        <v>0.8518</v>
      </c>
      <c r="F117" s="909">
        <f t="shared" si="35"/>
        <v>0.8518</v>
      </c>
      <c r="G117" s="909">
        <f t="shared" si="35"/>
        <v>0.8518</v>
      </c>
      <c r="H117" s="909">
        <f t="shared" si="35"/>
        <v>0.8518</v>
      </c>
      <c r="I117" s="909">
        <f>ROUND(0.7412-0.0095*B113,4)</f>
        <v>0.71379999999999999</v>
      </c>
      <c r="J117" s="909">
        <f t="shared" si="34"/>
        <v>0.71379999999999999</v>
      </c>
      <c r="K117" s="909">
        <f t="shared" si="34"/>
        <v>0.71379999999999999</v>
      </c>
      <c r="L117" s="909">
        <f t="shared" si="34"/>
        <v>0.71379999999999999</v>
      </c>
      <c r="M117" s="910">
        <f t="shared" si="34"/>
        <v>0.71379999999999999</v>
      </c>
    </row>
    <row r="118" spans="1:13" ht="13.5" thickBot="1">
      <c r="A118" s="713" t="s">
        <v>2862</v>
      </c>
      <c r="B118" s="911">
        <f>ROUND(0.7275-0.01*B113,4)</f>
        <v>0.69869999999999999</v>
      </c>
      <c r="C118" s="911">
        <f>B118</f>
        <v>0.69869999999999999</v>
      </c>
      <c r="D118" s="911">
        <f>ROUND(0.7043-0.012*B113,4)</f>
        <v>0.66969999999999996</v>
      </c>
      <c r="E118" s="911">
        <f>D118</f>
        <v>0.66969999999999996</v>
      </c>
      <c r="F118" s="911">
        <f>E118</f>
        <v>0.66969999999999996</v>
      </c>
      <c r="G118" s="911">
        <f>ROUND(0.6299-0.0122*B113,4)</f>
        <v>0.5948</v>
      </c>
      <c r="H118" s="911">
        <f>G118</f>
        <v>0.5948</v>
      </c>
      <c r="I118" s="911">
        <f>ROUND(0.5667-0.0136*B113,4)</f>
        <v>0.52749999999999997</v>
      </c>
      <c r="J118" s="911">
        <f t="shared" si="34"/>
        <v>0.52749999999999997</v>
      </c>
      <c r="K118" s="911">
        <f t="shared" si="34"/>
        <v>0.52749999999999997</v>
      </c>
      <c r="L118" s="911">
        <f t="shared" si="34"/>
        <v>0.52749999999999997</v>
      </c>
      <c r="M118" s="912">
        <f t="shared" si="34"/>
        <v>0.52749999999999997</v>
      </c>
    </row>
  </sheetData>
  <sheetProtection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0" sqref="I3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2"/>
      <c r="C1" s="1583"/>
      <c r="D1" s="1581"/>
      <c r="E1" s="319"/>
      <c r="F1" s="319"/>
      <c r="G1" s="1582"/>
      <c r="H1" s="319"/>
      <c r="I1" s="319"/>
      <c r="J1" s="319"/>
      <c r="K1" s="319">
        <f>MATCH(C1,'数据-取费表'!A6:A16,0)+5</f>
        <v>10</v>
      </c>
    </row>
    <row r="2" spans="1:33" ht="18" customHeight="1">
      <c r="A2" s="244" t="s">
        <v>2312</v>
      </c>
      <c r="B2" s="247">
        <f ca="1">C32</f>
        <v>51203</v>
      </c>
      <c r="C2" s="319" t="s">
        <v>2445</v>
      </c>
      <c r="D2" s="319"/>
      <c r="E2" s="319"/>
      <c r="F2" s="319"/>
      <c r="G2" s="319"/>
      <c r="H2" s="319"/>
      <c r="I2" s="319"/>
      <c r="J2" s="319"/>
      <c r="K2" s="319"/>
    </row>
    <row r="3" spans="1:33" ht="18" customHeight="1" thickBot="1">
      <c r="A3" s="246" t="s">
        <v>2314</v>
      </c>
      <c r="B3" s="247">
        <f ca="1">ROUND(B2*10000/IF(C1="",'数据-汇总表'!E3,INDIRECT("'数据-取费表'!K"&amp;$K$1)),0)</f>
        <v>2301</v>
      </c>
      <c r="C3" s="319" t="s">
        <v>2446</v>
      </c>
      <c r="D3" s="319"/>
      <c r="E3" s="319"/>
      <c r="F3" s="319"/>
      <c r="G3" s="319"/>
      <c r="H3" s="319"/>
      <c r="I3" s="319"/>
      <c r="J3" s="319"/>
      <c r="K3" s="319"/>
    </row>
    <row r="4" spans="1:33" s="958" customFormat="1" ht="16.5" customHeight="1">
      <c r="A4" s="955" t="s">
        <v>2447</v>
      </c>
      <c r="B4" s="956"/>
      <c r="C4" s="998">
        <f ca="1">SUM(C8:K8)</f>
        <v>112092</v>
      </c>
      <c r="D4" s="956"/>
      <c r="E4" s="956"/>
      <c r="F4" s="956"/>
      <c r="G4" s="956"/>
      <c r="H4" s="956"/>
      <c r="I4" s="956"/>
      <c r="J4" s="956"/>
      <c r="K4" s="957"/>
    </row>
    <row r="5" spans="1:33" s="962" customFormat="1" ht="15">
      <c r="A5" s="959" t="s">
        <v>2448</v>
      </c>
      <c r="B5" s="960" t="s">
        <v>2449</v>
      </c>
      <c r="C5" s="2554" t="s">
        <v>3109</v>
      </c>
      <c r="D5" s="2554" t="s">
        <v>1373</v>
      </c>
      <c r="E5" s="2554" t="s">
        <v>27</v>
      </c>
      <c r="F5" s="2554" t="s">
        <v>48</v>
      </c>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39" t="s">
        <v>2450</v>
      </c>
      <c r="C6" s="964">
        <f ca="1">'收益法-公租房'!B3</f>
        <v>6064</v>
      </c>
      <c r="D6" s="964">
        <f ca="1">'收益法-商业'!B3</f>
        <v>13682</v>
      </c>
      <c r="E6" s="964">
        <f ca="1">'收益法-办公'!B3</f>
        <v>10177</v>
      </c>
      <c r="F6" s="964">
        <f ca="1">'收益法-地下车库'!B3</f>
        <v>725</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2451</v>
      </c>
      <c r="B7" s="139" t="s">
        <v>2452</v>
      </c>
      <c r="C7" s="320">
        <f>SUMIF('数据-汇总表'!$C19:$C33,假设开发法!C5,'数据-汇总表'!$E19:$E33)</f>
        <v>136969</v>
      </c>
      <c r="D7" s="320">
        <f>SUMIF('数据-汇总表'!$C19:$C33,假设开发法!D5,'数据-汇总表'!$E19:$E33)</f>
        <v>4068</v>
      </c>
      <c r="E7" s="320">
        <f>SUMIF('数据-汇总表'!$C19:$C33,假设开发法!E5,'数据-汇总表'!$E19:$E33)</f>
        <v>21142</v>
      </c>
      <c r="F7" s="320">
        <f>SUMIF('数据-汇总表'!$C19:$C33,假设开发法!F5,'数据-汇总表'!$E19:$E33)</f>
        <v>26841</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2453</v>
      </c>
      <c r="B8" s="176" t="s">
        <v>2454</v>
      </c>
      <c r="C8" s="999">
        <f ca="1">'收益法-公租房'!B2</f>
        <v>83062</v>
      </c>
      <c r="D8" s="999">
        <f ca="1">'收益法-商业'!B2</f>
        <v>5566</v>
      </c>
      <c r="E8" s="999">
        <f ca="1">'收益法-办公'!B2</f>
        <v>21517</v>
      </c>
      <c r="F8" s="1000">
        <f ca="1">'收益法-地下车库'!B2</f>
        <v>1947</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2455</v>
      </c>
      <c r="B9" s="956"/>
      <c r="C9" s="956"/>
      <c r="D9" s="956"/>
      <c r="E9" s="956"/>
      <c r="F9" s="956"/>
      <c r="G9" s="956"/>
      <c r="H9" s="956"/>
      <c r="I9" s="956"/>
      <c r="J9" s="956"/>
      <c r="K9" s="957"/>
    </row>
    <row r="10" spans="1:33" s="972" customFormat="1" ht="13.5" customHeight="1">
      <c r="A10" s="959" t="s">
        <v>2456</v>
      </c>
      <c r="B10" s="8" t="s">
        <v>2457</v>
      </c>
      <c r="C10" s="968" t="s">
        <v>2458</v>
      </c>
      <c r="D10" s="969" t="s">
        <v>2459</v>
      </c>
      <c r="E10" s="969" t="s">
        <v>2460</v>
      </c>
      <c r="F10" s="969" t="s">
        <v>2461</v>
      </c>
      <c r="G10" s="8"/>
      <c r="H10" s="970"/>
      <c r="I10" s="970"/>
      <c r="J10" s="970"/>
      <c r="K10" s="971"/>
    </row>
    <row r="11" spans="1:33" s="977" customFormat="1" ht="13.5" customHeight="1">
      <c r="A11" s="973" t="s">
        <v>1330</v>
      </c>
      <c r="B11" s="974" t="s">
        <v>2462</v>
      </c>
      <c r="C11" s="322">
        <f ca="1">IF(C1="",'数据-取费表'!P16,INDIRECT("'数据-取费表'!p"&amp;$K$1)+INDIRECT("'数据-取费表'!ar"&amp;$K$1))</f>
        <v>36673</v>
      </c>
      <c r="D11" s="975"/>
      <c r="E11" s="374"/>
      <c r="F11" s="976">
        <f ca="1">1-IF('数据-取费表'!B24=0,1,IF(C1="",'数据-取费表'!N16,INDIRECT("'数据-取费表'!n"&amp;$K$1)))</f>
        <v>0.73599999999999999</v>
      </c>
      <c r="G11" s="8"/>
      <c r="H11" s="970"/>
      <c r="I11" s="970"/>
      <c r="J11" s="970"/>
      <c r="K11" s="971"/>
    </row>
    <row r="12" spans="1:33" s="977" customFormat="1" ht="13.5" customHeight="1">
      <c r="A12" s="973" t="s">
        <v>1331</v>
      </c>
      <c r="B12" s="974" t="s">
        <v>2463</v>
      </c>
      <c r="C12" s="24">
        <f ca="1">ROUND(C11*F12,0)</f>
        <v>1100</v>
      </c>
      <c r="D12" s="975"/>
      <c r="E12" s="374"/>
      <c r="F12" s="978">
        <f>'数据-取费表'!B33</f>
        <v>0.03</v>
      </c>
      <c r="G12" s="8" t="s">
        <v>2464</v>
      </c>
      <c r="H12" s="970"/>
      <c r="I12" s="970"/>
      <c r="J12" s="970"/>
      <c r="K12" s="971"/>
    </row>
    <row r="13" spans="1:33" s="977" customFormat="1" ht="13.5" customHeight="1">
      <c r="A13" s="973" t="s">
        <v>1332</v>
      </c>
      <c r="B13" s="974" t="s">
        <v>2465</v>
      </c>
      <c r="C13" s="24">
        <f ca="1">ROUND(IF(C1="",SUMIF('数据-取费表'!C:C,"住宅",'数据-取费表'!P:P)*F13,IF(INDIRECT("'数据-取费表'!c"&amp;$K$1)="住宅",INDIRECT("'数据-取费表'!P"&amp;$K$1)*F13,0)),0)</f>
        <v>479</v>
      </c>
      <c r="D13" s="1035"/>
      <c r="E13" s="374"/>
      <c r="F13" s="978">
        <f>'数据-取费表'!B34</f>
        <v>0.02</v>
      </c>
      <c r="G13" s="8" t="s">
        <v>2466</v>
      </c>
      <c r="H13" s="970"/>
      <c r="I13" s="970"/>
      <c r="J13" s="970"/>
      <c r="K13" s="971"/>
    </row>
    <row r="14" spans="1:33" s="979" customFormat="1" ht="13.5" customHeight="1">
      <c r="A14" s="973" t="s">
        <v>1333</v>
      </c>
      <c r="B14" s="974" t="s">
        <v>2467</v>
      </c>
      <c r="C14" s="24">
        <f ca="1">ROUND(D14*E14*F11/10000,0)</f>
        <v>3275</v>
      </c>
      <c r="D14" s="1035">
        <f ca="1">IF(C1="",'数据-汇总表'!E3,INDIRECT("'数据-取费表'!K"&amp;$K$1)+INDIRECT("'数据-取费表'!S"&amp;$K$1))</f>
        <v>222493</v>
      </c>
      <c r="E14" s="24">
        <f>'数据-取费表'!B35</f>
        <v>200</v>
      </c>
      <c r="F14" s="978"/>
      <c r="G14" s="8" t="s">
        <v>2468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2469</v>
      </c>
      <c r="C15" s="985">
        <f ca="1">ROUND(C11*F15,0)</f>
        <v>550</v>
      </c>
      <c r="D15" s="980"/>
      <c r="E15" s="985"/>
      <c r="F15" s="986">
        <f>'数据-取费表'!B36</f>
        <v>1.4999999999999999E-2</v>
      </c>
      <c r="G15" s="139" t="s">
        <v>2470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2471</v>
      </c>
      <c r="C16" s="985">
        <f ca="1">SUM(C11:C15)</f>
        <v>42077</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2472</v>
      </c>
      <c r="C17" s="24">
        <f ca="1">ROUND(D17*E17/10000,0)</f>
        <v>0</v>
      </c>
      <c r="D17" s="1035">
        <f ca="1">D14</f>
        <v>222493</v>
      </c>
      <c r="E17" s="24">
        <f>'数据-取费表'!B32</f>
        <v>0</v>
      </c>
      <c r="F17" s="980"/>
      <c r="G17" s="139" t="s">
        <v>2473</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2474</v>
      </c>
      <c r="C18" s="24">
        <f ca="1">C19+C20-IF(C1="",'数据-取费表'!B29,IF(G18="已全部缴纳",C19+C20,H18))</f>
        <v>0</v>
      </c>
      <c r="D18" s="1035"/>
      <c r="E18" s="24"/>
      <c r="F18" s="978"/>
      <c r="G18" s="2556"/>
      <c r="H18" s="1578"/>
      <c r="I18" s="2557" t="s">
        <v>2475</v>
      </c>
      <c r="J18" s="981"/>
      <c r="K18" s="982"/>
    </row>
    <row r="19" spans="1:33" s="977" customFormat="1" ht="13.5" customHeight="1">
      <c r="A19" s="973" t="s">
        <v>804</v>
      </c>
      <c r="B19" s="974" t="s">
        <v>2476</v>
      </c>
      <c r="C19" s="24">
        <f ca="1">ROUND(D19*E19/10000,0)</f>
        <v>2192</v>
      </c>
      <c r="D19" s="1035">
        <f ca="1">IF(C1="",'数据-汇总表'!E5,IF(INDIRECT("'数据-取费表'!c"&amp;$K$1)="住宅",INDIRECT("'数据-取费表'!k"&amp;$K$1),0))</f>
        <v>136969</v>
      </c>
      <c r="E19" s="24">
        <f>'数据-取费表'!B27</f>
        <v>160</v>
      </c>
      <c r="F19" s="978"/>
      <c r="G19" s="15"/>
      <c r="H19" s="1580"/>
      <c r="I19" s="983"/>
      <c r="J19" s="983"/>
      <c r="K19" s="984"/>
    </row>
    <row r="20" spans="1:33" s="977" customFormat="1" ht="13.5" customHeight="1">
      <c r="A20" s="973" t="s">
        <v>805</v>
      </c>
      <c r="B20" s="974" t="s">
        <v>2477</v>
      </c>
      <c r="C20" s="24">
        <f ca="1">ROUND(D20*E20/10000,0)</f>
        <v>1710</v>
      </c>
      <c r="D20" s="1035">
        <f ca="1">IF(C1="",'数据-汇总表'!E6,IF(INDIRECT("'数据-取费表'!c"&amp;$K$1)="住宅",INDIRECT("'数据-取费表'!s"&amp;$K$1),INDIRECT("'数据-取费表'!k"&amp;$K$1)+INDIRECT("'数据-取费表'!s"&amp;$K$1)))</f>
        <v>85524</v>
      </c>
      <c r="E20" s="24">
        <f>'数据-取费表'!B28</f>
        <v>200</v>
      </c>
      <c r="F20" s="978"/>
      <c r="G20" s="15"/>
      <c r="H20" s="983"/>
      <c r="I20" s="983"/>
      <c r="J20" s="983"/>
      <c r="K20" s="984"/>
    </row>
    <row r="21" spans="1:33" s="977" customFormat="1" ht="13.5" customHeight="1">
      <c r="A21" s="963" t="s">
        <v>801</v>
      </c>
      <c r="B21" s="987" t="s">
        <v>2478</v>
      </c>
      <c r="C21" s="988">
        <f ca="1">C16+C17+C18</f>
        <v>42077</v>
      </c>
      <c r="D21" s="989"/>
      <c r="E21" s="324"/>
      <c r="F21" s="324"/>
      <c r="G21" s="139" t="s">
        <v>2479</v>
      </c>
      <c r="H21" s="981"/>
      <c r="I21" s="981"/>
      <c r="J21" s="981"/>
      <c r="K21" s="982"/>
    </row>
    <row r="22" spans="1:33" s="977" customFormat="1" ht="13.5" customHeight="1">
      <c r="A22" s="963" t="s">
        <v>2451</v>
      </c>
      <c r="B22" s="987" t="s">
        <v>2480</v>
      </c>
      <c r="C22" s="988">
        <f ca="1">ROUND(C21*F22,0)</f>
        <v>421</v>
      </c>
      <c r="D22" s="324"/>
      <c r="E22" s="324"/>
      <c r="F22" s="990">
        <f>'数据-取费表'!B37</f>
        <v>0.01</v>
      </c>
      <c r="G22" s="8" t="s">
        <v>2481</v>
      </c>
      <c r="H22" s="970"/>
      <c r="I22" s="970"/>
      <c r="J22" s="970"/>
      <c r="K22" s="971"/>
    </row>
    <row r="23" spans="1:33" s="977" customFormat="1" ht="13.5" customHeight="1">
      <c r="A23" s="963" t="s">
        <v>2453</v>
      </c>
      <c r="B23" s="987" t="s">
        <v>2482</v>
      </c>
      <c r="C23" s="988">
        <f ca="1">ROUND(C4*F23*F11,0)</f>
        <v>825</v>
      </c>
      <c r="D23" s="324"/>
      <c r="E23" s="324"/>
      <c r="F23" s="990">
        <f>'数据-取费表'!B38</f>
        <v>0.01</v>
      </c>
      <c r="G23" s="8" t="s">
        <v>2483</v>
      </c>
      <c r="H23" s="970"/>
      <c r="I23" s="970"/>
      <c r="J23" s="970"/>
      <c r="K23" s="971"/>
    </row>
    <row r="24" spans="1:33" s="977" customFormat="1" ht="13.5" customHeight="1">
      <c r="A24" s="963" t="s">
        <v>2484</v>
      </c>
      <c r="B24" s="987" t="s">
        <v>2485</v>
      </c>
      <c r="C24" s="323">
        <f>ROUND(F24/(1+'数据-取费表'!C42),4)</f>
        <v>2.9000000000000001E-2</v>
      </c>
      <c r="D24" s="324" t="s">
        <v>15</v>
      </c>
      <c r="E24" s="324"/>
      <c r="F24" s="990">
        <f>'数据-取费表'!B48+'数据-取费表'!B49</f>
        <v>3.0499999999999999E-2</v>
      </c>
      <c r="G24" s="8" t="s">
        <v>2486</v>
      </c>
      <c r="H24" s="992"/>
      <c r="I24" s="992"/>
      <c r="J24" s="992"/>
      <c r="K24" s="993"/>
    </row>
    <row r="25" spans="1:33" s="977" customFormat="1" ht="13.5" customHeight="1">
      <c r="A25" s="963" t="s">
        <v>2487</v>
      </c>
      <c r="B25" s="989" t="s">
        <v>2488</v>
      </c>
      <c r="C25" s="1358">
        <f ca="1">C27</f>
        <v>1534</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2489</v>
      </c>
      <c r="C26" s="1359">
        <f ca="1">ROUND(IF('数据-取费表'!B22&lt;=1,(1+C24)*F25*'数据-取费表'!B24,(1+C24)*(POWER((1+F25),'数据-取费表'!B24)-1)),4)</f>
        <v>7.4200000000000002E-2</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2490</v>
      </c>
      <c r="C27" s="1360">
        <f ca="1">ROUND(IF('数据-取费表'!B22&lt;=1,(C21+C22+C23)*F25*'数据-取费表'!B24/2,(C21+C22+C23)*(POWER((1+F25),'数据-取费表'!B24/2)-1)),0)</f>
        <v>1534</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2491</v>
      </c>
      <c r="B28" s="2559" t="s">
        <v>2492</v>
      </c>
      <c r="C28" s="330">
        <f ca="1">C30</f>
        <v>3033</v>
      </c>
      <c r="D28" s="323">
        <f ca="1">C29</f>
        <v>3.5999999999999997E-2</v>
      </c>
      <c r="E28" s="325" t="s">
        <v>15</v>
      </c>
      <c r="F28" s="331">
        <f ca="1">IF(C1="",'数据-取费表'!Q16,INDIRECT("'数据-取费表'!q"&amp;$K$1))</f>
        <v>7.0000000000000007E-2</v>
      </c>
      <c r="G28" s="991"/>
      <c r="H28" s="992"/>
      <c r="I28" s="992"/>
      <c r="J28" s="992"/>
      <c r="K28" s="993"/>
    </row>
    <row r="29" spans="1:33" s="334" customFormat="1" ht="13.5" customHeight="1">
      <c r="A29" s="973" t="s">
        <v>802</v>
      </c>
      <c r="B29" s="996" t="s">
        <v>2493</v>
      </c>
      <c r="C29" s="327">
        <f ca="1">ROUND((1+C24)*F28*'数据-取费表'!B24/'数据-取费表'!B20,4)</f>
        <v>3.5999999999999997E-2</v>
      </c>
      <c r="D29" s="327"/>
      <c r="E29" s="328"/>
      <c r="F29" s="333"/>
      <c r="G29" s="139" t="s">
        <v>2494</v>
      </c>
      <c r="H29" s="981"/>
      <c r="I29" s="981"/>
      <c r="J29" s="981"/>
      <c r="K29" s="982"/>
    </row>
    <row r="30" spans="1:33" s="334" customFormat="1" ht="13.5" customHeight="1">
      <c r="A30" s="973" t="s">
        <v>803</v>
      </c>
      <c r="B30" s="996" t="s">
        <v>2495</v>
      </c>
      <c r="C30" s="335">
        <f ca="1">ROUND((C21+C22+C23)*F28,0)</f>
        <v>3033</v>
      </c>
      <c r="D30" s="327"/>
      <c r="E30" s="328"/>
      <c r="F30" s="333"/>
      <c r="G30" s="139"/>
      <c r="H30" s="981"/>
      <c r="I30" s="981"/>
      <c r="J30" s="981"/>
      <c r="K30" s="982"/>
    </row>
    <row r="31" spans="1:33" s="977" customFormat="1" ht="13.5" customHeight="1" thickBot="1">
      <c r="A31" s="2560" t="s">
        <v>2496</v>
      </c>
      <c r="B31" s="1007" t="s">
        <v>2497</v>
      </c>
      <c r="C31" s="1008">
        <f ca="1">ROUND(C4*F31/(1+'数据-取费表'!C42),0)</f>
        <v>5871</v>
      </c>
      <c r="D31" s="1009"/>
      <c r="E31" s="1010"/>
      <c r="F31" s="1011">
        <f>'数据-取费表'!B41</f>
        <v>5.5000000000000007E-2</v>
      </c>
      <c r="G31" s="1012" t="s">
        <v>2498</v>
      </c>
      <c r="H31" s="1013"/>
      <c r="I31" s="1013"/>
      <c r="J31" s="1013"/>
      <c r="K31" s="1014"/>
    </row>
    <row r="32" spans="1:33" s="972" customFormat="1" ht="13.5" customHeight="1" thickBot="1">
      <c r="A32" s="1002" t="s">
        <v>2499</v>
      </c>
      <c r="B32" s="1003"/>
      <c r="C32" s="1004">
        <f ca="1">ROUND((C4-C21-C22-C23-C25-C28-C31)/(1+C24+D25+D28),0)</f>
        <v>51203</v>
      </c>
      <c r="D32" s="1003"/>
      <c r="E32" s="1003"/>
      <c r="F32" s="1003"/>
      <c r="G32" s="1005" t="s">
        <v>2500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K51" sqref="K51"/>
    </sheetView>
  </sheetViews>
  <sheetFormatPr defaultRowHeight="14.25"/>
  <cols>
    <col min="1" max="1" width="14.375" style="402" customWidth="1"/>
    <col min="2" max="2" width="15.75" style="402" customWidth="1"/>
    <col min="3" max="3" width="14.375" style="402" customWidth="1"/>
    <col min="4" max="4" width="14.125" style="402" customWidth="1"/>
    <col min="5" max="5" width="15.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2726</v>
      </c>
      <c r="B1" s="394"/>
      <c r="C1" s="395" t="s">
        <v>2727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f>F66</f>
        <v>352506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f>ROUND(IF(D3="",B2*10000/'数据-汇总表'!E3,B2*10000/D3),0)</f>
        <v>15843</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48" t="s">
        <v>2630</v>
      </c>
      <c r="AC4" s="3147" t="s">
        <v>2631</v>
      </c>
    </row>
    <row r="5" spans="1:30" ht="38.25" customHeight="1" thickBot="1">
      <c r="A5" s="403"/>
      <c r="B5" s="404"/>
      <c r="C5" s="3158" t="str">
        <f>项目基本情况!F10</f>
        <v>昌平区沙河镇西沙屯南侧</v>
      </c>
      <c r="D5" s="3159"/>
      <c r="E5" s="3156" t="s">
        <v>3060</v>
      </c>
      <c r="F5" s="3157"/>
      <c r="G5" s="3156" t="s">
        <v>3060</v>
      </c>
      <c r="H5" s="3157"/>
      <c r="I5" s="3156" t="s">
        <v>3060</v>
      </c>
      <c r="J5" s="3157"/>
      <c r="K5" s="609"/>
      <c r="L5" s="1132"/>
      <c r="M5" s="1133"/>
      <c r="N5" s="1133"/>
      <c r="O5" s="1133"/>
      <c r="P5" s="3171"/>
      <c r="Q5" s="3172"/>
      <c r="R5" s="3154"/>
      <c r="S5" s="3155"/>
      <c r="T5" s="3154"/>
      <c r="U5" s="3155"/>
      <c r="V5" s="3177"/>
      <c r="W5" s="3177"/>
      <c r="X5" s="1814"/>
      <c r="Y5" s="3154"/>
      <c r="Z5" s="3155"/>
      <c r="AA5" s="3148"/>
      <c r="AB5" s="3148"/>
      <c r="AC5" s="3148"/>
    </row>
    <row r="6" spans="1:30" ht="15.75" hidden="1" thickBot="1">
      <c r="A6" s="405"/>
      <c r="B6" s="406"/>
      <c r="C6" s="3160" t="s">
        <v>2528</v>
      </c>
      <c r="D6" s="3161"/>
      <c r="E6" s="3162" t="s">
        <v>2528</v>
      </c>
      <c r="F6" s="3163"/>
      <c r="G6" s="3160" t="s">
        <v>2528</v>
      </c>
      <c r="H6" s="3161"/>
      <c r="I6" s="3160" t="s">
        <v>2528</v>
      </c>
      <c r="J6" s="3161"/>
      <c r="K6" s="609" t="s">
        <v>2529</v>
      </c>
      <c r="L6" s="1132"/>
      <c r="M6" s="1133"/>
      <c r="N6" s="1133"/>
      <c r="O6" s="1133"/>
      <c r="P6" s="3173"/>
      <c r="Q6" s="3174"/>
      <c r="R6" s="3154"/>
      <c r="S6" s="3155"/>
      <c r="T6" s="3175"/>
      <c r="U6" s="3176"/>
      <c r="V6" s="3177"/>
      <c r="W6" s="3177"/>
      <c r="X6" s="1814"/>
      <c r="Y6" s="3175"/>
      <c r="Z6" s="3176"/>
      <c r="AA6" s="3149"/>
      <c r="AB6" s="3149"/>
      <c r="AC6" s="3149"/>
    </row>
    <row r="7" spans="1:30" s="116" customFormat="1" ht="15.75" thickBot="1">
      <c r="A7" s="407" t="s">
        <v>2530</v>
      </c>
      <c r="B7" s="408"/>
      <c r="C7" s="409">
        <f>'数据-取费表'!B2</f>
        <v>42990</v>
      </c>
      <c r="D7" s="410">
        <v>100</v>
      </c>
      <c r="E7" s="411">
        <v>42297</v>
      </c>
      <c r="F7" s="412">
        <f>SUMIF(70:70,YEAR(E7)&amp;"-"&amp;INT((MONTH(E7)+2)/3),71:71)</f>
        <v>89.5</v>
      </c>
      <c r="G7" s="2696">
        <v>42200</v>
      </c>
      <c r="H7" s="410">
        <f>SUMIF(70:70,YEAR(G7)&amp;"-"&amp;INT((MONTH(G7)+2)/3),71:71)</f>
        <v>88</v>
      </c>
      <c r="I7" s="2696">
        <v>42044</v>
      </c>
      <c r="J7" s="410">
        <f>SUMIF(70:70,YEAR(I7)&amp;"-"&amp;INT((MONTH(I7)+2)/3),71:71)</f>
        <v>85</v>
      </c>
      <c r="K7" s="610"/>
      <c r="L7" s="1134"/>
      <c r="M7" s="1135"/>
      <c r="N7" s="1135"/>
      <c r="O7" s="1135"/>
      <c r="P7" s="3150" t="s">
        <v>2531</v>
      </c>
      <c r="Q7" s="3178"/>
      <c r="R7" s="769" t="s">
        <v>17</v>
      </c>
      <c r="S7" s="770">
        <f t="shared" ref="S7:S15" si="0">F7</f>
        <v>89.5</v>
      </c>
      <c r="T7" s="769" t="s">
        <v>17</v>
      </c>
      <c r="U7" s="770">
        <f t="shared" ref="U7:U15" si="1">H7</f>
        <v>88</v>
      </c>
      <c r="V7" s="769" t="s">
        <v>17</v>
      </c>
      <c r="W7" s="770">
        <f t="shared" ref="W7:W15" si="2">J7</f>
        <v>85</v>
      </c>
      <c r="X7" s="771"/>
      <c r="Y7" s="3150" t="s">
        <v>2531</v>
      </c>
      <c r="Z7" s="3151"/>
      <c r="AA7" s="772">
        <f>D7/F7</f>
        <v>1.1173184357541899</v>
      </c>
      <c r="AB7" s="772">
        <f>D7/H7</f>
        <v>1.1363636363636365</v>
      </c>
      <c r="AC7" s="772">
        <f>D7/J7</f>
        <v>1.1764705882352942</v>
      </c>
    </row>
    <row r="8" spans="1:30" s="116" customFormat="1" ht="15.75" thickBot="1">
      <c r="A8" s="407" t="s">
        <v>2532</v>
      </c>
      <c r="B8" s="408"/>
      <c r="C8" s="413" t="s">
        <v>2533</v>
      </c>
      <c r="D8" s="410">
        <v>100</v>
      </c>
      <c r="E8" s="413" t="s">
        <v>3051</v>
      </c>
      <c r="F8" s="412">
        <f>SUMIF(73:73,E8,74:74)-SUMIF(73:73,C8,74:74)+100</f>
        <v>100</v>
      </c>
      <c r="G8" s="413" t="s">
        <v>3051</v>
      </c>
      <c r="H8" s="410">
        <f>SUMIF(73:73,G8,74:74)-SUMIF(73:73,C8,74:74)+100</f>
        <v>100</v>
      </c>
      <c r="I8" s="413" t="s">
        <v>3051</v>
      </c>
      <c r="J8" s="410">
        <f>SUMIF(73:73,I8,74:74)-SUMIF(73:73,C8,74:74)+100</f>
        <v>100</v>
      </c>
      <c r="K8" s="610"/>
      <c r="L8" s="1134"/>
      <c r="M8" s="1135"/>
      <c r="N8" s="1135"/>
      <c r="O8" s="1135"/>
      <c r="P8" s="3150" t="s">
        <v>2534</v>
      </c>
      <c r="Q8" s="3151"/>
      <c r="R8" s="769" t="s">
        <v>17</v>
      </c>
      <c r="S8" s="770">
        <f t="shared" si="0"/>
        <v>100</v>
      </c>
      <c r="T8" s="769" t="s">
        <v>17</v>
      </c>
      <c r="U8" s="770">
        <f t="shared" si="1"/>
        <v>100</v>
      </c>
      <c r="V8" s="769" t="s">
        <v>17</v>
      </c>
      <c r="W8" s="770">
        <f t="shared" si="2"/>
        <v>100</v>
      </c>
      <c r="X8" s="771"/>
      <c r="Y8" s="3150" t="s">
        <v>2534</v>
      </c>
      <c r="Z8" s="3151"/>
      <c r="AA8" s="772">
        <f t="shared" ref="AA8:AA45" si="3">D8/F8</f>
        <v>1</v>
      </c>
      <c r="AB8" s="772">
        <f t="shared" ref="AB8:AB45" si="4">D8/H8</f>
        <v>1</v>
      </c>
      <c r="AC8" s="772">
        <f t="shared" ref="AC8:AC45" si="5">D8/J8</f>
        <v>1</v>
      </c>
    </row>
    <row r="9" spans="1:30" s="116" customFormat="1">
      <c r="A9" s="414" t="s">
        <v>2535</v>
      </c>
      <c r="B9" s="71" t="s">
        <v>2536</v>
      </c>
      <c r="C9" s="2699" t="s">
        <v>1373</v>
      </c>
      <c r="D9" s="134">
        <v>100</v>
      </c>
      <c r="E9" s="2699" t="s">
        <v>3052</v>
      </c>
      <c r="F9" s="134">
        <f>SUMIF(75:75,E9,76:76)-SUMIF(75:75,C9,76:76)+100</f>
        <v>100</v>
      </c>
      <c r="G9" s="2699" t="s">
        <v>3052</v>
      </c>
      <c r="H9" s="134">
        <f>SUMIF(75:75,G9,76:76)-SUMIF(75:75,C9,76:76)+100</f>
        <v>100</v>
      </c>
      <c r="I9" s="2699" t="s">
        <v>3052</v>
      </c>
      <c r="J9" s="134">
        <f>SUMIF(75:75,I9,76:76)-SUMIF(75:75,C9,76:76)+100</f>
        <v>100</v>
      </c>
      <c r="K9" s="610"/>
      <c r="L9" s="1134"/>
      <c r="M9" s="1135"/>
      <c r="N9" s="1135"/>
      <c r="O9" s="1136"/>
      <c r="P9" s="3164"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772">
        <f t="shared" si="5"/>
        <v>1</v>
      </c>
    </row>
    <row r="10" spans="1:30" s="426" customFormat="1" ht="27">
      <c r="A10" s="420"/>
      <c r="B10" s="421" t="s">
        <v>2539</v>
      </c>
      <c r="C10" s="431">
        <f>项目基本情况!E15</f>
        <v>37.28</v>
      </c>
      <c r="D10" s="135">
        <v>100</v>
      </c>
      <c r="E10" s="464" t="s">
        <v>3053</v>
      </c>
      <c r="F10" s="135">
        <f>ROUND(100/'数据-取费表'!G16,0)</f>
        <v>101</v>
      </c>
      <c r="G10" s="462" t="s">
        <v>3053</v>
      </c>
      <c r="H10" s="135">
        <f>ROUND(100/'数据-取费表'!G16,0)</f>
        <v>101</v>
      </c>
      <c r="I10" s="462" t="s">
        <v>3053</v>
      </c>
      <c r="J10" s="135">
        <f>ROUND(100/'数据-取费表'!G16,0)</f>
        <v>101</v>
      </c>
      <c r="K10" s="671"/>
      <c r="L10" s="1137"/>
      <c r="M10" s="1138"/>
      <c r="N10" s="1138"/>
      <c r="O10" s="1139"/>
      <c r="P10" s="3164"/>
      <c r="Q10" s="1796" t="str">
        <f t="shared" si="6"/>
        <v>土地使用年限（年）</v>
      </c>
      <c r="R10" s="769" t="s">
        <v>17</v>
      </c>
      <c r="S10" s="770">
        <f t="shared" si="0"/>
        <v>101</v>
      </c>
      <c r="T10" s="769" t="s">
        <v>17</v>
      </c>
      <c r="U10" s="770">
        <f t="shared" si="1"/>
        <v>101</v>
      </c>
      <c r="V10" s="769" t="s">
        <v>17</v>
      </c>
      <c r="W10" s="770">
        <f t="shared" si="2"/>
        <v>101</v>
      </c>
      <c r="X10" s="771"/>
      <c r="Y10" s="3025"/>
      <c r="Z10" s="55" t="str">
        <f t="shared" si="7"/>
        <v>土地使用年限（年）</v>
      </c>
      <c r="AA10" s="772">
        <f t="shared" si="3"/>
        <v>0.99009900990099009</v>
      </c>
      <c r="AB10" s="772">
        <f t="shared" si="4"/>
        <v>0.99009900990099009</v>
      </c>
      <c r="AC10" s="772">
        <f t="shared" si="5"/>
        <v>0.99009900990099009</v>
      </c>
    </row>
    <row r="11" spans="1:30" ht="15">
      <c r="A11" s="427"/>
      <c r="B11" s="421" t="s">
        <v>2540</v>
      </c>
      <c r="C11" s="428">
        <f>'数据-汇总表'!I4</f>
        <v>2.88</v>
      </c>
      <c r="D11" s="135">
        <v>100</v>
      </c>
      <c r="E11" s="428">
        <v>4</v>
      </c>
      <c r="F11" s="135">
        <f>LOOKUP(E11,80:80,81:81)-LOOKUP(C11,80:80,81:81)+100</f>
        <v>88</v>
      </c>
      <c r="G11" s="429">
        <v>4</v>
      </c>
      <c r="H11" s="135">
        <f>LOOKUP(G11,80:80,81:81)-LOOKUP(C11,80:80,81:81)+100</f>
        <v>88</v>
      </c>
      <c r="I11" s="428">
        <v>4</v>
      </c>
      <c r="J11" s="135">
        <f>LOOKUP(I11,80:80,81:81)-LOOKUP(C11,80:80,81:81)+100</f>
        <v>88</v>
      </c>
      <c r="K11" s="672">
        <v>6</v>
      </c>
      <c r="L11" s="1140"/>
      <c r="M11" s="1133"/>
      <c r="N11" s="1133"/>
      <c r="O11" s="1141"/>
      <c r="P11" s="3164"/>
      <c r="Q11" s="1796" t="str">
        <f t="shared" si="6"/>
        <v>容积率</v>
      </c>
      <c r="R11" s="769" t="s">
        <v>17</v>
      </c>
      <c r="S11" s="770">
        <f t="shared" si="0"/>
        <v>88</v>
      </c>
      <c r="T11" s="769" t="s">
        <v>17</v>
      </c>
      <c r="U11" s="770">
        <f t="shared" si="1"/>
        <v>88</v>
      </c>
      <c r="V11" s="769" t="s">
        <v>17</v>
      </c>
      <c r="W11" s="770">
        <f t="shared" si="2"/>
        <v>88</v>
      </c>
      <c r="X11" s="771"/>
      <c r="Y11" s="3025"/>
      <c r="Z11" s="55" t="str">
        <f t="shared" si="7"/>
        <v>容积率</v>
      </c>
      <c r="AA11" s="772">
        <f t="shared" si="3"/>
        <v>1.1363636363636365</v>
      </c>
      <c r="AB11" s="772">
        <f t="shared" si="4"/>
        <v>1.1363636363636365</v>
      </c>
      <c r="AC11" s="772">
        <f t="shared" si="5"/>
        <v>1.1363636363636365</v>
      </c>
    </row>
    <row r="12" spans="1:30" s="116" customFormat="1" ht="15" hidden="1">
      <c r="A12" s="430"/>
      <c r="B12" s="2600"/>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4"/>
      <c r="Q12" s="1796">
        <f t="shared" si="6"/>
        <v>0</v>
      </c>
      <c r="R12" s="769" t="s">
        <v>17</v>
      </c>
      <c r="S12" s="770">
        <f t="shared" si="0"/>
        <v>100</v>
      </c>
      <c r="T12" s="769" t="s">
        <v>17</v>
      </c>
      <c r="U12" s="770">
        <f t="shared" si="1"/>
        <v>100</v>
      </c>
      <c r="V12" s="769" t="s">
        <v>17</v>
      </c>
      <c r="W12" s="770">
        <f t="shared" si="2"/>
        <v>100</v>
      </c>
      <c r="X12" s="771"/>
      <c r="Y12" s="3025"/>
      <c r="Z12" s="55">
        <f t="shared" si="7"/>
        <v>0</v>
      </c>
      <c r="AA12" s="772">
        <f>D12/F12</f>
        <v>1</v>
      </c>
      <c r="AB12" s="772">
        <f>D12/H12</f>
        <v>1</v>
      </c>
      <c r="AC12" s="772">
        <f>D12/J12</f>
        <v>1</v>
      </c>
    </row>
    <row r="13" spans="1:30" ht="15" hidden="1">
      <c r="A13" s="427"/>
      <c r="B13" s="2600"/>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4"/>
      <c r="Q13" s="1796">
        <f t="shared" si="6"/>
        <v>0</v>
      </c>
      <c r="R13" s="769" t="s">
        <v>17</v>
      </c>
      <c r="S13" s="770">
        <f t="shared" si="0"/>
        <v>100</v>
      </c>
      <c r="T13" s="769" t="s">
        <v>17</v>
      </c>
      <c r="U13" s="770">
        <f t="shared" si="1"/>
        <v>100</v>
      </c>
      <c r="V13" s="769" t="s">
        <v>17</v>
      </c>
      <c r="W13" s="770">
        <f t="shared" si="2"/>
        <v>100</v>
      </c>
      <c r="X13" s="771"/>
      <c r="Y13" s="3025"/>
      <c r="Z13" s="55">
        <f t="shared" si="7"/>
        <v>0</v>
      </c>
      <c r="AA13" s="772">
        <f>D13/F13</f>
        <v>1</v>
      </c>
      <c r="AB13" s="772">
        <f>D13/H13</f>
        <v>1</v>
      </c>
      <c r="AC13" s="772">
        <f>D13/J13</f>
        <v>1</v>
      </c>
    </row>
    <row r="14" spans="1:30" ht="15.75" hidden="1" thickBot="1">
      <c r="A14" s="435"/>
      <c r="B14" s="2602"/>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4"/>
      <c r="Q14" s="1796">
        <f t="shared" si="6"/>
        <v>0</v>
      </c>
      <c r="R14" s="769" t="s">
        <v>17</v>
      </c>
      <c r="S14" s="770">
        <f t="shared" si="0"/>
        <v>100</v>
      </c>
      <c r="T14" s="769" t="s">
        <v>17</v>
      </c>
      <c r="U14" s="770">
        <f t="shared" si="1"/>
        <v>100</v>
      </c>
      <c r="V14" s="769" t="s">
        <v>17</v>
      </c>
      <c r="W14" s="770">
        <f t="shared" si="2"/>
        <v>100</v>
      </c>
      <c r="X14" s="771"/>
      <c r="Y14" s="3025"/>
      <c r="Z14" s="55">
        <f t="shared" si="7"/>
        <v>0</v>
      </c>
      <c r="AA14" s="772">
        <f>D14/F14</f>
        <v>1</v>
      </c>
      <c r="AB14" s="772">
        <f>D14/H14</f>
        <v>1</v>
      </c>
      <c r="AC14" s="772">
        <f>D14/J14</f>
        <v>1</v>
      </c>
    </row>
    <row r="15" spans="1:30" ht="99.75" hidden="1">
      <c r="A15" s="439" t="s">
        <v>2541</v>
      </c>
      <c r="B15" s="69" t="s">
        <v>2071</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9" t="s">
        <v>2542</v>
      </c>
      <c r="Q15" s="1811" t="str">
        <f t="shared" si="6"/>
        <v>居住社区成熟度</v>
      </c>
      <c r="R15" s="773" t="s">
        <v>17</v>
      </c>
      <c r="S15" s="774">
        <f t="shared" si="0"/>
        <v>100</v>
      </c>
      <c r="T15" s="773" t="s">
        <v>17</v>
      </c>
      <c r="U15" s="774">
        <f t="shared" si="1"/>
        <v>100</v>
      </c>
      <c r="V15" s="773" t="s">
        <v>17</v>
      </c>
      <c r="W15" s="774">
        <f t="shared" si="2"/>
        <v>100</v>
      </c>
      <c r="X15" s="1814"/>
      <c r="Y15" s="3179" t="s">
        <v>2542</v>
      </c>
      <c r="Z15" s="1815" t="str">
        <f t="shared" si="7"/>
        <v>居住社区成熟度</v>
      </c>
      <c r="AA15" s="1812">
        <f t="shared" si="3"/>
        <v>1</v>
      </c>
      <c r="AB15" s="1812">
        <f t="shared" si="4"/>
        <v>1</v>
      </c>
      <c r="AC15" s="1812">
        <f t="shared" si="5"/>
        <v>1</v>
      </c>
    </row>
    <row r="16" spans="1:30" ht="15" hidden="1">
      <c r="A16" s="427"/>
      <c r="B16" s="445"/>
      <c r="C16" s="446"/>
      <c r="D16" s="447"/>
      <c r="E16" s="2605"/>
      <c r="F16" s="447"/>
      <c r="G16" s="2605"/>
      <c r="H16" s="449"/>
      <c r="I16" s="2604"/>
      <c r="J16" s="447"/>
      <c r="K16" s="671"/>
      <c r="L16" s="1142"/>
      <c r="M16" s="1133"/>
      <c r="N16" s="1133"/>
      <c r="O16" s="1141"/>
      <c r="P16" s="3180"/>
      <c r="Q16" s="1811"/>
      <c r="R16" s="773"/>
      <c r="S16" s="774"/>
      <c r="T16" s="773"/>
      <c r="U16" s="774"/>
      <c r="V16" s="773"/>
      <c r="W16" s="774"/>
      <c r="X16" s="1814"/>
      <c r="Y16" s="3180"/>
      <c r="Z16" s="1815"/>
      <c r="AA16" s="1812">
        <v>1</v>
      </c>
      <c r="AB16" s="1812">
        <v>1</v>
      </c>
      <c r="AC16" s="1812">
        <v>1</v>
      </c>
    </row>
    <row r="17" spans="1:29" ht="71.25">
      <c r="A17" s="427"/>
      <c r="B17" s="450" t="s">
        <v>2635</v>
      </c>
      <c r="C17" s="2664"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3"/>
      <c r="J17" s="454">
        <f>SUMIF(90:90,I18,91:91)-SUMIF(90:90,C18,91:91)+100</f>
        <v>103</v>
      </c>
      <c r="K17" s="672">
        <v>3</v>
      </c>
      <c r="L17" s="1142"/>
      <c r="M17" s="1133"/>
      <c r="N17" s="1133"/>
      <c r="O17" s="1141"/>
      <c r="P17" s="3180"/>
      <c r="Q17" s="1811" t="str">
        <f>B17</f>
        <v>商业繁华度</v>
      </c>
      <c r="R17" s="773" t="s">
        <v>17</v>
      </c>
      <c r="S17" s="774">
        <f>F17</f>
        <v>103</v>
      </c>
      <c r="T17" s="773" t="s">
        <v>17</v>
      </c>
      <c r="U17" s="774">
        <f>H17</f>
        <v>103</v>
      </c>
      <c r="V17" s="773" t="s">
        <v>17</v>
      </c>
      <c r="W17" s="774">
        <f>J17</f>
        <v>103</v>
      </c>
      <c r="X17" s="1814"/>
      <c r="Y17" s="3180"/>
      <c r="Z17" s="1815" t="str">
        <f>Q17</f>
        <v>商业繁华度</v>
      </c>
      <c r="AA17" s="1812">
        <f t="shared" si="3"/>
        <v>0.970873786407767</v>
      </c>
      <c r="AB17" s="1812">
        <f t="shared" si="4"/>
        <v>0.970873786407767</v>
      </c>
      <c r="AC17" s="1812">
        <f t="shared" si="5"/>
        <v>0.970873786407767</v>
      </c>
    </row>
    <row r="18" spans="1:29" ht="15">
      <c r="A18" s="427"/>
      <c r="B18" s="455"/>
      <c r="C18" s="2608" t="s">
        <v>3055</v>
      </c>
      <c r="D18" s="449"/>
      <c r="E18" s="2610" t="s">
        <v>3054</v>
      </c>
      <c r="F18" s="449"/>
      <c r="G18" s="2610" t="s">
        <v>3054</v>
      </c>
      <c r="H18" s="447"/>
      <c r="I18" s="2609" t="s">
        <v>3054</v>
      </c>
      <c r="J18" s="447"/>
      <c r="K18" s="671"/>
      <c r="L18" s="1142"/>
      <c r="M18" s="1133"/>
      <c r="N18" s="1133"/>
      <c r="O18" s="1141"/>
      <c r="P18" s="3180"/>
      <c r="Q18" s="1811"/>
      <c r="R18" s="773"/>
      <c r="S18" s="774"/>
      <c r="T18" s="773"/>
      <c r="U18" s="774"/>
      <c r="V18" s="773"/>
      <c r="W18" s="774"/>
      <c r="X18" s="1814"/>
      <c r="Y18" s="3180"/>
      <c r="Z18" s="1815"/>
      <c r="AA18" s="1812">
        <v>1</v>
      </c>
      <c r="AB18" s="1812">
        <v>1</v>
      </c>
      <c r="AC18" s="1812">
        <v>1</v>
      </c>
    </row>
    <row r="19" spans="1:29" ht="71.25" hidden="1">
      <c r="A19" s="427"/>
      <c r="B19" s="450" t="s">
        <v>2669</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0"/>
      <c r="Q19" s="1811" t="str">
        <f>B19</f>
        <v>办公集聚程度</v>
      </c>
      <c r="R19" s="773" t="s">
        <v>17</v>
      </c>
      <c r="S19" s="774">
        <f>F19</f>
        <v>100</v>
      </c>
      <c r="T19" s="773" t="s">
        <v>17</v>
      </c>
      <c r="U19" s="774">
        <f>H19</f>
        <v>100</v>
      </c>
      <c r="V19" s="773" t="s">
        <v>17</v>
      </c>
      <c r="W19" s="774">
        <f>J19</f>
        <v>100</v>
      </c>
      <c r="X19" s="1814"/>
      <c r="Y19" s="3180"/>
      <c r="Z19" s="1815" t="str">
        <f>Q19</f>
        <v>办公集聚程度</v>
      </c>
      <c r="AA19" s="1812">
        <f t="shared" si="3"/>
        <v>1</v>
      </c>
      <c r="AB19" s="1812">
        <f t="shared" si="4"/>
        <v>1</v>
      </c>
      <c r="AC19" s="1812">
        <f t="shared" si="5"/>
        <v>1</v>
      </c>
    </row>
    <row r="20" spans="1:29" ht="15" hidden="1">
      <c r="A20" s="427"/>
      <c r="B20" s="455"/>
      <c r="C20" s="446"/>
      <c r="D20" s="447"/>
      <c r="E20" s="2605"/>
      <c r="F20" s="447"/>
      <c r="G20" s="2605"/>
      <c r="H20" s="447"/>
      <c r="I20" s="2604"/>
      <c r="J20" s="447"/>
      <c r="K20" s="671"/>
      <c r="L20" s="1142"/>
      <c r="M20" s="1133"/>
      <c r="N20" s="1133"/>
      <c r="O20" s="1141"/>
      <c r="P20" s="3180"/>
      <c r="Q20" s="1811"/>
      <c r="R20" s="773"/>
      <c r="S20" s="774"/>
      <c r="T20" s="773"/>
      <c r="U20" s="774"/>
      <c r="V20" s="773"/>
      <c r="W20" s="774"/>
      <c r="X20" s="1814"/>
      <c r="Y20" s="3180"/>
      <c r="Z20" s="1815"/>
      <c r="AA20" s="1812">
        <v>1</v>
      </c>
      <c r="AB20" s="1812">
        <v>1</v>
      </c>
      <c r="AC20" s="1812">
        <v>1</v>
      </c>
    </row>
    <row r="21" spans="1:29" ht="85.5">
      <c r="A21" s="427"/>
      <c r="B21" s="450" t="s">
        <v>2691</v>
      </c>
      <c r="C21" s="2607" t="str">
        <f>估价对象房地状况!C18</f>
        <v>估价对象周边道路状况、公共交通通达情况、停车便捷程度，综合评价交通便捷度较好</v>
      </c>
      <c r="D21" s="449">
        <v>100</v>
      </c>
      <c r="E21" s="451"/>
      <c r="F21" s="454">
        <f>SUMIF(94:94,E22,95:95)-SUMIF(94:94,C22,95:95)+100</f>
        <v>102</v>
      </c>
      <c r="G21" s="451"/>
      <c r="H21" s="449">
        <f>SUMIF(94:94,G22,95:95)-SUMIF(94:94,C22,95:95)+100</f>
        <v>102</v>
      </c>
      <c r="I21" s="453"/>
      <c r="J21" s="449">
        <f>SUMIF(94:94,I22,95:95)-SUMIF(94:94,C22,95:95)+100</f>
        <v>102</v>
      </c>
      <c r="K21" s="672">
        <v>2</v>
      </c>
      <c r="L21" s="1142"/>
      <c r="M21" s="1133"/>
      <c r="N21" s="1133"/>
      <c r="O21" s="1141"/>
      <c r="P21" s="3180"/>
      <c r="Q21" s="1811" t="str">
        <f>B21</f>
        <v>交通便捷度</v>
      </c>
      <c r="R21" s="773" t="s">
        <v>17</v>
      </c>
      <c r="S21" s="774">
        <f>F21</f>
        <v>102</v>
      </c>
      <c r="T21" s="773" t="s">
        <v>17</v>
      </c>
      <c r="U21" s="774">
        <f>H21</f>
        <v>102</v>
      </c>
      <c r="V21" s="773" t="s">
        <v>17</v>
      </c>
      <c r="W21" s="774">
        <f>J21</f>
        <v>102</v>
      </c>
      <c r="X21" s="1814"/>
      <c r="Y21" s="3180"/>
      <c r="Z21" s="1815" t="str">
        <f>Q21</f>
        <v>交通便捷度</v>
      </c>
      <c r="AA21" s="1812">
        <f t="shared" si="3"/>
        <v>0.98039215686274506</v>
      </c>
      <c r="AB21" s="1812">
        <f t="shared" si="4"/>
        <v>0.98039215686274506</v>
      </c>
      <c r="AC21" s="1812">
        <f t="shared" si="5"/>
        <v>0.98039215686274506</v>
      </c>
    </row>
    <row r="22" spans="1:29" ht="15">
      <c r="A22" s="427"/>
      <c r="B22" s="1386"/>
      <c r="C22" s="446" t="s">
        <v>3055</v>
      </c>
      <c r="D22" s="449"/>
      <c r="E22" s="2605" t="s">
        <v>3054</v>
      </c>
      <c r="F22" s="447"/>
      <c r="G22" s="2605" t="s">
        <v>3054</v>
      </c>
      <c r="H22" s="447"/>
      <c r="I22" s="2604" t="s">
        <v>3054</v>
      </c>
      <c r="J22" s="447"/>
      <c r="K22" s="671"/>
      <c r="L22" s="1142"/>
      <c r="M22" s="1133"/>
      <c r="N22" s="1133"/>
      <c r="O22" s="1141"/>
      <c r="P22" s="3180"/>
      <c r="Q22" s="1811"/>
      <c r="R22" s="773"/>
      <c r="S22" s="774"/>
      <c r="T22" s="773"/>
      <c r="U22" s="774"/>
      <c r="V22" s="773"/>
      <c r="W22" s="774"/>
      <c r="X22" s="1814"/>
      <c r="Y22" s="3180"/>
      <c r="Z22" s="1815"/>
      <c r="AA22" s="1812">
        <v>1</v>
      </c>
      <c r="AB22" s="1812">
        <v>1</v>
      </c>
      <c r="AC22" s="1812">
        <v>1</v>
      </c>
    </row>
    <row r="23" spans="1:29" ht="15">
      <c r="A23" s="403"/>
      <c r="B23" s="450" t="s">
        <v>2729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0"/>
      <c r="Q23" s="1811" t="str">
        <f t="shared" ref="Q23:Q37" si="8">B23</f>
        <v>区域土地利用方向</v>
      </c>
      <c r="R23" s="773" t="s">
        <v>17</v>
      </c>
      <c r="S23" s="774">
        <f>F23</f>
        <v>100</v>
      </c>
      <c r="T23" s="773" t="s">
        <v>17</v>
      </c>
      <c r="U23" s="774">
        <f>H23</f>
        <v>100</v>
      </c>
      <c r="V23" s="773" t="s">
        <v>17</v>
      </c>
      <c r="W23" s="774">
        <f>J23</f>
        <v>100</v>
      </c>
      <c r="X23" s="1814"/>
      <c r="Y23" s="3180"/>
      <c r="Z23" s="1815" t="str">
        <f>Q23</f>
        <v>区域土地利用方向</v>
      </c>
      <c r="AA23" s="1812">
        <f t="shared" si="3"/>
        <v>1</v>
      </c>
      <c r="AB23" s="1812">
        <f t="shared" si="4"/>
        <v>1</v>
      </c>
      <c r="AC23" s="1812">
        <f t="shared" si="5"/>
        <v>1</v>
      </c>
    </row>
    <row r="24" spans="1:29" ht="15">
      <c r="A24" s="403"/>
      <c r="B24" s="455"/>
      <c r="C24" s="615" t="s">
        <v>3054</v>
      </c>
      <c r="D24" s="447"/>
      <c r="E24" s="2605" t="s">
        <v>3054</v>
      </c>
      <c r="F24" s="447"/>
      <c r="G24" s="2604" t="s">
        <v>3054</v>
      </c>
      <c r="H24" s="447"/>
      <c r="I24" s="2604" t="s">
        <v>3054</v>
      </c>
      <c r="J24" s="447"/>
      <c r="K24" s="811"/>
      <c r="L24" s="1142"/>
      <c r="M24" s="1133"/>
      <c r="N24" s="1133"/>
      <c r="O24" s="1141"/>
      <c r="P24" s="3180"/>
      <c r="Q24" s="1811"/>
      <c r="R24" s="773"/>
      <c r="S24" s="774"/>
      <c r="T24" s="773"/>
      <c r="U24" s="774"/>
      <c r="V24" s="773"/>
      <c r="W24" s="774"/>
      <c r="X24" s="1814"/>
      <c r="Y24" s="3180"/>
      <c r="Z24" s="1815"/>
      <c r="AA24" s="1812"/>
      <c r="AB24" s="1812"/>
      <c r="AC24" s="1812"/>
    </row>
    <row r="25" spans="1:29" ht="57">
      <c r="A25" s="403"/>
      <c r="B25" s="1386" t="s">
        <v>2730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80"/>
      <c r="Q25" s="1811" t="str">
        <f t="shared" si="8"/>
        <v>自然及人文环境状况</v>
      </c>
      <c r="R25" s="773" t="s">
        <v>17</v>
      </c>
      <c r="S25" s="774">
        <f>F25</f>
        <v>100</v>
      </c>
      <c r="T25" s="773" t="s">
        <v>17</v>
      </c>
      <c r="U25" s="774">
        <f>H25</f>
        <v>100</v>
      </c>
      <c r="V25" s="773" t="s">
        <v>17</v>
      </c>
      <c r="W25" s="774">
        <f>J25</f>
        <v>100</v>
      </c>
      <c r="X25" s="1814"/>
      <c r="Y25" s="3180"/>
      <c r="Z25" s="1815" t="str">
        <f>Q25</f>
        <v>自然及人文环境状况</v>
      </c>
      <c r="AA25" s="1812">
        <f t="shared" si="3"/>
        <v>1</v>
      </c>
      <c r="AB25" s="1812">
        <f t="shared" si="4"/>
        <v>1</v>
      </c>
      <c r="AC25" s="1812">
        <f t="shared" si="5"/>
        <v>1</v>
      </c>
    </row>
    <row r="26" spans="1:29" ht="15">
      <c r="A26" s="403"/>
      <c r="B26" s="455"/>
      <c r="C26" s="446" t="s">
        <v>3055</v>
      </c>
      <c r="D26" s="447"/>
      <c r="E26" s="2611" t="s">
        <v>3055</v>
      </c>
      <c r="F26" s="447"/>
      <c r="G26" s="2611" t="s">
        <v>3055</v>
      </c>
      <c r="H26" s="447"/>
      <c r="I26" s="446" t="s">
        <v>3055</v>
      </c>
      <c r="J26" s="447"/>
      <c r="K26" s="671"/>
      <c r="L26" s="1142"/>
      <c r="M26" s="1133"/>
      <c r="N26" s="1133"/>
      <c r="O26" s="1141"/>
      <c r="P26" s="3180"/>
      <c r="Q26" s="1811"/>
      <c r="R26" s="773"/>
      <c r="S26" s="774"/>
      <c r="T26" s="773"/>
      <c r="U26" s="774"/>
      <c r="V26" s="773"/>
      <c r="W26" s="774"/>
      <c r="X26" s="1814"/>
      <c r="Y26" s="3180"/>
      <c r="Z26" s="1815"/>
      <c r="AA26" s="1812">
        <v>1</v>
      </c>
      <c r="AB26" s="1812">
        <v>1</v>
      </c>
      <c r="AC26" s="1812">
        <v>1</v>
      </c>
    </row>
    <row r="27" spans="1:29" s="116" customFormat="1" ht="42.75">
      <c r="A27" s="648"/>
      <c r="B27" s="1386" t="s">
        <v>2636</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80"/>
      <c r="Q27" s="1796" t="str">
        <f t="shared" si="8"/>
        <v>公共配套设施</v>
      </c>
      <c r="R27" s="769" t="s">
        <v>17</v>
      </c>
      <c r="S27" s="770">
        <f>F27</f>
        <v>100</v>
      </c>
      <c r="T27" s="769" t="s">
        <v>17</v>
      </c>
      <c r="U27" s="770">
        <f>H27</f>
        <v>100</v>
      </c>
      <c r="V27" s="769" t="s">
        <v>17</v>
      </c>
      <c r="W27" s="770">
        <f>J27</f>
        <v>100</v>
      </c>
      <c r="X27" s="771"/>
      <c r="Y27" s="3180"/>
      <c r="Z27" s="55" t="str">
        <f>Q27</f>
        <v>公共配套设施</v>
      </c>
      <c r="AA27" s="1812">
        <f>D27/F27</f>
        <v>1</v>
      </c>
      <c r="AB27" s="1812">
        <f>D27/H27</f>
        <v>1</v>
      </c>
      <c r="AC27" s="1812">
        <f>D27/J27</f>
        <v>1</v>
      </c>
    </row>
    <row r="28" spans="1:29" s="116" customFormat="1" ht="15">
      <c r="A28" s="648"/>
      <c r="B28" s="455"/>
      <c r="C28" s="2700" t="s">
        <v>3055</v>
      </c>
      <c r="D28" s="447"/>
      <c r="E28" s="2611" t="s">
        <v>3055</v>
      </c>
      <c r="F28" s="447"/>
      <c r="G28" s="2611" t="s">
        <v>3055</v>
      </c>
      <c r="H28" s="447"/>
      <c r="I28" s="446" t="s">
        <v>3055</v>
      </c>
      <c r="J28" s="447"/>
      <c r="K28" s="671"/>
      <c r="L28" s="1134"/>
      <c r="M28" s="1135"/>
      <c r="N28" s="1135"/>
      <c r="O28" s="1136"/>
      <c r="P28" s="3180"/>
      <c r="Q28" s="1796"/>
      <c r="R28" s="769"/>
      <c r="S28" s="770"/>
      <c r="T28" s="769"/>
      <c r="U28" s="770"/>
      <c r="V28" s="769"/>
      <c r="W28" s="770"/>
      <c r="X28" s="771"/>
      <c r="Y28" s="3180"/>
      <c r="Z28" s="55"/>
      <c r="AA28" s="1812">
        <v>1</v>
      </c>
      <c r="AB28" s="1812">
        <v>1</v>
      </c>
      <c r="AC28" s="1812">
        <v>1</v>
      </c>
    </row>
    <row r="29" spans="1:29" s="116" customFormat="1" ht="28.5">
      <c r="A29" s="648"/>
      <c r="B29" s="1386" t="s">
        <v>2637</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0"/>
      <c r="Q29" s="1796" t="str">
        <f t="shared" ref="Q29" si="9">B29</f>
        <v>基础设施水平</v>
      </c>
      <c r="R29" s="769" t="s">
        <v>17</v>
      </c>
      <c r="S29" s="770">
        <f>F29</f>
        <v>100</v>
      </c>
      <c r="T29" s="769" t="s">
        <v>17</v>
      </c>
      <c r="U29" s="770">
        <f>H29</f>
        <v>100</v>
      </c>
      <c r="V29" s="769" t="s">
        <v>17</v>
      </c>
      <c r="W29" s="770">
        <f>J29</f>
        <v>100</v>
      </c>
      <c r="X29" s="771"/>
      <c r="Y29" s="3180"/>
      <c r="Z29" s="55" t="str">
        <f>Q29</f>
        <v>基础设施水平</v>
      </c>
      <c r="AA29" s="1812">
        <f>D29/F29</f>
        <v>1</v>
      </c>
      <c r="AB29" s="1812">
        <f>D29/H29</f>
        <v>1</v>
      </c>
      <c r="AC29" s="1812">
        <f>D29/J29</f>
        <v>1</v>
      </c>
    </row>
    <row r="30" spans="1:29" s="116" customFormat="1" ht="15">
      <c r="A30" s="648"/>
      <c r="B30" s="455"/>
      <c r="C30" s="2700" t="s">
        <v>3056</v>
      </c>
      <c r="D30" s="447"/>
      <c r="E30" s="2701" t="s">
        <v>3056</v>
      </c>
      <c r="F30" s="447"/>
      <c r="G30" s="2701" t="s">
        <v>3056</v>
      </c>
      <c r="H30" s="447"/>
      <c r="I30" s="2701" t="s">
        <v>3056</v>
      </c>
      <c r="J30" s="447"/>
      <c r="K30" s="671"/>
      <c r="L30" s="1134"/>
      <c r="M30" s="1135"/>
      <c r="N30" s="1135"/>
      <c r="O30" s="1136"/>
      <c r="P30" s="3180"/>
      <c r="Q30" s="1796"/>
      <c r="R30" s="769"/>
      <c r="S30" s="770"/>
      <c r="T30" s="769"/>
      <c r="U30" s="770"/>
      <c r="V30" s="769"/>
      <c r="W30" s="770"/>
      <c r="X30" s="771"/>
      <c r="Y30" s="3180"/>
      <c r="Z30" s="55"/>
      <c r="AA30" s="1812">
        <v>1</v>
      </c>
      <c r="AB30" s="1812">
        <v>1</v>
      </c>
      <c r="AC30" s="1812">
        <v>1</v>
      </c>
    </row>
    <row r="31" spans="1:29" ht="15">
      <c r="A31" s="427"/>
      <c r="B31" s="455" t="s">
        <v>2638</v>
      </c>
      <c r="C31" s="615" t="s">
        <v>3057</v>
      </c>
      <c r="D31" s="434">
        <v>100</v>
      </c>
      <c r="E31" s="633" t="s">
        <v>3057</v>
      </c>
      <c r="F31" s="434">
        <f>SUMIF(104:104,E31,105:105)-SUMIF(104:104,C31,105:105)+100</f>
        <v>100</v>
      </c>
      <c r="G31" s="633" t="s">
        <v>3057</v>
      </c>
      <c r="H31" s="434">
        <f>SUMIF(104:104,G31,105:105)-SUMIF(104:104,C31,105:105)+100</f>
        <v>100</v>
      </c>
      <c r="I31" s="633" t="s">
        <v>3057</v>
      </c>
      <c r="J31" s="434">
        <f>SUMIF(104:104,I31,105:105)-SUMIF(104:104,C31,105:105)+100</f>
        <v>100</v>
      </c>
      <c r="K31" s="672">
        <v>2</v>
      </c>
      <c r="L31" s="1142"/>
      <c r="M31" s="1133"/>
      <c r="N31" s="1133"/>
      <c r="O31" s="1141"/>
      <c r="P31" s="3180"/>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0"/>
      <c r="Z31" s="1815" t="str">
        <f t="shared" ref="Z31:Z45" si="13">Q31</f>
        <v>临街状况</v>
      </c>
      <c r="AA31" s="1812">
        <f t="shared" si="3"/>
        <v>1</v>
      </c>
      <c r="AB31" s="1812">
        <f t="shared" si="4"/>
        <v>1</v>
      </c>
      <c r="AC31" s="1812">
        <f t="shared" si="5"/>
        <v>1</v>
      </c>
    </row>
    <row r="32" spans="1:29" ht="27">
      <c r="A32" s="427"/>
      <c r="B32" s="1386" t="s">
        <v>2673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80"/>
      <c r="Q32" s="1811" t="str">
        <f t="shared" si="8"/>
        <v>毗邻道路的类型与等级</v>
      </c>
      <c r="R32" s="773" t="s">
        <v>17</v>
      </c>
      <c r="S32" s="774">
        <f t="shared" si="10"/>
        <v>100</v>
      </c>
      <c r="T32" s="773" t="s">
        <v>17</v>
      </c>
      <c r="U32" s="774">
        <f t="shared" si="11"/>
        <v>100</v>
      </c>
      <c r="V32" s="773" t="s">
        <v>17</v>
      </c>
      <c r="W32" s="774">
        <f t="shared" si="12"/>
        <v>100</v>
      </c>
      <c r="X32" s="1814"/>
      <c r="Y32" s="3180"/>
      <c r="Z32" s="1815" t="str">
        <f t="shared" si="13"/>
        <v>毗邻道路的类型与等级</v>
      </c>
      <c r="AA32" s="1812">
        <f t="shared" si="3"/>
        <v>1</v>
      </c>
      <c r="AB32" s="1812">
        <f t="shared" si="4"/>
        <v>1</v>
      </c>
      <c r="AC32" s="1812">
        <f t="shared" si="5"/>
        <v>1</v>
      </c>
    </row>
    <row r="33" spans="1:29" ht="15">
      <c r="A33" s="427"/>
      <c r="B33" s="455"/>
      <c r="C33" s="2611" t="s">
        <v>3058</v>
      </c>
      <c r="D33" s="447"/>
      <c r="E33" s="2611" t="s">
        <v>3058</v>
      </c>
      <c r="F33" s="447"/>
      <c r="G33" s="2611" t="s">
        <v>3058</v>
      </c>
      <c r="H33" s="447"/>
      <c r="I33" s="446" t="s">
        <v>3058</v>
      </c>
      <c r="J33" s="447"/>
      <c r="K33" s="612"/>
      <c r="L33" s="1142"/>
      <c r="M33" s="1133"/>
      <c r="N33" s="1133"/>
      <c r="O33" s="1141"/>
      <c r="P33" s="3180"/>
      <c r="Q33" s="1811"/>
      <c r="R33" s="773"/>
      <c r="S33" s="774"/>
      <c r="T33" s="773"/>
      <c r="U33" s="774"/>
      <c r="V33" s="773"/>
      <c r="W33" s="774"/>
      <c r="X33" s="1814"/>
      <c r="Y33" s="3180"/>
      <c r="Z33" s="1815"/>
      <c r="AA33" s="1812">
        <v>1</v>
      </c>
      <c r="AB33" s="1812">
        <v>1</v>
      </c>
      <c r="AC33" s="1812">
        <v>1</v>
      </c>
    </row>
    <row r="34" spans="1:29" ht="15.75" thickBot="1">
      <c r="A34" s="427"/>
      <c r="B34" s="421" t="s">
        <v>2731</v>
      </c>
      <c r="C34" s="633" t="s">
        <v>523</v>
      </c>
      <c r="D34" s="434">
        <v>100</v>
      </c>
      <c r="E34" s="633" t="s">
        <v>523</v>
      </c>
      <c r="F34" s="434">
        <f>SUMIF(108:108,E34,109:109)-SUMIF(108:108,C34,109:109)+100</f>
        <v>100</v>
      </c>
      <c r="G34" s="633" t="s">
        <v>523</v>
      </c>
      <c r="H34" s="434">
        <f>SUMIF(108:108,G34,109:109)-SUMIF(108:108,C34,109:109)+100</f>
        <v>100</v>
      </c>
      <c r="I34" s="615" t="s">
        <v>523</v>
      </c>
      <c r="J34" s="434">
        <f>SUMIF(108:108,I34,109:109)-SUMIF(108:108,C34,109:109)+100</f>
        <v>100</v>
      </c>
      <c r="K34" s="611">
        <v>2</v>
      </c>
      <c r="L34" s="1142"/>
      <c r="M34" s="1133"/>
      <c r="N34" s="1133"/>
      <c r="O34" s="1141"/>
      <c r="P34" s="3180"/>
      <c r="Q34" s="1811" t="str">
        <f t="shared" si="8"/>
        <v>土地级别</v>
      </c>
      <c r="R34" s="773" t="s">
        <v>17</v>
      </c>
      <c r="S34" s="774">
        <f t="shared" si="10"/>
        <v>100</v>
      </c>
      <c r="T34" s="773" t="s">
        <v>17</v>
      </c>
      <c r="U34" s="774">
        <f t="shared" si="11"/>
        <v>100</v>
      </c>
      <c r="V34" s="773" t="s">
        <v>17</v>
      </c>
      <c r="W34" s="774">
        <f t="shared" si="12"/>
        <v>100</v>
      </c>
      <c r="X34" s="1814"/>
      <c r="Y34" s="3180"/>
      <c r="Z34" s="1815" t="str">
        <f t="shared" si="13"/>
        <v>土地级别</v>
      </c>
      <c r="AA34" s="1812">
        <f t="shared" si="3"/>
        <v>1</v>
      </c>
      <c r="AB34" s="1812">
        <f t="shared" si="4"/>
        <v>1</v>
      </c>
      <c r="AC34" s="1812">
        <f t="shared" si="5"/>
        <v>1</v>
      </c>
    </row>
    <row r="35" spans="1:29" ht="15" hidden="1">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0"/>
      <c r="Q35" s="1811">
        <f t="shared" si="8"/>
        <v>0</v>
      </c>
      <c r="R35" s="773" t="s">
        <v>17</v>
      </c>
      <c r="S35" s="774">
        <f t="shared" si="10"/>
        <v>100</v>
      </c>
      <c r="T35" s="773" t="s">
        <v>17</v>
      </c>
      <c r="U35" s="774">
        <f t="shared" si="11"/>
        <v>100</v>
      </c>
      <c r="V35" s="773" t="s">
        <v>17</v>
      </c>
      <c r="W35" s="774">
        <f t="shared" si="12"/>
        <v>100</v>
      </c>
      <c r="X35" s="1814"/>
      <c r="Y35" s="3180"/>
      <c r="Z35" s="1815">
        <f t="shared" si="13"/>
        <v>0</v>
      </c>
      <c r="AA35" s="1812">
        <f t="shared" si="3"/>
        <v>1</v>
      </c>
      <c r="AB35" s="1812">
        <f t="shared" si="4"/>
        <v>1</v>
      </c>
      <c r="AC35" s="1812">
        <f t="shared" si="5"/>
        <v>1</v>
      </c>
    </row>
    <row r="36" spans="1:29" ht="15" hidden="1">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1" t="s">
        <v>2547</v>
      </c>
      <c r="Q36" s="1811">
        <f t="shared" si="8"/>
        <v>0</v>
      </c>
      <c r="R36" s="773" t="s">
        <v>17</v>
      </c>
      <c r="S36" s="774">
        <f t="shared" si="10"/>
        <v>100</v>
      </c>
      <c r="T36" s="773" t="s">
        <v>17</v>
      </c>
      <c r="U36" s="774">
        <f t="shared" si="11"/>
        <v>100</v>
      </c>
      <c r="V36" s="773" t="s">
        <v>17</v>
      </c>
      <c r="W36" s="774">
        <f t="shared" si="12"/>
        <v>100</v>
      </c>
      <c r="X36" s="1814"/>
      <c r="Y36" s="3182" t="s">
        <v>2547</v>
      </c>
      <c r="Z36" s="1815">
        <f t="shared" si="13"/>
        <v>0</v>
      </c>
      <c r="AA36" s="1812">
        <f t="shared" si="3"/>
        <v>1</v>
      </c>
      <c r="AB36" s="1812">
        <f t="shared" si="4"/>
        <v>1</v>
      </c>
      <c r="AC36" s="1812">
        <f t="shared" si="5"/>
        <v>1</v>
      </c>
    </row>
    <row r="37" spans="1:29" s="470" customFormat="1" ht="15.75" hidden="1"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2"/>
      <c r="Q37" s="1811">
        <f t="shared" si="8"/>
        <v>0</v>
      </c>
      <c r="R37" s="776" t="s">
        <v>17</v>
      </c>
      <c r="S37" s="777">
        <f t="shared" si="10"/>
        <v>100</v>
      </c>
      <c r="T37" s="776" t="s">
        <v>17</v>
      </c>
      <c r="U37" s="777">
        <f t="shared" si="11"/>
        <v>100</v>
      </c>
      <c r="V37" s="776" t="s">
        <v>17</v>
      </c>
      <c r="W37" s="777">
        <f t="shared" si="12"/>
        <v>100</v>
      </c>
      <c r="X37" s="778"/>
      <c r="Y37" s="3182"/>
      <c r="Z37" s="779">
        <f t="shared" si="13"/>
        <v>0</v>
      </c>
      <c r="AA37" s="1812">
        <f t="shared" si="3"/>
        <v>1</v>
      </c>
      <c r="AB37" s="1812">
        <f t="shared" si="4"/>
        <v>1</v>
      </c>
      <c r="AC37" s="1812">
        <f t="shared" si="5"/>
        <v>1</v>
      </c>
    </row>
    <row r="38" spans="1:29" ht="15">
      <c r="A38" s="471" t="s">
        <v>2545</v>
      </c>
      <c r="B38" s="455" t="s">
        <v>2732</v>
      </c>
      <c r="C38" s="678">
        <f>'数据-基础表'!A3</f>
        <v>59332.478000000003</v>
      </c>
      <c r="D38" s="466">
        <v>100</v>
      </c>
      <c r="E38" s="678">
        <v>15089.35</v>
      </c>
      <c r="F38" s="466">
        <f>LOOKUP(E38,117:117,118:118)-LOOKUP(C38,117:117,118:118)+100</f>
        <v>98</v>
      </c>
      <c r="G38" s="678">
        <v>27500</v>
      </c>
      <c r="H38" s="466">
        <f>LOOKUP(G38,117:117,118:118)-LOOKUP(C38,117:117,118:118)+100</f>
        <v>99</v>
      </c>
      <c r="I38" s="529">
        <v>35418.839999999997</v>
      </c>
      <c r="J38" s="466">
        <f>LOOKUP(I38,117:117,118:118)-LOOKUP(C38,117:117,118:118)+100</f>
        <v>100</v>
      </c>
      <c r="K38" s="612"/>
      <c r="L38" s="1142"/>
      <c r="M38" s="1133"/>
      <c r="N38" s="1133"/>
      <c r="O38" s="1141"/>
      <c r="P38" s="3182"/>
      <c r="Q38" s="1811" t="str">
        <f>B38</f>
        <v>宗地面积</v>
      </c>
      <c r="R38" s="773" t="s">
        <v>17</v>
      </c>
      <c r="S38" s="774">
        <f t="shared" si="10"/>
        <v>98</v>
      </c>
      <c r="T38" s="773" t="s">
        <v>17</v>
      </c>
      <c r="U38" s="774">
        <f t="shared" si="11"/>
        <v>99</v>
      </c>
      <c r="V38" s="773" t="s">
        <v>17</v>
      </c>
      <c r="W38" s="774">
        <f t="shared" si="12"/>
        <v>100</v>
      </c>
      <c r="X38" s="1814"/>
      <c r="Y38" s="3182"/>
      <c r="Z38" s="1815" t="str">
        <f t="shared" si="13"/>
        <v>宗地面积</v>
      </c>
      <c r="AA38" s="1812">
        <f t="shared" si="3"/>
        <v>1.0204081632653061</v>
      </c>
      <c r="AB38" s="1812">
        <f t="shared" si="4"/>
        <v>1.0101010101010102</v>
      </c>
      <c r="AC38" s="1812">
        <f t="shared" si="5"/>
        <v>1</v>
      </c>
    </row>
    <row r="39" spans="1:29" ht="15">
      <c r="A39" s="471"/>
      <c r="B39" s="421" t="s">
        <v>2733</v>
      </c>
      <c r="C39" s="2613" t="s">
        <v>3059</v>
      </c>
      <c r="D39" s="434">
        <v>100</v>
      </c>
      <c r="E39" s="2613" t="s">
        <v>3059</v>
      </c>
      <c r="F39" s="434">
        <f>SUMIF(119:119,E39,120:120)-SUMIF(119:119,C39,120:120)+100</f>
        <v>100</v>
      </c>
      <c r="G39" s="2613" t="s">
        <v>3059</v>
      </c>
      <c r="H39" s="434">
        <f>SUMIF(119:119,G39,120:120)-SUMIF(119:119,C39,120:120)+100</f>
        <v>100</v>
      </c>
      <c r="I39" s="2613" t="s">
        <v>3059</v>
      </c>
      <c r="J39" s="434">
        <f>SUMIF(119:119,I39,120:120)-SUMIF(119:119,C39,120:120)+100</f>
        <v>100</v>
      </c>
      <c r="K39" s="611">
        <v>2</v>
      </c>
      <c r="L39" s="1142"/>
      <c r="M39" s="1133"/>
      <c r="N39" s="1133"/>
      <c r="O39" s="1141"/>
      <c r="P39" s="3182"/>
      <c r="Q39" s="1811" t="str">
        <f t="shared" ref="Q39:Q45" si="14">B39</f>
        <v>宗地形状</v>
      </c>
      <c r="R39" s="773" t="s">
        <v>17</v>
      </c>
      <c r="S39" s="774">
        <f t="shared" si="10"/>
        <v>100</v>
      </c>
      <c r="T39" s="773" t="s">
        <v>17</v>
      </c>
      <c r="U39" s="774">
        <f t="shared" si="11"/>
        <v>100</v>
      </c>
      <c r="V39" s="773" t="s">
        <v>17</v>
      </c>
      <c r="W39" s="774">
        <f t="shared" si="12"/>
        <v>100</v>
      </c>
      <c r="X39" s="1814"/>
      <c r="Y39" s="3182"/>
      <c r="Z39" s="1815" t="str">
        <f t="shared" si="13"/>
        <v>宗地形状</v>
      </c>
      <c r="AA39" s="1812">
        <f t="shared" si="3"/>
        <v>1</v>
      </c>
      <c r="AB39" s="1812">
        <f t="shared" si="4"/>
        <v>1</v>
      </c>
      <c r="AC39" s="1812">
        <f t="shared" si="5"/>
        <v>1</v>
      </c>
    </row>
    <row r="40" spans="1:29" ht="15" hidden="1">
      <c r="A40" s="471"/>
      <c r="B40" s="421" t="s">
        <v>2734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182"/>
      <c r="Q40" s="1811" t="str">
        <f t="shared" si="14"/>
        <v>临街宽度及深度</v>
      </c>
      <c r="R40" s="773" t="s">
        <v>17</v>
      </c>
      <c r="S40" s="774">
        <f t="shared" si="10"/>
        <v>100</v>
      </c>
      <c r="T40" s="773" t="s">
        <v>17</v>
      </c>
      <c r="U40" s="774">
        <f t="shared" si="11"/>
        <v>100</v>
      </c>
      <c r="V40" s="773" t="s">
        <v>17</v>
      </c>
      <c r="W40" s="774">
        <f t="shared" si="12"/>
        <v>100</v>
      </c>
      <c r="X40" s="1814"/>
      <c r="Y40" s="3182"/>
      <c r="Z40" s="1815" t="str">
        <f t="shared" si="13"/>
        <v>临街宽度及深度</v>
      </c>
      <c r="AA40" s="1812">
        <f t="shared" si="3"/>
        <v>1</v>
      </c>
      <c r="AB40" s="1812">
        <f t="shared" si="4"/>
        <v>1</v>
      </c>
      <c r="AC40" s="1812">
        <f t="shared" si="5"/>
        <v>1</v>
      </c>
    </row>
    <row r="41" spans="1:29" s="116" customFormat="1" ht="15">
      <c r="A41" s="472"/>
      <c r="B41" s="421" t="s">
        <v>2735</v>
      </c>
      <c r="C41" s="2702" t="s">
        <v>3054</v>
      </c>
      <c r="D41" s="135">
        <v>100</v>
      </c>
      <c r="E41" s="2702" t="s">
        <v>3054</v>
      </c>
      <c r="F41" s="434">
        <f>SUMIF(123:123,E41,124:124)-SUMIF(123:123,C41,124:124)+100</f>
        <v>100</v>
      </c>
      <c r="G41" s="2702" t="s">
        <v>3054</v>
      </c>
      <c r="H41" s="434">
        <f>SUMIF(123:123,G41,124:124)-SUMIF(123:123,C41,124:124)+100</f>
        <v>100</v>
      </c>
      <c r="I41" s="2702" t="s">
        <v>3054</v>
      </c>
      <c r="J41" s="434">
        <f>SUMIF(123:123,I41,124:124)-SUMIF(123:123,C41,124:124)+100</f>
        <v>100</v>
      </c>
      <c r="K41" s="611">
        <v>2</v>
      </c>
      <c r="L41" s="1134"/>
      <c r="M41" s="1135"/>
      <c r="N41" s="1135"/>
      <c r="O41" s="1136"/>
      <c r="P41" s="3182"/>
      <c r="Q41" s="1811" t="str">
        <f t="shared" si="14"/>
        <v>宗地开发程度</v>
      </c>
      <c r="R41" s="769" t="s">
        <v>17</v>
      </c>
      <c r="S41" s="770">
        <f t="shared" si="10"/>
        <v>100</v>
      </c>
      <c r="T41" s="769" t="s">
        <v>17</v>
      </c>
      <c r="U41" s="770">
        <f t="shared" si="11"/>
        <v>100</v>
      </c>
      <c r="V41" s="769" t="s">
        <v>17</v>
      </c>
      <c r="W41" s="770">
        <f t="shared" si="12"/>
        <v>100</v>
      </c>
      <c r="X41" s="771"/>
      <c r="Y41" s="3182"/>
      <c r="Z41" s="55" t="str">
        <f t="shared" si="13"/>
        <v>宗地开发程度</v>
      </c>
      <c r="AA41" s="772">
        <f t="shared" si="3"/>
        <v>1</v>
      </c>
      <c r="AB41" s="772">
        <f t="shared" si="4"/>
        <v>1</v>
      </c>
      <c r="AC41" s="772">
        <f t="shared" si="5"/>
        <v>1</v>
      </c>
    </row>
    <row r="42" spans="1:29" ht="15.75" thickBot="1">
      <c r="A42" s="471"/>
      <c r="B42" s="421" t="s">
        <v>2736</v>
      </c>
      <c r="C42" s="2613" t="s">
        <v>3054</v>
      </c>
      <c r="D42" s="434">
        <v>100</v>
      </c>
      <c r="E42" s="2613" t="s">
        <v>3054</v>
      </c>
      <c r="F42" s="434">
        <f>SUMIF(125:125,E42,126:126)-SUMIF(125:125,C42,126:126)+100</f>
        <v>100</v>
      </c>
      <c r="G42" s="2613" t="s">
        <v>3054</v>
      </c>
      <c r="H42" s="434">
        <f>SUMIF(125:125,G42,126:126)-SUMIF(125:125,C42,126:126)+100</f>
        <v>100</v>
      </c>
      <c r="I42" s="2613" t="s">
        <v>3054</v>
      </c>
      <c r="J42" s="434">
        <f>SUMIF(125:125,I42,126:126)-SUMIF(125:125,C42,126:126)+100</f>
        <v>100</v>
      </c>
      <c r="K42" s="611">
        <v>2</v>
      </c>
      <c r="L42" s="1142"/>
      <c r="M42" s="1133"/>
      <c r="N42" s="1133"/>
      <c r="O42" s="1141"/>
      <c r="P42" s="3182" t="s">
        <v>2547</v>
      </c>
      <c r="Q42" s="1811" t="str">
        <f t="shared" si="14"/>
        <v>工程地质条件</v>
      </c>
      <c r="R42" s="773" t="s">
        <v>17</v>
      </c>
      <c r="S42" s="774">
        <f t="shared" si="10"/>
        <v>100</v>
      </c>
      <c r="T42" s="773" t="s">
        <v>17</v>
      </c>
      <c r="U42" s="774">
        <f t="shared" si="11"/>
        <v>100</v>
      </c>
      <c r="V42" s="773" t="s">
        <v>17</v>
      </c>
      <c r="W42" s="774">
        <f t="shared" si="12"/>
        <v>100</v>
      </c>
      <c r="X42" s="1814"/>
      <c r="Y42" s="3182" t="s">
        <v>2547</v>
      </c>
      <c r="Z42" s="1815" t="str">
        <f t="shared" si="13"/>
        <v>工程地质条件</v>
      </c>
      <c r="AA42" s="1812">
        <f t="shared" si="3"/>
        <v>1</v>
      </c>
      <c r="AB42" s="1812">
        <f t="shared" si="4"/>
        <v>1</v>
      </c>
      <c r="AC42" s="1812">
        <f t="shared" si="5"/>
        <v>1</v>
      </c>
    </row>
    <row r="43" spans="1:29" ht="15" hidden="1">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2"/>
      <c r="Q43" s="1811">
        <f t="shared" si="14"/>
        <v>0</v>
      </c>
      <c r="R43" s="773" t="s">
        <v>17</v>
      </c>
      <c r="S43" s="774">
        <f t="shared" si="10"/>
        <v>100</v>
      </c>
      <c r="T43" s="773" t="s">
        <v>17</v>
      </c>
      <c r="U43" s="774">
        <f t="shared" si="11"/>
        <v>100</v>
      </c>
      <c r="V43" s="773" t="s">
        <v>17</v>
      </c>
      <c r="W43" s="774">
        <f t="shared" si="12"/>
        <v>100</v>
      </c>
      <c r="X43" s="1814"/>
      <c r="Y43" s="3182"/>
      <c r="Z43" s="1815">
        <f t="shared" si="13"/>
        <v>0</v>
      </c>
      <c r="AA43" s="1812">
        <f t="shared" si="3"/>
        <v>1</v>
      </c>
      <c r="AB43" s="1812">
        <f t="shared" si="4"/>
        <v>1</v>
      </c>
      <c r="AC43" s="1812">
        <f t="shared" si="5"/>
        <v>1</v>
      </c>
    </row>
    <row r="44" spans="1:29" ht="15" hidden="1">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2"/>
      <c r="Q44" s="1811">
        <f t="shared" si="14"/>
        <v>0</v>
      </c>
      <c r="R44" s="773" t="s">
        <v>17</v>
      </c>
      <c r="S44" s="774">
        <f t="shared" si="10"/>
        <v>100</v>
      </c>
      <c r="T44" s="773" t="s">
        <v>17</v>
      </c>
      <c r="U44" s="774">
        <f t="shared" si="11"/>
        <v>100</v>
      </c>
      <c r="V44" s="773" t="s">
        <v>17</v>
      </c>
      <c r="W44" s="774">
        <f t="shared" si="12"/>
        <v>100</v>
      </c>
      <c r="X44" s="1814"/>
      <c r="Y44" s="3182"/>
      <c r="Z44" s="1815">
        <f t="shared" si="13"/>
        <v>0</v>
      </c>
      <c r="AA44" s="1812">
        <f t="shared" si="3"/>
        <v>1</v>
      </c>
      <c r="AB44" s="1812">
        <f t="shared" si="4"/>
        <v>1</v>
      </c>
      <c r="AC44" s="1812">
        <f t="shared" si="5"/>
        <v>1</v>
      </c>
    </row>
    <row r="45" spans="1:29" s="470" customFormat="1" ht="15.75" hidden="1" thickBot="1">
      <c r="A45" s="467"/>
      <c r="B45" s="1389"/>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2"/>
      <c r="Q45" s="1811">
        <f t="shared" si="14"/>
        <v>0</v>
      </c>
      <c r="R45" s="776" t="s">
        <v>17</v>
      </c>
      <c r="S45" s="777">
        <f t="shared" si="10"/>
        <v>100</v>
      </c>
      <c r="T45" s="776" t="s">
        <v>17</v>
      </c>
      <c r="U45" s="777">
        <f t="shared" si="11"/>
        <v>100</v>
      </c>
      <c r="V45" s="776" t="s">
        <v>17</v>
      </c>
      <c r="W45" s="777">
        <f t="shared" si="12"/>
        <v>100</v>
      </c>
      <c r="X45" s="778"/>
      <c r="Y45" s="3182"/>
      <c r="Z45" s="779">
        <f t="shared" si="13"/>
        <v>0</v>
      </c>
      <c r="AA45" s="1812">
        <f t="shared" si="3"/>
        <v>1</v>
      </c>
      <c r="AB45" s="1812">
        <f t="shared" si="4"/>
        <v>1</v>
      </c>
      <c r="AC45" s="1812">
        <f t="shared" si="5"/>
        <v>1</v>
      </c>
    </row>
    <row r="46" spans="1:29" ht="15">
      <c r="A46" s="478" t="s">
        <v>2702</v>
      </c>
      <c r="B46" s="2704" t="s">
        <v>2737</v>
      </c>
      <c r="C46" s="681" t="s">
        <v>1</v>
      </c>
      <c r="D46" s="480"/>
      <c r="E46" s="481">
        <v>18224.900000000001</v>
      </c>
      <c r="F46" s="482"/>
      <c r="G46" s="483">
        <v>16000</v>
      </c>
      <c r="H46" s="484"/>
      <c r="I46" s="481">
        <v>18000</v>
      </c>
      <c r="J46" s="484"/>
      <c r="K46" s="782"/>
      <c r="L46" s="1145"/>
      <c r="M46" s="1146"/>
      <c r="N46" s="1133"/>
      <c r="O46" s="1146"/>
      <c r="P46" s="3164" t="str">
        <f>A46</f>
        <v>成交单价</v>
      </c>
      <c r="Q46" s="3164"/>
      <c r="R46" s="3177">
        <f>E46</f>
        <v>18224.900000000001</v>
      </c>
      <c r="S46" s="3177"/>
      <c r="T46" s="3177">
        <f>G46</f>
        <v>16000</v>
      </c>
      <c r="U46" s="3177"/>
      <c r="V46" s="3177">
        <f>I46</f>
        <v>18000</v>
      </c>
      <c r="W46" s="3177"/>
      <c r="X46" s="758"/>
      <c r="Y46" s="780"/>
      <c r="Z46" s="758"/>
      <c r="AA46" s="758"/>
      <c r="AB46" s="758"/>
      <c r="AC46" s="758"/>
    </row>
    <row r="47" spans="1:29" ht="15.75" thickBot="1">
      <c r="A47" s="485" t="s">
        <v>2651</v>
      </c>
      <c r="B47" s="682"/>
      <c r="C47" s="489">
        <f>R48</f>
        <v>21533</v>
      </c>
      <c r="D47" s="488"/>
      <c r="E47" s="489">
        <f>R47</f>
        <v>22252</v>
      </c>
      <c r="F47" s="490"/>
      <c r="G47" s="487">
        <f>T47</f>
        <v>19668</v>
      </c>
      <c r="H47" s="488"/>
      <c r="I47" s="489">
        <f>V47</f>
        <v>22678</v>
      </c>
      <c r="J47" s="488"/>
      <c r="K47" s="783"/>
      <c r="L47" s="1145"/>
      <c r="M47" s="1146"/>
      <c r="N47" s="1146"/>
      <c r="O47" s="1146"/>
      <c r="P47" s="3164" t="str">
        <f>A47</f>
        <v>比较价值（元/平方米）</v>
      </c>
      <c r="Q47" s="3164"/>
      <c r="R47" s="3183">
        <f>ROUND(PRODUCT(R46,AA7:AA45),0)</f>
        <v>22252</v>
      </c>
      <c r="S47" s="3183"/>
      <c r="T47" s="3183">
        <f>ROUND(PRODUCT(T46,AB7:AB45),0)</f>
        <v>19668</v>
      </c>
      <c r="U47" s="3183"/>
      <c r="V47" s="3183">
        <f>ROUND(PRODUCT(V46,AC7:AC45),0)</f>
        <v>22678</v>
      </c>
      <c r="W47" s="3183"/>
      <c r="X47" s="758"/>
      <c r="Y47" s="758"/>
      <c r="Z47" s="758"/>
      <c r="AA47" s="758"/>
      <c r="AB47" s="758"/>
      <c r="AC47" s="758"/>
    </row>
    <row r="48" spans="1:29" ht="15.75" thickBot="1">
      <c r="A48" s="491" t="s">
        <v>2738</v>
      </c>
      <c r="B48" s="492"/>
      <c r="C48" s="493">
        <f>R48</f>
        <v>21533</v>
      </c>
      <c r="D48" s="493"/>
      <c r="E48" s="493"/>
      <c r="F48" s="493"/>
      <c r="G48" s="493"/>
      <c r="H48" s="493"/>
      <c r="I48" s="493"/>
      <c r="J48" s="493"/>
      <c r="K48" s="784"/>
      <c r="L48" s="1145"/>
      <c r="M48" s="1146"/>
      <c r="N48" s="1146"/>
      <c r="O48" s="1146"/>
      <c r="P48" s="3184" t="str">
        <f>A48</f>
        <v>估价对象XX用房的比较价值（楼面单价，元/平方米）</v>
      </c>
      <c r="Q48" s="3185"/>
      <c r="R48" s="3186">
        <f>ROUND(AVERAGE(R47:V47),0)</f>
        <v>21533</v>
      </c>
      <c r="S48" s="3186"/>
      <c r="T48" s="3186"/>
      <c r="U48" s="3186"/>
      <c r="V48" s="3186"/>
      <c r="W48" s="318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2653</v>
      </c>
      <c r="D51" s="497"/>
      <c r="E51" s="498">
        <f>IF(E46&lt;E47,E47/E46-1,E46/E47-1)</f>
        <v>0.22096691888570019</v>
      </c>
      <c r="F51" s="499" t="str">
        <f>IF(OR(E51&gt;=0.3,E51&lt;=-0.3),"超过30%","")</f>
        <v/>
      </c>
      <c r="G51" s="498">
        <f>IF(G46&lt;G47,G47/G46-1,G46/G47-1)</f>
        <v>0.22924999999999995</v>
      </c>
      <c r="H51" s="499" t="str">
        <f>IF(OR(G51&gt;=0.3,G51&lt;=-0.3),"超过30%","")</f>
        <v/>
      </c>
      <c r="I51" s="498">
        <f>IF(I46&lt;I47,I47/I46-1,I46/I47-1)</f>
        <v>0.25988888888888884</v>
      </c>
      <c r="J51" s="499" t="str">
        <f>IF(OR(I51&gt;=0.3,I51&lt;=-0.3),"超过30%","")</f>
        <v/>
      </c>
      <c r="K51" s="1107"/>
      <c r="L51" s="1108"/>
      <c r="M51" s="1146"/>
      <c r="N51" s="1146"/>
      <c r="O51" s="1146"/>
    </row>
    <row r="52" spans="1:15" ht="13.5" customHeight="1">
      <c r="A52" s="1146"/>
      <c r="B52" s="1146"/>
      <c r="C52" s="496" t="s">
        <v>2654</v>
      </c>
      <c r="D52" s="500"/>
      <c r="E52" s="498">
        <f>IF(E47&lt;G47,G47/E47-1,E47/G47-1)</f>
        <v>0.13138092332723206</v>
      </c>
      <c r="F52" s="499" t="str">
        <f>IF(OR(E52&gt;=0.2,E52&lt;=-0.2),"超过20%","")</f>
        <v/>
      </c>
      <c r="G52" s="498">
        <f>IF(G47&lt;I47,I47/G47-1,G47/I47-1)</f>
        <v>0.15304047183241809</v>
      </c>
      <c r="H52" s="499" t="str">
        <f>IF(OR(G52&gt;=0.2,G52&lt;=-0.2),"超过20%","")</f>
        <v/>
      </c>
      <c r="I52" s="498">
        <f>IF(I47&lt;E47,E47/I47-1,I47/E47-1)</f>
        <v>1.9144346575588722E-2</v>
      </c>
      <c r="J52" s="499" t="str">
        <f>IF(OR(I52&gt;=0.2,I52&lt;=-0.2),"超过20%","")</f>
        <v/>
      </c>
      <c r="K52" s="1107"/>
      <c r="L52" s="1108"/>
      <c r="M52" s="1146"/>
      <c r="N52" s="1146"/>
      <c r="O52" s="1146"/>
    </row>
    <row r="53" spans="1:15" s="501" customFormat="1" ht="13.5" customHeight="1">
      <c r="A53" s="1147"/>
      <c r="B53" s="1147"/>
      <c r="C53" s="496" t="s">
        <v>2655</v>
      </c>
      <c r="D53" s="500"/>
      <c r="E53" s="498">
        <f>IF(E46&lt;G46,G46/E46-1,E46/G46-1)</f>
        <v>0.1390562500000001</v>
      </c>
      <c r="F53" s="499" t="str">
        <f>IF(OR(E53&gt;=0.3,E53&lt;=-0.3),"超过30%","")</f>
        <v/>
      </c>
      <c r="G53" s="498">
        <f>IF(G46&lt;I46,I46/G46-1,G46/I46-1)</f>
        <v>0.125</v>
      </c>
      <c r="H53" s="499" t="str">
        <f>IF(OR(G53&gt;=0.3,G53&lt;=-0.3),"超过30%","")</f>
        <v/>
      </c>
      <c r="I53" s="498">
        <f>IF(I46&lt;E46,E46/I46-1,I46/E46-1)</f>
        <v>1.2494444444444586E-2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2739</v>
      </c>
      <c r="B55" s="684" t="s">
        <v>2740</v>
      </c>
      <c r="C55" s="2705" t="s">
        <v>2741</v>
      </c>
      <c r="D55" s="2706" t="s">
        <v>2742</v>
      </c>
      <c r="E55" s="685" t="s">
        <v>2743</v>
      </c>
      <c r="F55" s="1109" t="s">
        <v>2744</v>
      </c>
      <c r="G55" s="3165" t="s">
        <v>2745</v>
      </c>
      <c r="H55" s="3187"/>
      <c r="I55" s="143" t="s">
        <v>2746</v>
      </c>
      <c r="J55" s="2707">
        <f>项目基本情况!F35</f>
        <v>0</v>
      </c>
      <c r="K55" s="2708" t="s">
        <v>2747</v>
      </c>
      <c r="L55" s="1108"/>
      <c r="M55" s="1146"/>
      <c r="N55" s="1146"/>
      <c r="O55" s="1146"/>
    </row>
    <row r="56" spans="1:15" s="691" customFormat="1">
      <c r="A56" s="687" t="s">
        <v>2748</v>
      </c>
      <c r="B56" s="688">
        <f>C48</f>
        <v>21533</v>
      </c>
      <c r="C56" s="689">
        <v>1</v>
      </c>
      <c r="D56" s="1165">
        <v>1</v>
      </c>
      <c r="E56" s="689">
        <f>'数据-汇总表'!E8+'数据-汇总表'!E9</f>
        <v>162699</v>
      </c>
      <c r="F56" s="1105">
        <f t="shared" ref="F56:F65" si="15">ROUND(B56*E56/10000,0)</f>
        <v>350340</v>
      </c>
      <c r="G56" s="3188"/>
      <c r="H56" s="3164"/>
      <c r="I56" s="1110">
        <v>1</v>
      </c>
      <c r="J56" s="1113">
        <v>1</v>
      </c>
      <c r="K56" s="1147"/>
      <c r="L56" s="943"/>
      <c r="M56" s="943"/>
      <c r="N56" s="943"/>
      <c r="O56" s="943"/>
    </row>
    <row r="57" spans="1:15" s="691" customFormat="1">
      <c r="A57" s="692" t="s">
        <v>2749</v>
      </c>
      <c r="B57" s="261">
        <f>ROUND($C$48*C57*D57,0)</f>
        <v>3230</v>
      </c>
      <c r="C57" s="199">
        <f t="shared" ref="C57:C65" si="16">IF($C$55="北京市系数",I57,J57)</f>
        <v>0.6</v>
      </c>
      <c r="D57" s="1166">
        <v>0.25</v>
      </c>
      <c r="E57" s="693"/>
      <c r="F57" s="1105">
        <f t="shared" si="15"/>
        <v>0</v>
      </c>
      <c r="G57" s="3189" t="s">
        <v>2750</v>
      </c>
      <c r="H57" s="1106" t="str">
        <f>项目基本情况!B37</f>
        <v>八级</v>
      </c>
      <c r="I57" s="1110">
        <f>SUMIF(修正!A45:A56,H57,修正!B45:B56)</f>
        <v>0.6</v>
      </c>
      <c r="J57" s="1114"/>
      <c r="K57" s="1146"/>
      <c r="L57" s="943"/>
      <c r="M57" s="943"/>
      <c r="N57" s="943"/>
      <c r="O57" s="943"/>
    </row>
    <row r="58" spans="1:15" s="691" customFormat="1">
      <c r="A58" s="692" t="s">
        <v>2751</v>
      </c>
      <c r="B58" s="261">
        <f t="shared" ref="B58:B65" si="17">ROUND($C$48*C58*D58,0)</f>
        <v>1615</v>
      </c>
      <c r="C58" s="199">
        <f t="shared" si="16"/>
        <v>0.3</v>
      </c>
      <c r="D58" s="1166">
        <v>0.25</v>
      </c>
      <c r="E58" s="693"/>
      <c r="F58" s="1105">
        <f t="shared" si="15"/>
        <v>0</v>
      </c>
      <c r="G58" s="3189"/>
      <c r="H58" s="1106" t="str">
        <f>项目基本情况!B37</f>
        <v>八级</v>
      </c>
      <c r="I58" s="1110">
        <f>SUMIF(修正!A45:A56,H58,修正!C45:C56)</f>
        <v>0.3</v>
      </c>
      <c r="J58" s="1114"/>
      <c r="K58" s="1147"/>
      <c r="L58" s="943"/>
      <c r="M58" s="943"/>
      <c r="N58" s="943"/>
      <c r="O58" s="943"/>
    </row>
    <row r="59" spans="1:15" s="691" customFormat="1">
      <c r="A59" s="692" t="s">
        <v>2752</v>
      </c>
      <c r="B59" s="261">
        <f t="shared" si="17"/>
        <v>1077</v>
      </c>
      <c r="C59" s="199">
        <f t="shared" si="16"/>
        <v>0.2</v>
      </c>
      <c r="D59" s="1166">
        <v>0.25</v>
      </c>
      <c r="E59" s="693"/>
      <c r="F59" s="1105">
        <f t="shared" si="15"/>
        <v>0</v>
      </c>
      <c r="G59" s="3189"/>
      <c r="H59" s="1106" t="str">
        <f>项目基本情况!B37</f>
        <v>八级</v>
      </c>
      <c r="I59" s="1110">
        <f>SUMIF(修正!A45:A56,H59,修正!D45:D56)</f>
        <v>0.2</v>
      </c>
      <c r="J59" s="1114"/>
      <c r="K59" s="1146"/>
      <c r="L59" s="943"/>
      <c r="M59" s="943"/>
      <c r="N59" s="943"/>
      <c r="O59" s="943"/>
    </row>
    <row r="60" spans="1:15" s="691" customFormat="1">
      <c r="A60" s="692" t="s">
        <v>2753</v>
      </c>
      <c r="B60" s="261">
        <f t="shared" si="17"/>
        <v>1077</v>
      </c>
      <c r="C60" s="199">
        <f t="shared" si="16"/>
        <v>0.2</v>
      </c>
      <c r="D60" s="1166">
        <v>0.25</v>
      </c>
      <c r="E60" s="693"/>
      <c r="F60" s="1105">
        <f t="shared" si="15"/>
        <v>0</v>
      </c>
      <c r="G60" s="3189"/>
      <c r="H60" s="1106" t="str">
        <f>项目基本情况!B37</f>
        <v>八级</v>
      </c>
      <c r="I60" s="1110">
        <f>SUMIF(修正!A45:A56,H60,修正!E45:E56)</f>
        <v>0.2</v>
      </c>
      <c r="J60" s="1114"/>
      <c r="K60" s="1147"/>
      <c r="L60" s="943"/>
      <c r="M60" s="943"/>
      <c r="N60" s="943"/>
      <c r="O60" s="943"/>
    </row>
    <row r="61" spans="1:15" s="691" customFormat="1">
      <c r="A61" s="692" t="s">
        <v>2754</v>
      </c>
      <c r="B61" s="261">
        <f t="shared" si="17"/>
        <v>1077</v>
      </c>
      <c r="C61" s="199">
        <f t="shared" si="16"/>
        <v>0.2</v>
      </c>
      <c r="D61" s="1166">
        <v>0.25</v>
      </c>
      <c r="E61" s="260">
        <f>'数据-汇总表'!E11</f>
        <v>0</v>
      </c>
      <c r="F61" s="1105">
        <f t="shared" si="15"/>
        <v>0</v>
      </c>
      <c r="G61" s="2709" t="s">
        <v>2755</v>
      </c>
      <c r="H61" s="1106" t="str">
        <f>项目基本情况!C37</f>
        <v>八级</v>
      </c>
      <c r="I61" s="1110">
        <f>SUMIF(修正!A45:A56,H61,修正!F45:F56)</f>
        <v>0.2</v>
      </c>
      <c r="J61" s="1114"/>
      <c r="K61" s="1146"/>
      <c r="L61" s="943"/>
      <c r="M61" s="943"/>
      <c r="N61" s="943"/>
      <c r="O61" s="943"/>
    </row>
    <row r="62" spans="1:15" s="691" customFormat="1">
      <c r="A62" s="692" t="s">
        <v>2756</v>
      </c>
      <c r="B62" s="261">
        <f t="shared" si="17"/>
        <v>1077</v>
      </c>
      <c r="C62" s="199">
        <f t="shared" si="16"/>
        <v>0.2</v>
      </c>
      <c r="D62" s="1166">
        <v>0.25</v>
      </c>
      <c r="E62" s="260">
        <f>'数据-汇总表'!E12</f>
        <v>0</v>
      </c>
      <c r="F62" s="1105">
        <f t="shared" si="15"/>
        <v>0</v>
      </c>
      <c r="G62" s="1111" t="s">
        <v>2757</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2758</v>
      </c>
      <c r="B63" s="261">
        <f t="shared" si="17"/>
        <v>807</v>
      </c>
      <c r="C63" s="199">
        <f t="shared" si="16"/>
        <v>0.15</v>
      </c>
      <c r="D63" s="1166">
        <v>0.25</v>
      </c>
      <c r="E63" s="260">
        <f>'数据-汇总表'!E13</f>
        <v>26841</v>
      </c>
      <c r="F63" s="1105">
        <f t="shared" si="15"/>
        <v>2166</v>
      </c>
      <c r="G63" s="1111" t="s">
        <v>2759</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2760</v>
      </c>
      <c r="B64" s="261">
        <f t="shared" si="17"/>
        <v>807</v>
      </c>
      <c r="C64" s="199">
        <f t="shared" si="16"/>
        <v>0.15</v>
      </c>
      <c r="D64" s="1166">
        <v>0.25</v>
      </c>
      <c r="E64" s="260">
        <f>'数据-汇总表'!E14</f>
        <v>0</v>
      </c>
      <c r="F64" s="1105">
        <f t="shared" si="15"/>
        <v>0</v>
      </c>
      <c r="G64" s="2709" t="s">
        <v>2750</v>
      </c>
      <c r="H64" s="1106" t="str">
        <f>项目基本情况!B37</f>
        <v>八级</v>
      </c>
      <c r="I64" s="1110">
        <f>SUMIF(修正!A45:A56,H64,修正!H45:H56)</f>
        <v>0.15</v>
      </c>
      <c r="J64" s="1114"/>
      <c r="K64" s="1147"/>
      <c r="L64" s="943"/>
      <c r="M64" s="943"/>
      <c r="N64" s="943"/>
      <c r="O64" s="943"/>
    </row>
    <row r="65" spans="1:17" s="691" customFormat="1" ht="15" thickBot="1">
      <c r="A65" s="692" t="s">
        <v>2761</v>
      </c>
      <c r="B65" s="261">
        <f t="shared" si="17"/>
        <v>807</v>
      </c>
      <c r="C65" s="199">
        <f t="shared" si="16"/>
        <v>0.15</v>
      </c>
      <c r="D65" s="1166">
        <v>0.25</v>
      </c>
      <c r="E65" s="260">
        <f>'数据-汇总表'!E15</f>
        <v>0</v>
      </c>
      <c r="F65" s="1105">
        <f t="shared" si="15"/>
        <v>0</v>
      </c>
      <c r="G65" s="2710" t="s">
        <v>2755</v>
      </c>
      <c r="H65" s="1116" t="str">
        <f>项目基本情况!C37</f>
        <v>八级</v>
      </c>
      <c r="I65" s="1112">
        <f>SUMIF(修正!A45:A56,H65,修正!H45:H56)</f>
        <v>0.15</v>
      </c>
      <c r="J65" s="1115"/>
      <c r="K65" s="1146"/>
      <c r="L65" s="943"/>
      <c r="M65" s="943"/>
      <c r="N65" s="943"/>
      <c r="O65" s="943"/>
    </row>
    <row r="66" spans="1:17" s="691" customFormat="1" ht="13.5" thickBot="1">
      <c r="A66" s="694" t="s">
        <v>2762</v>
      </c>
      <c r="B66" s="695" t="s">
        <v>28</v>
      </c>
      <c r="C66" s="695" t="s">
        <v>29</v>
      </c>
      <c r="D66" s="695" t="s">
        <v>1028</v>
      </c>
      <c r="E66" s="695">
        <f>IF(B46="楼面地价",SUM(E56:E65),'数据-汇总表'!D3)</f>
        <v>189540</v>
      </c>
      <c r="F66" s="696">
        <f>IF(B46="楼面地价",SUM(F56:F65),ROUND(C48*E66/10000,0))</f>
        <v>352506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2017-9-1</v>
      </c>
      <c r="D68" s="760">
        <f>EDATE(C68,-3)</f>
        <v>42887</v>
      </c>
      <c r="E68" s="760">
        <f>EDATE(D68,-3)</f>
        <v>42795</v>
      </c>
      <c r="F68" s="760">
        <f t="shared" ref="F68:O68" si="18">EDATE(E68,-3)</f>
        <v>42705</v>
      </c>
      <c r="G68" s="760">
        <f t="shared" si="18"/>
        <v>42614</v>
      </c>
      <c r="H68" s="760">
        <f t="shared" si="18"/>
        <v>42522</v>
      </c>
      <c r="I68" s="760">
        <f t="shared" si="18"/>
        <v>42430</v>
      </c>
      <c r="J68" s="760">
        <f t="shared" si="18"/>
        <v>42339</v>
      </c>
      <c r="K68" s="760">
        <f t="shared" si="18"/>
        <v>42248</v>
      </c>
      <c r="L68" s="760">
        <f t="shared" si="18"/>
        <v>42156</v>
      </c>
      <c r="M68" s="760">
        <f t="shared" si="18"/>
        <v>42064</v>
      </c>
      <c r="N68" s="760">
        <f t="shared" si="18"/>
        <v>41974</v>
      </c>
      <c r="O68" s="760">
        <f t="shared" si="18"/>
        <v>41883</v>
      </c>
    </row>
    <row r="69" spans="1:17" ht="21.75" thickBot="1">
      <c r="A69" s="762" t="s">
        <v>2656</v>
      </c>
      <c r="B69" s="758"/>
      <c r="C69" s="763"/>
      <c r="D69" s="763"/>
      <c r="E69" s="763"/>
      <c r="F69" s="764"/>
      <c r="G69" s="764"/>
      <c r="H69" s="763"/>
      <c r="I69" s="763"/>
      <c r="J69" s="1161"/>
      <c r="K69" s="1162"/>
      <c r="L69" s="1163"/>
      <c r="M69" s="1161"/>
      <c r="N69" s="1161"/>
      <c r="O69" s="1161"/>
      <c r="P69" s="502"/>
      <c r="Q69" s="503"/>
    </row>
    <row r="70" spans="1:17" s="507" customFormat="1" ht="15">
      <c r="A70" s="2711" t="s">
        <v>2763</v>
      </c>
      <c r="B70" s="1361"/>
      <c r="C70" s="1573" t="str">
        <f>YEAR(C68)&amp;"-"&amp;ROUNDUP(MONTH(C68)/3,0)</f>
        <v>2017-3</v>
      </c>
      <c r="D70" s="1573" t="str">
        <f>YEAR(D68)&amp;"-"&amp;ROUNDUP(MONTH(D68)/3,0)</f>
        <v>2017-2</v>
      </c>
      <c r="E70" s="1573" t="str">
        <f t="shared" ref="E70:O70" si="19">YEAR(E68)&amp;"-"&amp;ROUNDUP(MONTH(E68)/3,0)</f>
        <v>2017-1</v>
      </c>
      <c r="F70" s="1573" t="str">
        <f t="shared" si="19"/>
        <v>2016-4</v>
      </c>
      <c r="G70" s="1573" t="str">
        <f t="shared" si="19"/>
        <v>2016-3</v>
      </c>
      <c r="H70" s="1573" t="str">
        <f t="shared" si="19"/>
        <v>2016-2</v>
      </c>
      <c r="I70" s="1573" t="str">
        <f t="shared" si="19"/>
        <v>2016-1</v>
      </c>
      <c r="J70" s="1573" t="str">
        <f t="shared" si="19"/>
        <v>2015-4</v>
      </c>
      <c r="K70" s="1573" t="str">
        <f t="shared" si="19"/>
        <v>2015-3</v>
      </c>
      <c r="L70" s="1573" t="str">
        <f t="shared" si="19"/>
        <v>2015-2</v>
      </c>
      <c r="M70" s="1573" t="str">
        <f t="shared" si="19"/>
        <v>2015-1</v>
      </c>
      <c r="N70" s="1573" t="str">
        <f t="shared" si="19"/>
        <v>2014-4</v>
      </c>
      <c r="O70" s="1573" t="str">
        <f t="shared" si="19"/>
        <v>2014-3</v>
      </c>
      <c r="P70" s="506"/>
    </row>
    <row r="71" spans="1:17" s="116" customFormat="1" ht="30" customHeight="1">
      <c r="A71" s="2712" t="s">
        <v>1373</v>
      </c>
      <c r="B71" s="331" t="str">
        <f>"北京市平均增长率"&amp;TEXT(SUMIF('基准地价修正-居住'!N21:N25,A71,'基准地价修正-居住'!P21:P25),"0.00%")</f>
        <v>北京市平均增长率1.64%</v>
      </c>
      <c r="C71" s="602">
        <v>100</v>
      </c>
      <c r="D71" s="594">
        <v>98.5</v>
      </c>
      <c r="E71" s="594">
        <v>97</v>
      </c>
      <c r="F71" s="594">
        <v>95.5</v>
      </c>
      <c r="G71" s="594">
        <v>94</v>
      </c>
      <c r="H71" s="594">
        <v>92.5</v>
      </c>
      <c r="I71" s="594">
        <v>91</v>
      </c>
      <c r="J71" s="594">
        <v>89.5</v>
      </c>
      <c r="K71" s="594">
        <v>88</v>
      </c>
      <c r="L71" s="594">
        <v>86.5</v>
      </c>
      <c r="M71" s="594">
        <v>85</v>
      </c>
      <c r="N71" s="594">
        <v>83.5</v>
      </c>
      <c r="O71" s="594">
        <v>82</v>
      </c>
      <c r="P71" s="503"/>
    </row>
    <row r="72" spans="1:17" s="116" customFormat="1" ht="15.75" thickBot="1">
      <c r="A72" s="514" t="s">
        <v>2567</v>
      </c>
      <c r="B72" s="515"/>
      <c r="C72" s="516"/>
      <c r="D72" s="517"/>
      <c r="E72" s="517"/>
      <c r="F72" s="517"/>
      <c r="G72" s="517"/>
      <c r="H72" s="517"/>
      <c r="I72" s="517"/>
      <c r="J72" s="517"/>
      <c r="K72" s="517"/>
      <c r="L72" s="517"/>
      <c r="M72" s="518"/>
      <c r="N72" s="517"/>
      <c r="O72" s="1164"/>
      <c r="P72" s="503"/>
      <c r="Q72" s="503"/>
    </row>
    <row r="73" spans="1:17" s="116" customFormat="1" ht="15">
      <c r="A73" s="520" t="s">
        <v>2532</v>
      </c>
      <c r="B73" s="509"/>
      <c r="C73" s="521" t="s">
        <v>2634</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2570</v>
      </c>
      <c r="B75" s="527" t="s">
        <v>2536</v>
      </c>
      <c r="C75" s="2957" t="s">
        <v>3061</v>
      </c>
      <c r="D75" s="2957" t="s">
        <v>3062</v>
      </c>
      <c r="E75" s="529"/>
      <c r="F75" s="529"/>
      <c r="G75" s="529"/>
      <c r="H75" s="529"/>
      <c r="I75" s="529"/>
      <c r="J75" s="529"/>
      <c r="K75" s="530"/>
      <c r="L75" s="531"/>
      <c r="M75" s="532"/>
      <c r="N75" s="1154"/>
      <c r="O75" s="1154"/>
      <c r="P75" s="45"/>
      <c r="Q75" s="503"/>
    </row>
    <row r="76" spans="1:17" ht="15.75" thickBot="1">
      <c r="A76" s="533"/>
      <c r="B76" s="534"/>
      <c r="C76" s="535">
        <v>100</v>
      </c>
      <c r="D76" s="535">
        <v>100</v>
      </c>
      <c r="E76" s="535"/>
      <c r="F76" s="535"/>
      <c r="G76" s="535"/>
      <c r="H76" s="535"/>
      <c r="I76" s="535"/>
      <c r="J76" s="535"/>
      <c r="K76" s="535"/>
      <c r="L76" s="535"/>
      <c r="M76" s="536"/>
      <c r="N76" s="1155"/>
      <c r="O76" s="1155"/>
      <c r="P76" s="45"/>
      <c r="Q76" s="503"/>
    </row>
    <row r="77" spans="1:17" ht="27.75" thickTop="1">
      <c r="A77" s="533"/>
      <c r="B77" s="537" t="s">
        <v>2539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2540</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94</v>
      </c>
      <c r="E81" s="543">
        <f t="shared" si="21"/>
        <v>88</v>
      </c>
      <c r="F81" s="543">
        <f t="shared" si="21"/>
        <v>82</v>
      </c>
      <c r="G81" s="543">
        <f t="shared" si="21"/>
        <v>76</v>
      </c>
      <c r="H81" s="543">
        <f t="shared" si="21"/>
        <v>70</v>
      </c>
      <c r="I81" s="543">
        <f t="shared" si="21"/>
        <v>64</v>
      </c>
      <c r="J81" s="543">
        <f t="shared" si="21"/>
        <v>58</v>
      </c>
      <c r="K81" s="543">
        <f t="shared" si="21"/>
        <v>52</v>
      </c>
      <c r="L81" s="543">
        <f t="shared" si="21"/>
        <v>46</v>
      </c>
      <c r="M81" s="543">
        <f t="shared" si="21"/>
        <v>40</v>
      </c>
      <c r="N81" s="1155"/>
      <c r="O81" s="1155"/>
      <c r="P81" s="45"/>
      <c r="Q81" s="503"/>
    </row>
    <row r="82" spans="1:17" s="470" customFormat="1" ht="15.75" thickTop="1">
      <c r="A82" s="552"/>
      <c r="B82" s="537">
        <f>B12</f>
        <v>0</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0</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0</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2541</v>
      </c>
      <c r="B88" s="527" t="s">
        <v>2578</v>
      </c>
      <c r="C88" s="572" t="s">
        <v>2579</v>
      </c>
      <c r="D88" s="572" t="s">
        <v>2580</v>
      </c>
      <c r="E88" s="572" t="s">
        <v>2581</v>
      </c>
      <c r="F88" s="572" t="s">
        <v>2582</v>
      </c>
      <c r="G88" s="572" t="s">
        <v>2583</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2764</v>
      </c>
      <c r="C90" s="577" t="s">
        <v>2579</v>
      </c>
      <c r="D90" s="577" t="s">
        <v>2580</v>
      </c>
      <c r="E90" s="577" t="s">
        <v>2581</v>
      </c>
      <c r="F90" s="577" t="s">
        <v>2582</v>
      </c>
      <c r="G90" s="577" t="s">
        <v>2583</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2679</v>
      </c>
      <c r="C92" s="577" t="s">
        <v>2579</v>
      </c>
      <c r="D92" s="577" t="s">
        <v>2580</v>
      </c>
      <c r="E92" s="577" t="s">
        <v>2581</v>
      </c>
      <c r="F92" s="577" t="s">
        <v>2582</v>
      </c>
      <c r="G92" s="577" t="s">
        <v>2583</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2584</v>
      </c>
      <c r="C94" s="577" t="s">
        <v>2579</v>
      </c>
      <c r="D94" s="577" t="s">
        <v>2580</v>
      </c>
      <c r="E94" s="577" t="s">
        <v>2581</v>
      </c>
      <c r="F94" s="577" t="s">
        <v>2582</v>
      </c>
      <c r="G94" s="577" t="s">
        <v>2583</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2765</v>
      </c>
      <c r="C96" s="577" t="s">
        <v>2579</v>
      </c>
      <c r="D96" s="577" t="s">
        <v>2580</v>
      </c>
      <c r="E96" s="577" t="s">
        <v>2581</v>
      </c>
      <c r="F96" s="577" t="s">
        <v>2582</v>
      </c>
      <c r="G96" s="577" t="s">
        <v>2583</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2766</v>
      </c>
      <c r="C98" s="572" t="s">
        <v>2579</v>
      </c>
      <c r="D98" s="572" t="s">
        <v>2580</v>
      </c>
      <c r="E98" s="572" t="s">
        <v>2581</v>
      </c>
      <c r="F98" s="572" t="s">
        <v>2582</v>
      </c>
      <c r="G98" s="572" t="s">
        <v>2583</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2636</v>
      </c>
      <c r="C100" s="572" t="s">
        <v>2579</v>
      </c>
      <c r="D100" s="572" t="s">
        <v>2580</v>
      </c>
      <c r="E100" s="572" t="s">
        <v>2581</v>
      </c>
      <c r="F100" s="572" t="s">
        <v>2582</v>
      </c>
      <c r="G100" s="572" t="s">
        <v>2583</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2637</v>
      </c>
      <c r="C102" s="659" t="s">
        <v>2657</v>
      </c>
      <c r="D102" s="659" t="s">
        <v>2658</v>
      </c>
      <c r="E102" s="659" t="s">
        <v>2659</v>
      </c>
      <c r="F102" s="659" t="s">
        <v>2660</v>
      </c>
      <c r="G102" s="659" t="s">
        <v>2661</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2767</v>
      </c>
      <c r="D104" s="538" t="s">
        <v>2768</v>
      </c>
      <c r="E104" s="538" t="s">
        <v>2769</v>
      </c>
      <c r="F104" s="538" t="s">
        <v>2770</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2673</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2731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5"/>
      <c r="O109" s="1155"/>
      <c r="P109" s="45"/>
      <c r="Q109" s="503"/>
    </row>
    <row r="110" spans="1:17" ht="15.75" thickTop="1">
      <c r="A110" s="533"/>
      <c r="B110" s="545">
        <f>B35</f>
        <v>0</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0</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2545</v>
      </c>
      <c r="B116" s="527" t="s">
        <v>2771</v>
      </c>
      <c r="C116" s="528" t="str">
        <f>C117&amp;"(含)"&amp;"-"&amp;D117</f>
        <v>0(含)-5000</v>
      </c>
      <c r="D116" s="528" t="str">
        <f t="shared" ref="D116:M116" si="25">D117&amp;"(含)"&amp;"-"&amp;E117</f>
        <v>5000(含)-10000</v>
      </c>
      <c r="E116" s="528" t="str">
        <f t="shared" si="25"/>
        <v>10000(含)-20000</v>
      </c>
      <c r="F116" s="528" t="str">
        <f t="shared" si="25"/>
        <v>20000(含)-30000</v>
      </c>
      <c r="G116" s="528" t="str">
        <f t="shared" si="25"/>
        <v>30000(含)-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30000</v>
      </c>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5"/>
      <c r="O118" s="1155"/>
      <c r="P118" s="45"/>
      <c r="Q118" s="503"/>
    </row>
    <row r="119" spans="1:17" ht="15" thickTop="1">
      <c r="A119" s="598"/>
      <c r="B119" s="537" t="s">
        <v>2772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2773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2775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0</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0</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1" sqref="I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1586</v>
      </c>
      <c r="B1" s="781"/>
      <c r="C1" s="1838" t="s">
        <v>3109</v>
      </c>
      <c r="D1" s="1821" t="s">
        <v>3144</v>
      </c>
      <c r="E1" s="1822" t="s">
        <v>1383</v>
      </c>
      <c r="F1" s="1285">
        <f>J53</f>
        <v>60</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1512</v>
      </c>
      <c r="B2" s="1845">
        <f ca="1">C40+J29+L46</f>
        <v>83062</v>
      </c>
      <c r="C2" s="1846" t="s">
        <v>1513</v>
      </c>
      <c r="D2" s="1846"/>
      <c r="E2" s="1847"/>
      <c r="F2" s="1848"/>
      <c r="G2" s="1849"/>
      <c r="H2" s="1841"/>
      <c r="I2" s="1841"/>
      <c r="J2" s="1841"/>
      <c r="K2" s="1842"/>
      <c r="L2" s="1841"/>
      <c r="M2" s="1841"/>
    </row>
    <row r="3" spans="1:37" ht="18" customHeight="1" thickBot="1">
      <c r="A3" s="1850" t="s">
        <v>1514</v>
      </c>
      <c r="B3" s="1851">
        <f ca="1">IF(ISERROR(B2*10000/F43),0,ROUND(B2*10000/F43,0))</f>
        <v>6064</v>
      </c>
      <c r="C3" s="1846" t="s">
        <v>1515</v>
      </c>
      <c r="D3" s="1846"/>
      <c r="E3" s="1847"/>
      <c r="F3" s="1848"/>
      <c r="G3" s="1849"/>
      <c r="H3" s="743" t="s">
        <v>1585</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5309</v>
      </c>
      <c r="D5" s="1823" t="s">
        <v>1398</v>
      </c>
      <c r="E5" s="1295"/>
      <c r="F5" s="1296"/>
      <c r="G5" s="1852"/>
      <c r="H5" s="343">
        <v>1</v>
      </c>
      <c r="I5" s="344" t="s">
        <v>1397</v>
      </c>
      <c r="J5" s="1294">
        <f ca="1">J6+J10+J12</f>
        <v>0</v>
      </c>
      <c r="K5" s="1823" t="s">
        <v>1398</v>
      </c>
      <c r="L5" s="1295"/>
      <c r="M5" s="1296"/>
    </row>
    <row r="6" spans="1:37" ht="18" customHeight="1">
      <c r="A6" s="1293" t="s">
        <v>1034</v>
      </c>
      <c r="B6" s="3192" t="s">
        <v>1399</v>
      </c>
      <c r="C6" s="1298">
        <f ca="1">ROUND(F6*F8*F7*(1-F9)/10000,0)</f>
        <v>5309</v>
      </c>
      <c r="D6" s="163" t="s">
        <v>3014</v>
      </c>
      <c r="E6" s="346" t="s">
        <v>1401</v>
      </c>
      <c r="F6" s="347">
        <f ca="1">INDIRECT("'数据-取费表'!u"&amp;$G$1)</f>
        <v>34</v>
      </c>
      <c r="G6" s="1852"/>
      <c r="H6" s="1293" t="s">
        <v>1034</v>
      </c>
      <c r="I6" s="3192" t="s">
        <v>1399</v>
      </c>
      <c r="J6" s="345">
        <f ca="1">ROUND(M6*M8*M7*(1-M9)/10000,0)</f>
        <v>0</v>
      </c>
      <c r="K6" s="163" t="s">
        <v>3013</v>
      </c>
      <c r="L6" s="346" t="s">
        <v>1401</v>
      </c>
      <c r="M6" s="347">
        <f ca="1">INDIRECT("'数据-取费表'!z"&amp;$G$1)</f>
        <v>0</v>
      </c>
    </row>
    <row r="7" spans="1:37" ht="18" customHeight="1">
      <c r="A7" s="1297"/>
      <c r="B7" s="3193"/>
      <c r="C7" s="1299"/>
      <c r="D7" s="351"/>
      <c r="E7" s="1300" t="s">
        <v>1402</v>
      </c>
      <c r="F7" s="347">
        <f ca="1">IF(INDIRECT("'数据-取费表'!ah"&amp;$G$1)="",INDIRECT("'数据-取费表'!k"&amp;$G$1),INDIRECT("'数据-取费表'!ah"&amp;$G$1))</f>
        <v>136969</v>
      </c>
      <c r="G7" s="1852"/>
      <c r="H7" s="348"/>
      <c r="I7" s="3193"/>
      <c r="J7" s="350"/>
      <c r="K7" s="351"/>
      <c r="L7" s="346" t="s">
        <v>1402</v>
      </c>
      <c r="M7" s="347">
        <f ca="1">F7</f>
        <v>136969</v>
      </c>
    </row>
    <row r="8" spans="1:37" ht="18" customHeight="1">
      <c r="A8" s="348"/>
      <c r="B8" s="3193"/>
      <c r="C8" s="350"/>
      <c r="D8" s="351"/>
      <c r="E8" s="346" t="s">
        <v>1403</v>
      </c>
      <c r="F8" s="347">
        <f ca="1">INDIRECT("'数据-取费表'!ai"&amp;$G$1)</f>
        <v>12</v>
      </c>
      <c r="G8" s="1852"/>
      <c r="H8" s="348"/>
      <c r="I8" s="3193"/>
      <c r="J8" s="350"/>
      <c r="K8" s="351"/>
      <c r="L8" s="346" t="s">
        <v>1403</v>
      </c>
      <c r="M8" s="347">
        <f ca="1">INDIRECT("'数据-取费表'!ai"&amp;$G$1)</f>
        <v>12</v>
      </c>
    </row>
    <row r="9" spans="1:37" ht="18" customHeight="1">
      <c r="A9" s="348"/>
      <c r="B9" s="3194"/>
      <c r="C9" s="350"/>
      <c r="D9" s="351"/>
      <c r="E9" s="346" t="s">
        <v>1404</v>
      </c>
      <c r="F9" s="356">
        <f ca="1">INDIRECT("'数据-取费表'!w"&amp;$G$1)</f>
        <v>0.05</v>
      </c>
      <c r="G9" s="1852"/>
      <c r="H9" s="348"/>
      <c r="I9" s="3194"/>
      <c r="J9" s="350"/>
      <c r="K9" s="351"/>
      <c r="L9" s="357" t="s">
        <v>1404</v>
      </c>
      <c r="M9" s="358">
        <f ca="1">INDIRECT("'数据-取费表'!ab"&amp;$G$1)</f>
        <v>0</v>
      </c>
    </row>
    <row r="10" spans="1:37" ht="18" customHeight="1">
      <c r="A10" s="1293" t="s">
        <v>1038</v>
      </c>
      <c r="B10" s="1824" t="s">
        <v>1405</v>
      </c>
      <c r="C10" s="360">
        <f ca="1">ROUND(IF(F10="押一",F6*F8*F7/12*F11,IF(F10="押二",F6*F8*F7/12*2*F11,IF(F10="押三",F6*F8*F7/12*3*F11,C11*F11)))/10000,0)</f>
        <v>0</v>
      </c>
      <c r="D10" s="1825" t="s">
        <v>3015</v>
      </c>
      <c r="E10" s="357" t="s">
        <v>1407</v>
      </c>
      <c r="F10" s="1368" t="s">
        <v>3149</v>
      </c>
      <c r="G10" s="1852"/>
      <c r="H10" s="1293" t="s">
        <v>1038</v>
      </c>
      <c r="I10" s="1824" t="s">
        <v>1405</v>
      </c>
      <c r="J10" s="345">
        <f ca="1">ROUND(IF(M10="押一",M6*M8*M7/12*M11,IF(M10="押二",M6*M8*M7/12*2*M11,IF(M10="押三",M6*M8*M7/12*3*M11,J11*M11)))/10000,0)</f>
        <v>0</v>
      </c>
      <c r="K10" s="1825" t="s">
        <v>3016</v>
      </c>
      <c r="L10" s="357" t="s">
        <v>1407</v>
      </c>
      <c r="M10" s="1368" t="s">
        <v>1408</v>
      </c>
    </row>
    <row r="11" spans="1:37" ht="18" customHeight="1">
      <c r="A11" s="352"/>
      <c r="B11" s="1826" t="s">
        <v>1384</v>
      </c>
      <c r="C11" s="1180"/>
      <c r="D11" s="1827"/>
      <c r="E11" s="357" t="s">
        <v>1409</v>
      </c>
      <c r="F11" s="358">
        <f ca="1">'数据-取费表'!B39</f>
        <v>1.4999999999999999E-2</v>
      </c>
      <c r="G11" s="1852"/>
      <c r="H11" s="1301"/>
      <c r="I11" s="1826" t="s">
        <v>1384</v>
      </c>
      <c r="J11" s="1180"/>
      <c r="K11" s="747"/>
      <c r="L11" s="357" t="s">
        <v>1409</v>
      </c>
      <c r="M11" s="1058">
        <f ca="1">'数据-取费表'!B39</f>
        <v>1.4999999999999999E-2</v>
      </c>
    </row>
    <row r="12" spans="1:37" ht="18" customHeight="1" thickBot="1">
      <c r="A12" s="1335" t="s">
        <v>1074</v>
      </c>
      <c r="B12" s="1828" t="s">
        <v>1410</v>
      </c>
      <c r="C12" s="1336"/>
      <c r="D12" s="1337"/>
      <c r="E12" s="1342"/>
      <c r="F12" s="1338"/>
      <c r="G12" s="1852"/>
      <c r="H12" s="1335" t="s">
        <v>1074</v>
      </c>
      <c r="I12" s="1828" t="s">
        <v>1410</v>
      </c>
      <c r="J12" s="1336"/>
      <c r="K12" s="1350"/>
      <c r="L12" s="1342"/>
      <c r="M12" s="1351"/>
    </row>
    <row r="13" spans="1:37" ht="18" customHeight="1" thickTop="1">
      <c r="A13" s="1331">
        <v>2</v>
      </c>
      <c r="B13" s="1332" t="s">
        <v>1411</v>
      </c>
      <c r="C13" s="354">
        <f ca="1">ROUND(C29*F13,0)</f>
        <v>52621</v>
      </c>
      <c r="D13" s="1333" t="s">
        <v>1412</v>
      </c>
      <c r="E13" s="1333" t="s">
        <v>1413</v>
      </c>
      <c r="F13" s="1334">
        <f ca="1">INDIRECT("'数据-取费表'!y"&amp;$G$1)</f>
        <v>1</v>
      </c>
      <c r="G13" s="1852"/>
      <c r="H13" s="1331">
        <v>2</v>
      </c>
      <c r="I13" s="1332" t="s">
        <v>1411</v>
      </c>
      <c r="J13" s="1292">
        <f ca="1">ROUND(J14*J15,0)</f>
        <v>0</v>
      </c>
      <c r="K13" s="1339" t="s">
        <v>1412</v>
      </c>
      <c r="L13" s="1853"/>
      <c r="M13" s="1854"/>
    </row>
    <row r="14" spans="1:37" ht="18" customHeight="1">
      <c r="A14" s="1203" t="s">
        <v>1033</v>
      </c>
      <c r="B14" s="346" t="s">
        <v>1414</v>
      </c>
      <c r="C14" s="362">
        <f ca="1">INDIRECT("'数据-取费表'!m"&amp;$G$1)+INDIRECT("'数据-取费表'!t"&amp;$G$1)</f>
        <v>37972</v>
      </c>
      <c r="D14" s="1801" t="s">
        <v>1415</v>
      </c>
      <c r="E14" s="1795"/>
      <c r="F14" s="363"/>
      <c r="G14" s="1852"/>
      <c r="H14" s="1203" t="s">
        <v>1034</v>
      </c>
      <c r="I14" s="346" t="s">
        <v>1416</v>
      </c>
      <c r="J14" s="24">
        <f ca="1">C29</f>
        <v>52621</v>
      </c>
      <c r="K14" s="15"/>
      <c r="L14" s="981"/>
      <c r="M14" s="982"/>
    </row>
    <row r="15" spans="1:37" s="1859" customFormat="1" ht="18" customHeight="1" thickBot="1">
      <c r="A15" s="1203" t="s">
        <v>1035</v>
      </c>
      <c r="B15" s="346" t="s">
        <v>1417</v>
      </c>
      <c r="C15" s="24">
        <f ca="1">ROUND(C14*F15,0)</f>
        <v>1139</v>
      </c>
      <c r="D15" s="364" t="s">
        <v>1418</v>
      </c>
      <c r="E15" s="364" t="s">
        <v>1419</v>
      </c>
      <c r="F15" s="365">
        <f>'数据-取费表'!B33</f>
        <v>0.03</v>
      </c>
      <c r="G15" s="1855"/>
      <c r="H15" s="1341" t="s">
        <v>1038</v>
      </c>
      <c r="I15" s="1342" t="s">
        <v>1413</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1420</v>
      </c>
      <c r="C16" s="24">
        <f ca="1">ROUND(INDIRECT("'数据-取费表'!m"&amp;$G$1)*F16,0)</f>
        <v>685</v>
      </c>
      <c r="D16" s="346" t="s">
        <v>1418</v>
      </c>
      <c r="E16" s="346" t="s">
        <v>1419</v>
      </c>
      <c r="F16" s="366">
        <f ca="1">IF(INDIRECT("'数据-取费表'!c"&amp;$G$1)="住宅",'数据-取费表'!B34,0)</f>
        <v>0.02</v>
      </c>
      <c r="G16" s="1852"/>
      <c r="H16" s="1331" t="s">
        <v>1029</v>
      </c>
      <c r="I16" s="1332" t="s">
        <v>1421</v>
      </c>
      <c r="J16" s="354">
        <f ca="1">ROUND(J17+J22+J23+J24,0)</f>
        <v>1237</v>
      </c>
      <c r="K16" s="1339" t="s">
        <v>1422</v>
      </c>
      <c r="L16" s="1340"/>
      <c r="M16" s="1296"/>
    </row>
    <row r="17" spans="1:37" s="1859" customFormat="1" ht="18" customHeight="1">
      <c r="A17" s="1203" t="s">
        <v>1386</v>
      </c>
      <c r="B17" s="346" t="s">
        <v>1423</v>
      </c>
      <c r="C17" s="24">
        <f ca="1">ROUND(F17*(F43+INDIRECT("'数据-取费表'!S"&amp;$G$1))/10000,0)</f>
        <v>3112</v>
      </c>
      <c r="D17" s="346" t="s">
        <v>1424</v>
      </c>
      <c r="E17" s="346" t="s">
        <v>1425</v>
      </c>
      <c r="F17" s="26">
        <f>'数据-取费表'!B35</f>
        <v>200</v>
      </c>
      <c r="G17" s="1855"/>
      <c r="H17" s="1203" t="s">
        <v>1034</v>
      </c>
      <c r="I17" s="346" t="s">
        <v>1426</v>
      </c>
      <c r="J17" s="24">
        <f ca="1">ROUND(IF(项目基本情况!B11="自然人",J5*M17,J18+J19+J20),1)</f>
        <v>447.9</v>
      </c>
      <c r="K17" s="1801" t="s">
        <v>1427</v>
      </c>
      <c r="L17" s="1799" t="s">
        <v>1428</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1429</v>
      </c>
      <c r="C18" s="24">
        <f ca="1">ROUND(C14*F18,0)</f>
        <v>570</v>
      </c>
      <c r="D18" s="346" t="s">
        <v>1418</v>
      </c>
      <c r="E18" s="346" t="s">
        <v>1419</v>
      </c>
      <c r="F18" s="366">
        <f>'数据-取费表'!B36</f>
        <v>1.4999999999999999E-2</v>
      </c>
      <c r="G18" s="1855"/>
      <c r="H18" s="1203" t="s">
        <v>1033</v>
      </c>
      <c r="I18" s="346" t="s">
        <v>1430</v>
      </c>
      <c r="J18" s="24">
        <f ca="1">ROUND(J5*M18/(1+'数据-取费表'!C42),2)</f>
        <v>0</v>
      </c>
      <c r="K18" s="1799" t="s">
        <v>1431</v>
      </c>
      <c r="L18" s="346" t="s">
        <v>1419</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1034</v>
      </c>
      <c r="B19" s="346" t="s">
        <v>1432</v>
      </c>
      <c r="C19" s="24">
        <f ca="1">SUM(C14:C18)</f>
        <v>43478</v>
      </c>
      <c r="D19" s="139" t="s">
        <v>1433</v>
      </c>
      <c r="E19" s="1819"/>
      <c r="F19" s="26"/>
      <c r="G19" s="1852"/>
      <c r="H19" s="1203" t="s">
        <v>1035</v>
      </c>
      <c r="I19" s="346" t="s">
        <v>1434</v>
      </c>
      <c r="J19" s="24">
        <f ca="1">IF(K19="按租金收入计税",ROUND(J5*M19,2),ROUND(C29*M19*0.7,2))</f>
        <v>442.02</v>
      </c>
      <c r="K19" s="1829" t="s">
        <v>1435</v>
      </c>
      <c r="L19" s="346" t="s">
        <v>1419</v>
      </c>
      <c r="M19" s="366">
        <f>IF(K19="按租金收入计税",'数据-取费表'!B51,'数据-取费表'!B50)</f>
        <v>1.2E-2</v>
      </c>
    </row>
    <row r="20" spans="1:37" s="1859" customFormat="1" ht="18" customHeight="1">
      <c r="A20" s="1203" t="s">
        <v>1038</v>
      </c>
      <c r="B20" s="346" t="s">
        <v>1436</v>
      </c>
      <c r="C20" s="24">
        <f ca="1">ROUND(C19*F20,0)</f>
        <v>435</v>
      </c>
      <c r="D20" s="368" t="s">
        <v>1437</v>
      </c>
      <c r="E20" s="346" t="s">
        <v>1419</v>
      </c>
      <c r="F20" s="366">
        <f>'数据-取费表'!B37</f>
        <v>0.01</v>
      </c>
      <c r="G20" s="1855"/>
      <c r="H20" s="1203" t="s">
        <v>1385</v>
      </c>
      <c r="I20" s="163" t="s">
        <v>1438</v>
      </c>
      <c r="J20" s="25">
        <f ca="1">ROUND(M20*M21/10000,2)</f>
        <v>5.92</v>
      </c>
      <c r="K20" s="369" t="s">
        <v>1439</v>
      </c>
      <c r="L20" s="346" t="s">
        <v>1440</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1074</v>
      </c>
      <c r="B21" s="346" t="s">
        <v>1441</v>
      </c>
      <c r="C21" s="24" t="s">
        <v>18</v>
      </c>
      <c r="D21" s="368" t="s">
        <v>1442</v>
      </c>
      <c r="E21" s="346" t="s">
        <v>1443</v>
      </c>
      <c r="F21" s="366">
        <f>'数据-取费表'!B38</f>
        <v>0.01</v>
      </c>
      <c r="G21" s="1855"/>
      <c r="H21" s="371"/>
      <c r="I21" s="355"/>
      <c r="J21" s="29"/>
      <c r="K21" s="372"/>
      <c r="L21" s="346" t="s">
        <v>1444</v>
      </c>
      <c r="M21" s="347">
        <f ca="1">INDIRECT("'数据-取费表'!r"&amp;$G$1)</f>
        <v>39469.730000000003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1445</v>
      </c>
      <c r="C22" s="24"/>
      <c r="D22" s="139" t="str">
        <f>IF(F23&lt;=1,"单利计息。","复利计息。")&amp;"建造成本、管理费用、销售费用产生的利息。"</f>
        <v>复利计息。建造成本、管理费用、销售费用产生的利息。</v>
      </c>
      <c r="E22" s="1819"/>
      <c r="F22" s="26"/>
      <c r="G22" s="1852"/>
      <c r="H22" s="1203" t="s">
        <v>1038</v>
      </c>
      <c r="I22" s="346" t="s">
        <v>1446</v>
      </c>
      <c r="J22" s="24">
        <f ca="1">ROUND(J14*M22,1)</f>
        <v>789.3</v>
      </c>
      <c r="K22" s="1799" t="s">
        <v>1447</v>
      </c>
      <c r="L22" s="346" t="s">
        <v>1419</v>
      </c>
      <c r="M22" s="373">
        <f ca="1">INDIRECT("'数据-取费表'!Ak"&amp;$G$1)</f>
        <v>1.4999999999999999E-2</v>
      </c>
    </row>
    <row r="23" spans="1:37" s="1859" customFormat="1" ht="18" customHeight="1">
      <c r="A23" s="1203" t="s">
        <v>1033</v>
      </c>
      <c r="B23" s="346" t="s">
        <v>1448</v>
      </c>
      <c r="C23" s="24">
        <f ca="1">IF('数据-取费表'!B22&lt;=1,ROUND(C19*F24*F23/2,0)+ROUND(C20*F24*F23/2,0),ROUND(C19*(POWER((1+F24),F23/2)-1),0)+ROUND(C20*(POWER((1+F24),F23/2)-1),0))</f>
        <v>3165</v>
      </c>
      <c r="D23" s="374" t="str">
        <f>IF(F23&lt;=1,"(建造成本+管理费用)×利率×(建设周期÷2)","(建造成本+管理费用)×((1+利率)^(建设周期÷2)-1)")</f>
        <v>(建造成本+管理费用)×((1+利率)^(建设周期÷2)-1)</v>
      </c>
      <c r="E23" s="346" t="s">
        <v>1449</v>
      </c>
      <c r="F23" s="370">
        <f>'数据-取费表'!B20</f>
        <v>3</v>
      </c>
      <c r="G23" s="1855"/>
      <c r="H23" s="1203" t="s">
        <v>1074</v>
      </c>
      <c r="I23" s="346" t="s">
        <v>1450</v>
      </c>
      <c r="J23" s="24">
        <f ca="1">ROUND(J13*M23,1)</f>
        <v>0</v>
      </c>
      <c r="K23" s="1799" t="s">
        <v>1451</v>
      </c>
      <c r="L23" s="346" t="s">
        <v>1452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1453</v>
      </c>
      <c r="B24" s="346" t="s">
        <v>1454</v>
      </c>
      <c r="C24" s="24">
        <f ca="1">ROUND(IF('数据-取费表'!B22&lt;=1,F21*F24*F23/2,F21*(POWER((1+F24),F23/2)-1)),4)</f>
        <v>6.9999999999999999E-4</v>
      </c>
      <c r="D24" s="374" t="str">
        <f>IF(F23&lt;=1,"销售费用×利率×(建设周期÷2)","销售费用×((1+利率)^(建设周期÷2)-1)")</f>
        <v>销售费用×((1+利率)^(建设周期÷2)-1)</v>
      </c>
      <c r="E24" s="346" t="s">
        <v>1455</v>
      </c>
      <c r="F24" s="376">
        <f ca="1">'数据-取费表'!B40</f>
        <v>4.7500000000000001E-2</v>
      </c>
      <c r="G24" s="1855"/>
      <c r="H24" s="1341" t="s">
        <v>1389</v>
      </c>
      <c r="I24" s="1342" t="s">
        <v>1436</v>
      </c>
      <c r="J24" s="1343">
        <f ca="1">ROUND(J5*M24,1)</f>
        <v>0</v>
      </c>
      <c r="K24" s="1344" t="s">
        <v>1456</v>
      </c>
      <c r="L24" s="1342" t="s">
        <v>1452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1457</v>
      </c>
      <c r="B25" s="346" t="s">
        <v>1458</v>
      </c>
      <c r="C25" s="24"/>
      <c r="D25" s="139" t="s">
        <v>1459</v>
      </c>
      <c r="E25" s="1819"/>
      <c r="F25" s="26"/>
      <c r="G25" s="1852"/>
      <c r="H25" s="1331" t="s">
        <v>1030</v>
      </c>
      <c r="I25" s="1346" t="s">
        <v>1460</v>
      </c>
      <c r="J25" s="354">
        <f ca="1">J5-J16</f>
        <v>-1237</v>
      </c>
      <c r="K25" s="1347" t="s">
        <v>1461</v>
      </c>
      <c r="L25" s="1348"/>
      <c r="M25" s="1349"/>
    </row>
    <row r="26" spans="1:37">
      <c r="A26" s="1203" t="s">
        <v>1033</v>
      </c>
      <c r="B26" s="346" t="s">
        <v>1462</v>
      </c>
      <c r="C26" s="24">
        <f ca="1">ROUND((C19+C20)*F26,0)</f>
        <v>2196</v>
      </c>
      <c r="D26" s="368" t="s">
        <v>1463</v>
      </c>
      <c r="E26" s="357" t="s">
        <v>1464</v>
      </c>
      <c r="F26" s="356">
        <f ca="1">INDIRECT("'数据-取费表'!q"&amp;$G$1)</f>
        <v>0.05</v>
      </c>
      <c r="G26" s="1852"/>
      <c r="H26" s="343" t="s">
        <v>1031</v>
      </c>
      <c r="I26" s="344" t="s">
        <v>1465</v>
      </c>
      <c r="J26" s="345">
        <f ca="1">IF(J5&lt;&gt;0,ROUND(J25*(1-((1+M28)/(1+M26))^M27)/(M26-M28),0),0)</f>
        <v>0</v>
      </c>
      <c r="K26" s="369" t="s">
        <v>1466</v>
      </c>
      <c r="L26" s="346" t="s">
        <v>1467</v>
      </c>
      <c r="M26" s="356">
        <f ca="1">INDIRECT("'数据-取费表'!I"&amp;$G$1)</f>
        <v>0.05</v>
      </c>
    </row>
    <row r="27" spans="1:37" ht="18" customHeight="1">
      <c r="A27" s="1203" t="s">
        <v>1035</v>
      </c>
      <c r="B27" s="346" t="s">
        <v>1468</v>
      </c>
      <c r="C27" s="24">
        <f ca="1">ROUND(F21*F26,4)</f>
        <v>5.0000000000000001E-4</v>
      </c>
      <c r="D27" s="368" t="s">
        <v>1469</v>
      </c>
      <c r="E27" s="364"/>
      <c r="F27" s="365"/>
      <c r="G27" s="1852"/>
      <c r="H27" s="348"/>
      <c r="I27" s="349"/>
      <c r="J27" s="350"/>
      <c r="K27" s="377" t="s">
        <v>1470</v>
      </c>
      <c r="L27" s="346" t="s">
        <v>1471</v>
      </c>
      <c r="M27" s="378">
        <f ca="1">INDIRECT("'数据-取费表'!ag"&amp;$G$1)</f>
        <v>0</v>
      </c>
    </row>
    <row r="28" spans="1:37" s="1859" customFormat="1" ht="18" customHeight="1">
      <c r="A28" s="1203" t="s">
        <v>1036</v>
      </c>
      <c r="B28" s="346" t="s">
        <v>1472</v>
      </c>
      <c r="C28" s="24">
        <f>ROUND(F28/(1+'数据-取费表'!C42),4)</f>
        <v>5.2400000000000002E-2</v>
      </c>
      <c r="D28" s="368" t="s">
        <v>1473</v>
      </c>
      <c r="E28" s="346" t="s">
        <v>1419</v>
      </c>
      <c r="F28" s="366">
        <f>'数据-取费表'!B41</f>
        <v>5.5000000000000007E-2</v>
      </c>
      <c r="G28" s="1855"/>
      <c r="H28" s="352"/>
      <c r="I28" s="353"/>
      <c r="J28" s="354"/>
      <c r="K28" s="372"/>
      <c r="L28" s="346" t="s">
        <v>1474</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1037</v>
      </c>
      <c r="B29" s="1342" t="s">
        <v>1475</v>
      </c>
      <c r="C29" s="1343">
        <f ca="1">ROUND((C19+C20+C23+C26)/(1-F21-C24-C27-C28),0)</f>
        <v>52621</v>
      </c>
      <c r="D29" s="1344"/>
      <c r="E29" s="1342"/>
      <c r="F29" s="1345"/>
      <c r="G29" s="1855"/>
      <c r="H29" s="379" t="s">
        <v>1032</v>
      </c>
      <c r="I29" s="380" t="s">
        <v>1476</v>
      </c>
      <c r="J29" s="381">
        <f ca="1">ROUND(J26/(1+F40)^F41,0)</f>
        <v>0</v>
      </c>
      <c r="K29" s="382" t="s">
        <v>1477</v>
      </c>
      <c r="L29" s="383"/>
      <c r="M29" s="384">
        <f ca="1">INDIRECT("'数据-取费表'!k"&amp;$G$1)</f>
        <v>136969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1029</v>
      </c>
      <c r="B30" s="1332" t="s">
        <v>1421</v>
      </c>
      <c r="C30" s="354">
        <f ca="1">ROUND(C31+C36+C37+C38,0)</f>
        <v>921</v>
      </c>
      <c r="D30" s="1339" t="s">
        <v>1422</v>
      </c>
      <c r="E30" s="1340"/>
      <c r="F30" s="1296"/>
      <c r="G30" s="1852"/>
      <c r="H30" s="744"/>
      <c r="I30" s="745"/>
      <c r="J30" s="746"/>
      <c r="K30" s="747"/>
      <c r="L30" s="748"/>
      <c r="M30" s="749"/>
    </row>
    <row r="31" spans="1:37" ht="18" customHeight="1">
      <c r="A31" s="1203" t="s">
        <v>1034</v>
      </c>
      <c r="B31" s="346" t="s">
        <v>1426</v>
      </c>
      <c r="C31" s="24">
        <v>0</v>
      </c>
      <c r="D31" s="1801" t="s">
        <v>1427</v>
      </c>
      <c r="E31" s="1799" t="s">
        <v>1478</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1033</v>
      </c>
      <c r="B32" s="346" t="s">
        <v>1430</v>
      </c>
      <c r="C32" s="24">
        <v>0</v>
      </c>
      <c r="D32" s="1799" t="s">
        <v>1431</v>
      </c>
      <c r="E32" s="346" t="s">
        <v>1419</v>
      </c>
      <c r="F32" s="376">
        <f>'数据-取费表'!B41</f>
        <v>5.5000000000000007E-2</v>
      </c>
      <c r="G32" s="1852"/>
      <c r="H32" s="744"/>
      <c r="I32" s="745"/>
      <c r="J32" s="746"/>
      <c r="K32" s="747"/>
      <c r="L32" s="748"/>
      <c r="M32" s="749"/>
    </row>
    <row r="33" spans="1:18" ht="18" customHeight="1">
      <c r="A33" s="1203" t="s">
        <v>1035</v>
      </c>
      <c r="B33" s="346" t="s">
        <v>1434</v>
      </c>
      <c r="C33" s="24">
        <v>0</v>
      </c>
      <c r="D33" s="1829" t="s">
        <v>3045</v>
      </c>
      <c r="E33" s="346" t="s">
        <v>1419</v>
      </c>
      <c r="F33" s="366">
        <f>IF(D33="按票据","——",IF(D33="按租金收入计税",'数据-取费表'!B51,'数据-取费表'!B50))</f>
        <v>0.12</v>
      </c>
      <c r="G33" s="1852"/>
      <c r="H33" s="1860"/>
      <c r="I33" s="1861"/>
      <c r="J33" s="1862"/>
      <c r="K33" s="1863"/>
      <c r="L33" s="1860"/>
      <c r="M33" s="1860"/>
    </row>
    <row r="34" spans="1:18" ht="18" customHeight="1">
      <c r="A34" s="1293" t="s">
        <v>1385</v>
      </c>
      <c r="B34" s="163" t="s">
        <v>1438</v>
      </c>
      <c r="C34" s="25">
        <v>0</v>
      </c>
      <c r="D34" s="369" t="s">
        <v>1439</v>
      </c>
      <c r="E34" s="346" t="s">
        <v>1440</v>
      </c>
      <c r="F34" s="370">
        <f>'数据-取费表'!B52</f>
        <v>1.5</v>
      </c>
      <c r="G34" s="1852"/>
      <c r="H34" s="744"/>
      <c r="I34" s="1861"/>
      <c r="J34" s="1862"/>
      <c r="K34" s="1864"/>
      <c r="L34" s="1865"/>
      <c r="M34" s="1865"/>
    </row>
    <row r="35" spans="1:18" ht="18" customHeight="1">
      <c r="A35" s="1355"/>
      <c r="B35" s="1353"/>
      <c r="C35" s="29"/>
      <c r="D35" s="372"/>
      <c r="E35" s="346" t="s">
        <v>1444</v>
      </c>
      <c r="F35" s="347">
        <f ca="1">INDIRECT("'数据-取费表'!r"&amp;$G$1)</f>
        <v>39469.730000000003</v>
      </c>
      <c r="G35" s="1852"/>
      <c r="H35" s="744"/>
      <c r="I35" s="1861"/>
      <c r="J35" s="1862"/>
      <c r="K35" s="1863"/>
      <c r="L35" s="1860"/>
      <c r="M35" s="1860"/>
    </row>
    <row r="36" spans="1:18" ht="18" customHeight="1">
      <c r="A36" s="1354" t="s">
        <v>1038</v>
      </c>
      <c r="B36" s="346" t="s">
        <v>1446</v>
      </c>
      <c r="C36" s="24">
        <f ca="1">ROUND(C29*F36,1)</f>
        <v>789.3</v>
      </c>
      <c r="D36" s="1799" t="s">
        <v>1479</v>
      </c>
      <c r="E36" s="346" t="s">
        <v>1419</v>
      </c>
      <c r="F36" s="373">
        <f ca="1">INDIRECT("'数据-取费表'!Ak"&amp;$G$1)</f>
        <v>1.4999999999999999E-2</v>
      </c>
      <c r="G36" s="1852"/>
      <c r="H36" s="1860"/>
      <c r="I36" s="1861"/>
      <c r="J36" s="1862"/>
      <c r="K36" s="750"/>
      <c r="L36" s="1860"/>
      <c r="M36" s="1860"/>
    </row>
    <row r="37" spans="1:18" ht="18" customHeight="1">
      <c r="A37" s="1203" t="s">
        <v>1074</v>
      </c>
      <c r="B37" s="346" t="s">
        <v>1450</v>
      </c>
      <c r="C37" s="24">
        <f ca="1">ROUND(C13*F37,1)</f>
        <v>78.900000000000006</v>
      </c>
      <c r="D37" s="1799" t="s">
        <v>1451</v>
      </c>
      <c r="E37" s="346" t="s">
        <v>1452</v>
      </c>
      <c r="F37" s="375">
        <f ca="1">INDIRECT("'数据-取费表'!Al"&amp;$G$1)</f>
        <v>1.5E-3</v>
      </c>
      <c r="G37" s="1852"/>
      <c r="H37" s="1860"/>
      <c r="I37" s="1861"/>
      <c r="J37" s="1862"/>
      <c r="K37" s="750"/>
      <c r="L37" s="1860"/>
      <c r="M37" s="1860"/>
    </row>
    <row r="38" spans="1:18" ht="18" customHeight="1" thickBot="1">
      <c r="A38" s="1341" t="s">
        <v>1389</v>
      </c>
      <c r="B38" s="1342" t="s">
        <v>1436</v>
      </c>
      <c r="C38" s="1343">
        <f ca="1">ROUND(C5*F38,1)</f>
        <v>53.1</v>
      </c>
      <c r="D38" s="1344" t="s">
        <v>1456</v>
      </c>
      <c r="E38" s="1342" t="s">
        <v>1452</v>
      </c>
      <c r="F38" s="1338">
        <f ca="1">INDIRECT("'数据-取费表'!Am"&amp;$G$1)</f>
        <v>0.01</v>
      </c>
      <c r="G38" s="1852"/>
      <c r="H38" s="1860"/>
      <c r="I38" s="1861"/>
      <c r="J38" s="1862"/>
      <c r="K38" s="1866"/>
      <c r="L38" s="1860"/>
      <c r="M38" s="1860"/>
    </row>
    <row r="39" spans="1:18" ht="24.6" customHeight="1" thickTop="1">
      <c r="A39" s="1331" t="s">
        <v>1030</v>
      </c>
      <c r="B39" s="1346" t="s">
        <v>1480</v>
      </c>
      <c r="C39" s="354">
        <f ca="1">C5-C30</f>
        <v>4388</v>
      </c>
      <c r="D39" s="1347" t="s">
        <v>1481</v>
      </c>
      <c r="E39" s="1348"/>
      <c r="F39" s="1349"/>
      <c r="G39" s="1852"/>
      <c r="H39" s="1860"/>
      <c r="I39" s="1861"/>
      <c r="J39" s="1862"/>
      <c r="K39" s="1866"/>
      <c r="L39" s="1860"/>
      <c r="M39" s="1860"/>
    </row>
    <row r="40" spans="1:18" ht="18" customHeight="1">
      <c r="A40" s="343" t="s">
        <v>1031</v>
      </c>
      <c r="B40" s="344" t="s">
        <v>1482</v>
      </c>
      <c r="C40" s="345">
        <f ca="1">ROUND(C39*(1-((1+F42)/(1+F40))^F41)/(F40-F42),0)</f>
        <v>83062</v>
      </c>
      <c r="D40" s="369" t="s">
        <v>1466</v>
      </c>
      <c r="E40" s="346" t="s">
        <v>1467</v>
      </c>
      <c r="F40" s="356">
        <f ca="1">INDIRECT("'数据-取费表'!I"&amp;$G$1)</f>
        <v>0.05</v>
      </c>
      <c r="G40" s="1852"/>
      <c r="H40" s="1840"/>
      <c r="I40" s="1861"/>
      <c r="J40" s="1862"/>
      <c r="K40" s="1866"/>
      <c r="L40" s="1840"/>
      <c r="M40" s="1840"/>
    </row>
    <row r="41" spans="1:18" ht="18" customHeight="1">
      <c r="A41" s="348"/>
      <c r="B41" s="349"/>
      <c r="C41" s="350"/>
      <c r="D41" s="377" t="s">
        <v>1483</v>
      </c>
      <c r="E41" s="346" t="s">
        <v>1471</v>
      </c>
      <c r="F41" s="378">
        <f ca="1">IF(INDIRECT("'数据-取费表'!af"&amp;$G$1)=0,INDIRECT("'数据-取费表'!ae"&amp;$G$1),INDIRECT("'数据-取费表'!af"&amp;$G$1))</f>
        <v>60</v>
      </c>
      <c r="G41" s="1852"/>
      <c r="H41" s="731"/>
      <c r="I41" s="1861"/>
      <c r="J41" s="1862"/>
      <c r="K41" s="750"/>
      <c r="L41" s="731"/>
      <c r="M41" s="731"/>
    </row>
    <row r="42" spans="1:18" ht="18" customHeight="1">
      <c r="A42" s="352"/>
      <c r="B42" s="353"/>
      <c r="C42" s="354"/>
      <c r="D42" s="372"/>
      <c r="E42" s="346" t="s">
        <v>1474</v>
      </c>
      <c r="F42" s="356">
        <f ca="1">INDIRECT("'数据-取费表'!v"&amp;$G$1)</f>
        <v>0</v>
      </c>
      <c r="G42" s="1852"/>
      <c r="H42" s="731"/>
      <c r="I42" s="1861"/>
      <c r="J42" s="1862"/>
      <c r="K42" s="750"/>
      <c r="L42" s="731"/>
      <c r="M42" s="731"/>
    </row>
    <row r="43" spans="1:18" ht="18" customHeight="1" thickBot="1">
      <c r="A43" s="379" t="s">
        <v>1032</v>
      </c>
      <c r="B43" s="380" t="s">
        <v>1484</v>
      </c>
      <c r="C43" s="381">
        <f ca="1">ROUND(C40*10000/F43,0)</f>
        <v>6064</v>
      </c>
      <c r="D43" s="382" t="s">
        <v>1485</v>
      </c>
      <c r="E43" s="383" t="s">
        <v>1486</v>
      </c>
      <c r="F43" s="384">
        <f ca="1">INDIRECT("'数据-取费表'!k"&amp;$G$1)</f>
        <v>136969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1516</v>
      </c>
      <c r="P45" s="1840"/>
      <c r="Q45" s="1840"/>
      <c r="R45" s="1840"/>
    </row>
    <row r="46" spans="1:18" s="1843" customFormat="1" ht="13.5" thickBot="1">
      <c r="A46" s="1871" t="s">
        <v>1517</v>
      </c>
      <c r="C46" s="1872">
        <f ca="1">C68-C40</f>
        <v>-183274</v>
      </c>
      <c r="D46" s="1873" t="str">
        <f>C2</f>
        <v>万元</v>
      </c>
      <c r="E46" s="1867"/>
      <c r="F46" s="1867"/>
      <c r="I46" s="1874" t="s">
        <v>1518</v>
      </c>
      <c r="J46" s="1875"/>
      <c r="K46" s="1876"/>
      <c r="L46" s="1877">
        <f>IF(M47="住宅",0,IF(L48&gt;J51,L60,J60))</f>
        <v>0</v>
      </c>
      <c r="O46" s="1878" t="s">
        <v>1519</v>
      </c>
      <c r="P46" s="1879" t="s">
        <v>1520</v>
      </c>
      <c r="Q46" s="1880" t="s">
        <v>1521</v>
      </c>
      <c r="R46" s="1880" t="s">
        <v>1522</v>
      </c>
    </row>
    <row r="47" spans="1:18" s="1843" customFormat="1" ht="13.5" thickBot="1">
      <c r="A47" s="1167" t="s">
        <v>1392</v>
      </c>
      <c r="B47" s="1199" t="s">
        <v>1393</v>
      </c>
      <c r="C47" s="1369" t="s">
        <v>1394</v>
      </c>
      <c r="D47" s="1199" t="s">
        <v>1395</v>
      </c>
      <c r="E47" s="1281" t="s">
        <v>1396</v>
      </c>
      <c r="F47" s="1282"/>
      <c r="G47" s="791"/>
      <c r="I47" s="1881" t="s">
        <v>1523</v>
      </c>
      <c r="J47" s="1882" t="s">
        <v>3043</v>
      </c>
      <c r="K47" s="1883" t="s">
        <v>1524</v>
      </c>
      <c r="L47" s="1884">
        <f ca="1">INDIRECT("'数据-取费表'!d"&amp;$G$1)</f>
        <v>70</v>
      </c>
      <c r="M47" s="1839" t="str">
        <f>IF(ISNUMBER(FIND("住宅",C1)),"住宅","非住宅")</f>
        <v>住宅</v>
      </c>
      <c r="O47" s="1885" t="s">
        <v>1039</v>
      </c>
      <c r="P47" s="1886" t="s">
        <v>1525</v>
      </c>
      <c r="Q47" s="1887">
        <f ca="1">C40+J29</f>
        <v>83062</v>
      </c>
      <c r="R47" s="1887" t="s">
        <v>1526</v>
      </c>
    </row>
    <row r="48" spans="1:18" s="1843" customFormat="1" ht="28.5" thickBot="1">
      <c r="A48" s="1362" t="s">
        <v>1134</v>
      </c>
      <c r="B48" s="344" t="s">
        <v>1397</v>
      </c>
      <c r="C48" s="1818">
        <f ca="1">C49+C53+C55</f>
        <v>0</v>
      </c>
      <c r="D48" s="1364"/>
      <c r="E48" s="1365"/>
      <c r="F48" s="1183"/>
      <c r="G48" s="791"/>
      <c r="H48" s="792"/>
      <c r="I48" s="1888" t="s">
        <v>1527</v>
      </c>
      <c r="J48" s="1889" t="s">
        <v>3044</v>
      </c>
      <c r="K48" s="1890" t="s">
        <v>1528</v>
      </c>
      <c r="L48" s="1891">
        <f ca="1">INDIRECT("'数据-取费表'!f"&amp;$G$1)</f>
        <v>67.3</v>
      </c>
      <c r="O48" s="1885" t="s">
        <v>1040</v>
      </c>
      <c r="P48" s="1886" t="s">
        <v>1529</v>
      </c>
      <c r="Q48" s="1887" t="str">
        <f ca="1">J60</f>
        <v>0</v>
      </c>
      <c r="R48" s="1887" t="s">
        <v>1530</v>
      </c>
    </row>
    <row r="49" spans="1:18" s="1843" customFormat="1" ht="13.5" thickBot="1">
      <c r="A49" s="1196" t="s">
        <v>1135</v>
      </c>
      <c r="B49" s="1830" t="s">
        <v>1487</v>
      </c>
      <c r="C49" s="1366">
        <f ca="1">ROUND(F49*F51*F50*(1-F52)/10000,0)</f>
        <v>0</v>
      </c>
      <c r="D49" s="1278" t="s">
        <v>3017</v>
      </c>
      <c r="E49" s="1831" t="s">
        <v>1488</v>
      </c>
      <c r="F49" s="1283"/>
      <c r="G49" s="1892"/>
      <c r="H49" s="792"/>
      <c r="I49" s="1888" t="s">
        <v>1531</v>
      </c>
      <c r="J49" s="1893"/>
      <c r="K49" s="1890" t="s">
        <v>1532</v>
      </c>
      <c r="L49" s="1894"/>
      <c r="O49" s="1895" t="s">
        <v>1041</v>
      </c>
      <c r="P49" s="1886" t="s">
        <v>1533</v>
      </c>
      <c r="Q49" s="1887">
        <f ca="1">C29</f>
        <v>52621</v>
      </c>
      <c r="R49" s="1887" t="s">
        <v>1526</v>
      </c>
    </row>
    <row r="50" spans="1:18" s="1843" customFormat="1" ht="13.5" thickBot="1">
      <c r="A50" s="1197"/>
      <c r="B50" s="1200"/>
      <c r="C50" s="1370"/>
      <c r="D50" s="1174"/>
      <c r="E50" s="1279" t="s">
        <v>1402</v>
      </c>
      <c r="F50" s="1280">
        <f ca="1">F7</f>
        <v>136969</v>
      </c>
      <c r="H50" s="792"/>
      <c r="I50" s="1888" t="s">
        <v>1534</v>
      </c>
      <c r="J50" s="1896">
        <f>SUMPRODUCT((I63:I65=J47)*(J62:L62=J48)*(J63:L65))</f>
        <v>60</v>
      </c>
      <c r="K50" s="1890" t="s">
        <v>1535</v>
      </c>
      <c r="L50" s="1894"/>
      <c r="M50" s="1897"/>
      <c r="O50" s="1895" t="s">
        <v>1042</v>
      </c>
      <c r="P50" s="1886" t="s">
        <v>1536</v>
      </c>
      <c r="Q50" s="1898" t="e">
        <f ca="1">J58</f>
        <v>#VALUE!</v>
      </c>
      <c r="R50" s="1887"/>
    </row>
    <row r="51" spans="1:18" s="1843" customFormat="1" ht="13.5" thickBot="1">
      <c r="A51" s="1198"/>
      <c r="B51" s="1200"/>
      <c r="C51" s="1201"/>
      <c r="D51" s="1174"/>
      <c r="E51" s="1202" t="s">
        <v>1403</v>
      </c>
      <c r="F51" s="347">
        <f ca="1">F8</f>
        <v>12</v>
      </c>
      <c r="I51" s="1899" t="s">
        <v>1537</v>
      </c>
      <c r="J51" s="1900">
        <f>IF(J49="",J50,J49+J50-YEAR('数据-取费表'!B2))</f>
        <v>60</v>
      </c>
      <c r="K51" s="1901" t="s">
        <v>1538</v>
      </c>
      <c r="L51" s="1902">
        <f ca="1">ROUND(-PV(INDIRECT("'数据-取费表'!h"&amp;$G$1),L48,(C39-C13*C76),0),0)</f>
        <v>-1787</v>
      </c>
      <c r="M51" s="1903"/>
      <c r="O51" s="1895" t="s">
        <v>1043</v>
      </c>
      <c r="P51" s="1886" t="s">
        <v>1539</v>
      </c>
      <c r="Q51" s="1898">
        <f>J52</f>
        <v>0</v>
      </c>
      <c r="R51" s="1887"/>
    </row>
    <row r="52" spans="1:18" s="1843" customFormat="1" ht="13.5" thickBot="1">
      <c r="A52" s="1198"/>
      <c r="B52" s="1200"/>
      <c r="C52" s="1201"/>
      <c r="D52" s="1174"/>
      <c r="E52" s="1202" t="s">
        <v>1404</v>
      </c>
      <c r="F52" s="1277"/>
      <c r="I52" s="1904" t="s">
        <v>1540</v>
      </c>
      <c r="J52" s="1905"/>
      <c r="K52" s="1904" t="s">
        <v>1541</v>
      </c>
      <c r="L52" s="1905">
        <v>5.5E-2</v>
      </c>
      <c r="O52" s="1895" t="s">
        <v>1044</v>
      </c>
      <c r="P52" s="1886" t="s">
        <v>1542</v>
      </c>
      <c r="Q52" s="1887">
        <f>J53</f>
        <v>60</v>
      </c>
      <c r="R52" s="1887" t="s">
        <v>1543</v>
      </c>
    </row>
    <row r="53" spans="1:18" s="1843" customFormat="1" ht="24.75" thickBot="1">
      <c r="A53" s="1407" t="s">
        <v>1136</v>
      </c>
      <c r="B53" s="1832" t="s">
        <v>1405</v>
      </c>
      <c r="C53" s="360">
        <f ca="1">ROUND(IF(F53="押一",F49*F51*F50/12*F11,IF(F53="押二",F49*F51*F50/12*2*F11,IF(F53="押三",F49*F51*F50/12*3*F11,C54*F11)))/10000,0)</f>
        <v>0</v>
      </c>
      <c r="D53" s="1825" t="s">
        <v>3015</v>
      </c>
      <c r="E53" s="357" t="s">
        <v>1407</v>
      </c>
      <c r="F53" s="1368"/>
      <c r="I53" s="1906" t="s">
        <v>1544</v>
      </c>
      <c r="J53" s="1907">
        <f>IF(M47="住宅",J51,IF(D1="——",MIN(J51,L48),IF(D1="在建（套用方法）",MIN(J51,L48-'数据-取费表'!B24),IF(D1="土地（套用方法）",MIN(J51,L48-'数据-取费表'!B20)))))</f>
        <v>60</v>
      </c>
      <c r="K53" s="3190" t="s">
        <v>1545</v>
      </c>
      <c r="L53" s="3191"/>
      <c r="O53" s="1885" t="s">
        <v>1045</v>
      </c>
      <c r="P53" s="1886" t="s">
        <v>1546</v>
      </c>
      <c r="Q53" s="1887">
        <f ca="1">Q47+Q48</f>
        <v>83062</v>
      </c>
      <c r="R53" s="1887" t="s">
        <v>1046</v>
      </c>
    </row>
    <row r="54" spans="1:18" s="1843" customFormat="1" ht="13.5" thickBot="1">
      <c r="A54" s="1408"/>
      <c r="B54" s="1826" t="s">
        <v>1384</v>
      </c>
      <c r="C54" s="1180"/>
      <c r="D54" s="1825"/>
      <c r="E54" s="1833"/>
      <c r="F54" s="1908"/>
      <c r="I54" s="190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0"/>
      <c r="K54" s="1910"/>
      <c r="L54" s="1910"/>
      <c r="M54" s="1892"/>
      <c r="O54" s="1870" t="s">
        <v>1547</v>
      </c>
      <c r="P54" s="1840"/>
      <c r="Q54" s="1840"/>
      <c r="R54" s="1840"/>
    </row>
    <row r="55" spans="1:18" s="1843" customFormat="1" ht="13.5" thickBot="1">
      <c r="A55" s="1335" t="s">
        <v>1074</v>
      </c>
      <c r="B55" s="1828" t="s">
        <v>1410</v>
      </c>
      <c r="C55" s="1336"/>
      <c r="D55" s="1825"/>
      <c r="E55" s="1833"/>
      <c r="F55" s="1908"/>
      <c r="I55" s="1911" t="s">
        <v>1548</v>
      </c>
      <c r="J55" s="1912" t="e">
        <f ca="1">ROUND(IF(J47="钢混",J57/J50,1-(1-2%)*(J50-J57)/J50),3)</f>
        <v>#VALUE!</v>
      </c>
      <c r="K55" s="1913" t="s">
        <v>1549</v>
      </c>
      <c r="L55" s="1914" t="s">
        <v>1550</v>
      </c>
      <c r="O55" s="1878" t="s">
        <v>1519</v>
      </c>
      <c r="P55" s="1879" t="s">
        <v>1520</v>
      </c>
      <c r="Q55" s="1880" t="s">
        <v>1521</v>
      </c>
      <c r="R55" s="1880" t="s">
        <v>1522</v>
      </c>
    </row>
    <row r="56" spans="1:18" s="1843" customFormat="1" ht="25.5" thickTop="1" thickBot="1">
      <c r="A56" s="1178">
        <v>2</v>
      </c>
      <c r="B56" s="1179" t="s">
        <v>1411</v>
      </c>
      <c r="C56" s="275">
        <f ca="1">C13</f>
        <v>52621</v>
      </c>
      <c r="D56" s="1915"/>
      <c r="E56" s="1916"/>
      <c r="F56" s="1908"/>
      <c r="I56" s="1917" t="s">
        <v>1551</v>
      </c>
      <c r="J56" s="1918" t="s">
        <v>3031</v>
      </c>
      <c r="K56" s="1888" t="s">
        <v>1552</v>
      </c>
      <c r="L56" s="1891">
        <f ca="1">IF(L48&lt;J51,"——",L48-J53)</f>
        <v>7.2999999999999972</v>
      </c>
      <c r="O56" s="1885" t="s">
        <v>1039</v>
      </c>
      <c r="P56" s="1886" t="s">
        <v>1525</v>
      </c>
      <c r="Q56" s="1887">
        <f ca="1">C40+J29</f>
        <v>83062</v>
      </c>
      <c r="R56" s="1887" t="s">
        <v>1526</v>
      </c>
    </row>
    <row r="57" spans="1:18" s="1843" customFormat="1" ht="24.75" thickBot="1">
      <c r="A57" s="1919"/>
      <c r="B57" s="1171" t="s">
        <v>1475</v>
      </c>
      <c r="C57" s="281">
        <f ca="1">C29</f>
        <v>52621</v>
      </c>
      <c r="D57" s="1920"/>
      <c r="E57" s="1921"/>
      <c r="F57" s="1922"/>
      <c r="I57" s="1923" t="s">
        <v>1553</v>
      </c>
      <c r="J57" s="1924" t="str">
        <f ca="1">IF(OR(M47="住宅",J51&lt;L48,J56="是"),"——",J51-L48)</f>
        <v>——</v>
      </c>
      <c r="K57" s="1888" t="s">
        <v>1554</v>
      </c>
      <c r="L57" s="1891">
        <f ca="1">IF(L48&lt;J51,"——",IF(L55="比较法",L49,IF(L55="基准地价",L50,L51)))</f>
        <v>-1787</v>
      </c>
      <c r="O57" s="1885" t="s">
        <v>1040</v>
      </c>
      <c r="P57" s="1886" t="s">
        <v>1555</v>
      </c>
      <c r="Q57" s="1887">
        <f ca="1">L60</f>
        <v>0</v>
      </c>
      <c r="R57" s="1887" t="s">
        <v>1556</v>
      </c>
    </row>
    <row r="58" spans="1:18" s="1843" customFormat="1" ht="24.75" thickBot="1">
      <c r="A58" s="359" t="s">
        <v>1029</v>
      </c>
      <c r="B58" s="1179" t="s">
        <v>1421</v>
      </c>
      <c r="C58" s="360">
        <f ca="1">ROUND(C59+C64+C65+C66,0)</f>
        <v>5294</v>
      </c>
      <c r="D58" s="1181" t="s">
        <v>1422</v>
      </c>
      <c r="E58" s="1182"/>
      <c r="F58" s="1183"/>
      <c r="I58" s="1923" t="s">
        <v>1557</v>
      </c>
      <c r="J58" s="1925" t="e">
        <f ca="1">IF(J55&lt;0.4,0.4,J55)</f>
        <v>#VALUE!</v>
      </c>
      <c r="K58" s="1901" t="s">
        <v>1558</v>
      </c>
      <c r="L58" s="1891">
        <f ca="1">ROUND(POWER(1+L52,L47-L48)*(POWER(1+L52,L48)-1)/(POWER(1+L52,L47)-1),4)</f>
        <v>0.99619999999999997</v>
      </c>
      <c r="O58" s="1895" t="s">
        <v>1041</v>
      </c>
      <c r="P58" s="1886" t="s">
        <v>1559</v>
      </c>
      <c r="Q58" s="1887">
        <f>IF(L55="比较法",L49,IF(L55="基准地价",L50,0))</f>
        <v>0</v>
      </c>
      <c r="R58" s="1887" t="s">
        <v>1526</v>
      </c>
    </row>
    <row r="59" spans="1:18" s="1843" customFormat="1" ht="24.75" thickBot="1">
      <c r="A59" s="1203" t="s">
        <v>1034</v>
      </c>
      <c r="B59" s="1171" t="s">
        <v>1426</v>
      </c>
      <c r="C59" s="24">
        <f ca="1">ROUND(IF(项目基本情况!B11="自然人",C48*F59,C60+C61+C62),1)</f>
        <v>4426.1000000000004</v>
      </c>
      <c r="D59" s="1184" t="s">
        <v>1427</v>
      </c>
      <c r="E59" s="1185" t="s">
        <v>1428</v>
      </c>
      <c r="F59" s="367" t="str">
        <f ca="1">IF(项目基本情况!B11="企业","",IF(INDIRECT("'数据-取费表'!c"&amp;$G$1)="住宅",5%,IF(F49*F50*F51/12/(1+'数据-取费表'!C42)&gt;20000,12%,7%)))</f>
        <v/>
      </c>
      <c r="I59" s="1923" t="s">
        <v>1560</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f ca="1">ROUND(IF(D1="在建（套用方法）",M59,IF(D1="土地（套用方法）",N59,POWER(1+L52,L47-J51)*(POWER(1+L52,J51)-1)/(POWER(1+L52,L47)-1))),4)</f>
        <v>0.98609999999999998</v>
      </c>
      <c r="M59" s="1839">
        <f ca="1">ROUND(POWER(1+L52,L47-(J51+'数据-取费表'!B24))*(POWER(1+L52,(J51+'数据-取费表'!B24))-1)/(POWER(1+L52,L47)-1),4)</f>
        <v>0.98609999999999998</v>
      </c>
      <c r="N59" s="1839">
        <f ca="1">ROUND(POWER(1+L52,L47-(J51+'数据-取费表'!B20))*(POWER(1+L52,(J51+'数据-取费表'!B20))-1)/(POWER(1+L52,L47)-1),4)</f>
        <v>0.98899999999999999</v>
      </c>
      <c r="O59" s="1895" t="s">
        <v>1042</v>
      </c>
      <c r="P59" s="1886" t="s">
        <v>1561</v>
      </c>
      <c r="Q59" s="1898">
        <f>L52</f>
        <v>5.5E-2</v>
      </c>
      <c r="R59" s="1887"/>
    </row>
    <row r="60" spans="1:18" s="1843" customFormat="1" ht="16.5" thickBot="1">
      <c r="A60" s="1203" t="s">
        <v>1033</v>
      </c>
      <c r="B60" s="1171" t="s">
        <v>1430</v>
      </c>
      <c r="C60" s="24">
        <f ca="1">IF(项目基本情况!B11="自然人","——",ROUND(C48*F60/(1+'数据-取费表'!C42),2))</f>
        <v>0</v>
      </c>
      <c r="D60" s="1185" t="s">
        <v>1431</v>
      </c>
      <c r="E60" s="1171" t="s">
        <v>1419</v>
      </c>
      <c r="F60" s="376">
        <f t="shared" ref="F60:F66" si="0">F32</f>
        <v>5.5000000000000007E-2</v>
      </c>
      <c r="I60" s="1926" t="s">
        <v>1562</v>
      </c>
      <c r="J60" s="1927" t="str">
        <f ca="1">IF(OR(M47="住宅",J51&lt;L48,J56="是"),"0",ROUND(J59/(1+J52)^J53,0))</f>
        <v>0</v>
      </c>
      <c r="K60" s="1928" t="s">
        <v>1563</v>
      </c>
      <c r="L60" s="1927">
        <f ca="1">IF(OR(M47="住宅",L48&lt;J51),0,ROUND(L57*(L58/L59-1),0))</f>
        <v>0</v>
      </c>
      <c r="O60" s="1895" t="s">
        <v>1043</v>
      </c>
      <c r="P60" s="1886" t="s">
        <v>1564</v>
      </c>
      <c r="Q60" s="1887">
        <f ca="1">L58</f>
        <v>0.99619999999999997</v>
      </c>
      <c r="R60" s="1887" t="s">
        <v>1565</v>
      </c>
    </row>
    <row r="61" spans="1:18" s="1843" customFormat="1" ht="13.5" thickBot="1">
      <c r="A61" s="1203" t="s">
        <v>1489</v>
      </c>
      <c r="B61" s="1171" t="s">
        <v>1490</v>
      </c>
      <c r="C61" s="24">
        <f ca="1">IF(项目基本情况!B11="自然人","——",IF(D61="按租金收入计税",ROUND(C48*F61,2),IF(D61="按房产原值计税",ROUND(C57*F61*0.7,2),INDIRECT("'数据-取费表'!Aj"&amp;$G$1))))</f>
        <v>4420.16</v>
      </c>
      <c r="D61" s="1829" t="s">
        <v>1435</v>
      </c>
      <c r="E61" s="1171" t="s">
        <v>1491</v>
      </c>
      <c r="F61" s="366">
        <f t="shared" si="0"/>
        <v>0.12</v>
      </c>
      <c r="I61" s="1929"/>
      <c r="J61" s="1929"/>
      <c r="K61" s="1929"/>
      <c r="L61" s="1929"/>
      <c r="O61" s="1895" t="s">
        <v>1044</v>
      </c>
      <c r="P61" s="1886" t="str">
        <f>K59</f>
        <v>续建工期及建筑物耐用年限下的土地年期修正系数Kn</v>
      </c>
      <c r="Q61" s="1887">
        <f ca="1">L59</f>
        <v>0.98609999999999998</v>
      </c>
      <c r="R61" s="1887" t="s">
        <v>1566</v>
      </c>
    </row>
    <row r="62" spans="1:18" s="1843" customFormat="1" ht="13.5" thickBot="1">
      <c r="A62" s="1203" t="s">
        <v>1492</v>
      </c>
      <c r="B62" s="1170" t="s">
        <v>1493</v>
      </c>
      <c r="C62" s="25">
        <f ca="1">IF(项目基本情况!B11="自然人","——",ROUND(F62*F63/10000,2))</f>
        <v>5.92</v>
      </c>
      <c r="D62" s="1186" t="s">
        <v>1494</v>
      </c>
      <c r="E62" s="1171" t="s">
        <v>1495</v>
      </c>
      <c r="F62" s="370">
        <f t="shared" si="0"/>
        <v>1.5</v>
      </c>
      <c r="I62" s="1930" t="s">
        <v>1567</v>
      </c>
      <c r="J62" s="1931" t="s">
        <v>1568</v>
      </c>
      <c r="K62" s="1931" t="s">
        <v>1569</v>
      </c>
      <c r="L62" s="1931" t="s">
        <v>1570</v>
      </c>
      <c r="M62" s="1932" t="s">
        <v>1571</v>
      </c>
      <c r="O62" s="1885" t="s">
        <v>1045</v>
      </c>
      <c r="P62" s="1886" t="s">
        <v>1572</v>
      </c>
      <c r="Q62" s="1887">
        <f ca="1">Q56+Q57</f>
        <v>83062</v>
      </c>
      <c r="R62" s="1887" t="s">
        <v>1046</v>
      </c>
    </row>
    <row r="63" spans="1:18" s="1843" customFormat="1" ht="13.5" thickBot="1">
      <c r="A63" s="371"/>
      <c r="B63" s="1177"/>
      <c r="C63" s="29"/>
      <c r="D63" s="1187"/>
      <c r="E63" s="1171" t="s">
        <v>1496</v>
      </c>
      <c r="F63" s="347">
        <f t="shared" ca="1" si="0"/>
        <v>39469.730000000003</v>
      </c>
      <c r="I63" s="1930" t="s">
        <v>1573</v>
      </c>
      <c r="J63" s="1931">
        <v>70</v>
      </c>
      <c r="K63" s="1931">
        <v>50</v>
      </c>
      <c r="L63" s="1931">
        <v>80</v>
      </c>
      <c r="M63" s="1933">
        <v>0.02</v>
      </c>
      <c r="O63" s="1870" t="s">
        <v>1574</v>
      </c>
      <c r="P63" s="1840"/>
      <c r="Q63" s="1840"/>
      <c r="R63" s="1840"/>
    </row>
    <row r="64" spans="1:18" s="1843" customFormat="1" ht="13.5" thickBot="1">
      <c r="A64" s="1203" t="s">
        <v>1497</v>
      </c>
      <c r="B64" s="1171" t="s">
        <v>1498</v>
      </c>
      <c r="C64" s="24">
        <f ca="1">ROUND(C57*F64,1)</f>
        <v>789.3</v>
      </c>
      <c r="D64" s="1185" t="s">
        <v>1499</v>
      </c>
      <c r="E64" s="1171" t="s">
        <v>1491</v>
      </c>
      <c r="F64" s="373">
        <f t="shared" ca="1" si="0"/>
        <v>1.4999999999999999E-2</v>
      </c>
      <c r="I64" s="1930" t="s">
        <v>1575</v>
      </c>
      <c r="J64" s="1931">
        <v>50</v>
      </c>
      <c r="K64" s="1931">
        <v>35</v>
      </c>
      <c r="L64" s="1931">
        <v>60</v>
      </c>
      <c r="M64" s="1932">
        <v>0</v>
      </c>
      <c r="O64" s="1878" t="s">
        <v>1519</v>
      </c>
      <c r="P64" s="1879" t="s">
        <v>1520</v>
      </c>
      <c r="Q64" s="1880" t="s">
        <v>1521</v>
      </c>
      <c r="R64" s="1880" t="s">
        <v>1522</v>
      </c>
    </row>
    <row r="65" spans="1:18" s="1843" customFormat="1" ht="13.5" thickBot="1">
      <c r="A65" s="1203" t="s">
        <v>1500</v>
      </c>
      <c r="B65" s="1171" t="s">
        <v>1450</v>
      </c>
      <c r="C65" s="24">
        <f ca="1">ROUND(C56*F65,1)</f>
        <v>78.900000000000006</v>
      </c>
      <c r="D65" s="1185" t="s">
        <v>1451</v>
      </c>
      <c r="E65" s="1171" t="s">
        <v>1452</v>
      </c>
      <c r="F65" s="375">
        <f t="shared" ca="1" si="0"/>
        <v>1.5E-3</v>
      </c>
      <c r="I65" s="1930" t="s">
        <v>1576</v>
      </c>
      <c r="J65" s="1931">
        <v>40</v>
      </c>
      <c r="K65" s="1931">
        <v>30</v>
      </c>
      <c r="L65" s="1931">
        <v>50</v>
      </c>
      <c r="M65" s="1933">
        <v>0.02</v>
      </c>
      <c r="O65" s="1885" t="s">
        <v>1039</v>
      </c>
      <c r="P65" s="1886" t="s">
        <v>1577</v>
      </c>
      <c r="Q65" s="1887">
        <f ca="1">C40+J29</f>
        <v>83062</v>
      </c>
      <c r="R65" s="1887" t="s">
        <v>1526</v>
      </c>
    </row>
    <row r="66" spans="1:18" s="1843" customFormat="1" ht="16.5" thickBot="1">
      <c r="A66" s="1203" t="s">
        <v>1501</v>
      </c>
      <c r="B66" s="1171" t="s">
        <v>1436</v>
      </c>
      <c r="C66" s="24">
        <f ca="1">ROUND(C48*F66,1)</f>
        <v>0</v>
      </c>
      <c r="D66" s="1185" t="s">
        <v>1502</v>
      </c>
      <c r="E66" s="1171" t="s">
        <v>1419</v>
      </c>
      <c r="F66" s="356">
        <f t="shared" ca="1" si="0"/>
        <v>0.01</v>
      </c>
      <c r="O66" s="1885" t="s">
        <v>1040</v>
      </c>
      <c r="P66" s="1886" t="s">
        <v>1555</v>
      </c>
      <c r="Q66" s="1887">
        <f ca="1">L60</f>
        <v>0</v>
      </c>
      <c r="R66" s="1887" t="s">
        <v>1578</v>
      </c>
    </row>
    <row r="67" spans="1:18" s="1843" customFormat="1" ht="16.5" thickBot="1">
      <c r="A67" s="1178" t="s">
        <v>1030</v>
      </c>
      <c r="B67" s="1188" t="s">
        <v>1460</v>
      </c>
      <c r="C67" s="360">
        <f ca="1">C48-C58</f>
        <v>-5294</v>
      </c>
      <c r="D67" s="1184" t="s">
        <v>1461</v>
      </c>
      <c r="E67" s="1189"/>
      <c r="F67" s="1190"/>
      <c r="O67" s="1895" t="s">
        <v>1041</v>
      </c>
      <c r="P67" s="1886" t="s">
        <v>1559</v>
      </c>
      <c r="Q67" s="1934">
        <f ca="1">L51</f>
        <v>-1787</v>
      </c>
      <c r="R67" s="1887" t="s">
        <v>1579</v>
      </c>
    </row>
    <row r="68" spans="1:18" s="1843" customFormat="1" ht="16.5" thickBot="1">
      <c r="A68" s="1168" t="s">
        <v>1031</v>
      </c>
      <c r="B68" s="1169" t="s">
        <v>1482</v>
      </c>
      <c r="C68" s="345">
        <f ca="1">ROUND(C67*(1-((1+F70)/(1+F68))^F69)/(F68-F70),0)</f>
        <v>-100212</v>
      </c>
      <c r="D68" s="1186" t="s">
        <v>1466</v>
      </c>
      <c r="E68" s="1171" t="s">
        <v>1467</v>
      </c>
      <c r="F68" s="356">
        <f ca="1">F40</f>
        <v>0.05</v>
      </c>
      <c r="O68" s="1895" t="s">
        <v>1042</v>
      </c>
      <c r="P68" s="1935" t="s">
        <v>1580</v>
      </c>
      <c r="Q68" s="1887">
        <f ca="1">ROUND(Q69-Q70*Q71,0)</f>
        <v>-85</v>
      </c>
      <c r="R68" s="1887" t="s">
        <v>1050</v>
      </c>
    </row>
    <row r="69" spans="1:18" s="1843" customFormat="1" ht="13.5" thickBot="1">
      <c r="A69" s="1172"/>
      <c r="B69" s="1173"/>
      <c r="C69" s="350"/>
      <c r="D69" s="1191" t="s">
        <v>1470</v>
      </c>
      <c r="E69" s="1171" t="s">
        <v>1471</v>
      </c>
      <c r="F69" s="378">
        <f ca="1">F41</f>
        <v>60</v>
      </c>
      <c r="O69" s="1895" t="s">
        <v>1047</v>
      </c>
      <c r="P69" s="1935" t="s">
        <v>1581</v>
      </c>
      <c r="Q69" s="1887">
        <f ca="1">C39</f>
        <v>4388</v>
      </c>
      <c r="R69" s="1887" t="s">
        <v>1526</v>
      </c>
    </row>
    <row r="70" spans="1:18" s="1843" customFormat="1" ht="13.5" thickBot="1">
      <c r="A70" s="1175"/>
      <c r="B70" s="1176"/>
      <c r="C70" s="354"/>
      <c r="D70" s="1187"/>
      <c r="E70" s="1171" t="s">
        <v>1474</v>
      </c>
      <c r="F70" s="1277"/>
      <c r="O70" s="1895" t="s">
        <v>1048</v>
      </c>
      <c r="P70" s="1935" t="s">
        <v>1582</v>
      </c>
      <c r="Q70" s="1887">
        <f ca="1">C13</f>
        <v>52621</v>
      </c>
      <c r="R70" s="1887" t="s">
        <v>1526</v>
      </c>
    </row>
    <row r="71" spans="1:18" s="1843" customFormat="1" ht="13.5" thickBot="1">
      <c r="A71" s="1192" t="s">
        <v>1032</v>
      </c>
      <c r="B71" s="1193" t="s">
        <v>1484</v>
      </c>
      <c r="C71" s="381">
        <f ca="1">ROUND(C68*10000/F71,0)</f>
        <v>-7316</v>
      </c>
      <c r="D71" s="1194" t="s">
        <v>1485</v>
      </c>
      <c r="E71" s="1195" t="s">
        <v>1486</v>
      </c>
      <c r="F71" s="384">
        <f ca="1">F43</f>
        <v>136969</v>
      </c>
      <c r="O71" s="1895" t="s">
        <v>1049</v>
      </c>
      <c r="P71" s="1935" t="s">
        <v>1583</v>
      </c>
      <c r="Q71" s="1898">
        <f ca="1">C76</f>
        <v>8.5000000000000006E-2</v>
      </c>
      <c r="R71" s="1887"/>
    </row>
    <row r="72" spans="1:18" s="1843" customFormat="1" ht="13.5" thickBot="1">
      <c r="B72" s="795"/>
      <c r="C72" s="795"/>
      <c r="O72" s="1895" t="s">
        <v>1043</v>
      </c>
      <c r="P72" s="1886" t="s">
        <v>1561</v>
      </c>
      <c r="Q72" s="1898">
        <f>L52</f>
        <v>5.5E-2</v>
      </c>
      <c r="R72" s="1887"/>
    </row>
    <row r="73" spans="1:18" ht="16.5" thickBot="1">
      <c r="A73" s="1843"/>
      <c r="B73" s="795"/>
      <c r="C73" s="795"/>
      <c r="D73" s="1843"/>
      <c r="E73" s="1843"/>
      <c r="F73" s="1843"/>
      <c r="O73" s="1895" t="s">
        <v>1044</v>
      </c>
      <c r="P73" s="1886" t="s">
        <v>1564</v>
      </c>
      <c r="Q73" s="1887">
        <f ca="1">L58</f>
        <v>0.99619999999999997</v>
      </c>
      <c r="R73" s="1887" t="s">
        <v>1565</v>
      </c>
    </row>
    <row r="74" spans="1:18" ht="13.5" thickBot="1">
      <c r="A74" s="1843"/>
      <c r="B74" s="316" t="s">
        <v>1584</v>
      </c>
      <c r="C74" s="1937"/>
      <c r="D74" s="1843"/>
      <c r="E74" s="1843"/>
      <c r="F74" s="1843"/>
      <c r="O74" s="1895" t="s">
        <v>1051</v>
      </c>
      <c r="P74" s="1886" t="str">
        <f>K59</f>
        <v>续建工期及建筑物耐用年限下的土地年期修正系数Kn</v>
      </c>
      <c r="Q74" s="1887">
        <f ca="1">L59</f>
        <v>0.98609999999999998</v>
      </c>
      <c r="R74" s="1887" t="s">
        <v>1566</v>
      </c>
    </row>
    <row r="75" spans="1:18" ht="13.5" thickBot="1">
      <c r="A75" s="1843"/>
      <c r="B75" s="385" t="s">
        <v>1503</v>
      </c>
      <c r="C75" s="386">
        <f ca="1">ROUND(C13*C76,0)</f>
        <v>4473</v>
      </c>
      <c r="D75" s="1843"/>
      <c r="E75" s="1843"/>
      <c r="F75" s="1843"/>
      <c r="K75" s="1869"/>
      <c r="L75" s="1843"/>
      <c r="O75" s="1885" t="s">
        <v>1045</v>
      </c>
      <c r="P75" s="1886" t="s">
        <v>1546</v>
      </c>
      <c r="Q75" s="1887">
        <f ca="1">Q65+Q66</f>
        <v>83062</v>
      </c>
      <c r="R75" s="1887" t="s">
        <v>1046</v>
      </c>
    </row>
    <row r="76" spans="1:18">
      <c r="B76" s="387" t="s">
        <v>1504</v>
      </c>
      <c r="C76" s="388">
        <f ca="1">INDIRECT("'数据-取费表'!j"&amp;$G$1)</f>
        <v>8.5000000000000006E-2</v>
      </c>
      <c r="I76" s="1843"/>
      <c r="J76" s="1843"/>
      <c r="K76" s="1869"/>
      <c r="L76" s="1843"/>
    </row>
    <row r="77" spans="1:18">
      <c r="B77" s="389" t="s">
        <v>1505</v>
      </c>
      <c r="C77" s="390"/>
      <c r="I77" s="1843"/>
      <c r="J77" s="1843"/>
      <c r="K77" s="1869"/>
      <c r="L77" s="1843"/>
    </row>
    <row r="78" spans="1:18">
      <c r="B78" s="313" t="s">
        <v>1506</v>
      </c>
      <c r="C78" s="391"/>
    </row>
    <row r="79" spans="1:18">
      <c r="B79" s="385" t="s">
        <v>1507</v>
      </c>
      <c r="C79" s="317">
        <f ca="1">1-C80</f>
        <v>-1.8999999999999906E-2</v>
      </c>
    </row>
    <row r="80" spans="1:18">
      <c r="B80" s="385" t="s">
        <v>1508</v>
      </c>
      <c r="C80" s="317">
        <f ca="1">ROUND(C75/C39,3)</f>
        <v>1.0189999999999999</v>
      </c>
    </row>
    <row r="81" spans="2:3">
      <c r="B81" s="313" t="s">
        <v>1509</v>
      </c>
      <c r="C81" s="281"/>
    </row>
    <row r="82" spans="2:3">
      <c r="B82" s="316" t="s">
        <v>1510</v>
      </c>
      <c r="C82" s="318">
        <f ca="1">1-C83</f>
        <v>0.36599999999999999</v>
      </c>
    </row>
    <row r="83" spans="2:3">
      <c r="B83" s="316" t="s">
        <v>1511</v>
      </c>
      <c r="C83" s="317">
        <f ca="1">ROUND(C13/C40,3)</f>
        <v>0.63400000000000001</v>
      </c>
    </row>
  </sheetData>
  <sheetProtection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15" sqref="I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1586</v>
      </c>
      <c r="B1" s="781"/>
      <c r="C1" s="1838" t="s">
        <v>1373</v>
      </c>
      <c r="D1" s="1821" t="s">
        <v>3144</v>
      </c>
      <c r="E1" s="1822" t="s">
        <v>1383</v>
      </c>
      <c r="F1" s="1285">
        <f ca="1">J53</f>
        <v>35.78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1512</v>
      </c>
      <c r="B2" s="1845">
        <f ca="1">C40+J29+L46</f>
        <v>5566</v>
      </c>
      <c r="C2" s="1846" t="s">
        <v>1513</v>
      </c>
      <c r="D2" s="1846"/>
      <c r="E2" s="1847"/>
      <c r="F2" s="1848"/>
      <c r="G2" s="1849"/>
      <c r="H2" s="1841"/>
      <c r="I2" s="1841"/>
      <c r="J2" s="1841"/>
      <c r="K2" s="1842"/>
      <c r="L2" s="1841"/>
      <c r="M2" s="1841"/>
    </row>
    <row r="3" spans="1:37" ht="18" customHeight="1" thickBot="1">
      <c r="A3" s="1850" t="s">
        <v>1514</v>
      </c>
      <c r="B3" s="1851">
        <f ca="1">IF(ISERROR(B2*10000/F43),0,ROUND(B2*10000/F43,0))</f>
        <v>13682</v>
      </c>
      <c r="C3" s="1846" t="s">
        <v>1515</v>
      </c>
      <c r="D3" s="1846"/>
      <c r="E3" s="1847"/>
      <c r="F3" s="1848"/>
      <c r="G3" s="1849"/>
      <c r="H3" s="743" t="s">
        <v>1585</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469</v>
      </c>
      <c r="D5" s="1823" t="s">
        <v>1398</v>
      </c>
      <c r="E5" s="1295"/>
      <c r="F5" s="1296"/>
      <c r="G5" s="1852"/>
      <c r="H5" s="343">
        <v>1</v>
      </c>
      <c r="I5" s="344" t="s">
        <v>1397</v>
      </c>
      <c r="J5" s="1294">
        <f ca="1">J6+J10+J12</f>
        <v>0</v>
      </c>
      <c r="K5" s="1823" t="s">
        <v>1398</v>
      </c>
      <c r="L5" s="1295"/>
      <c r="M5" s="1296"/>
    </row>
    <row r="6" spans="1:37" ht="18" customHeight="1">
      <c r="A6" s="1293" t="s">
        <v>1034</v>
      </c>
      <c r="B6" s="3192" t="s">
        <v>1399</v>
      </c>
      <c r="C6" s="1298">
        <f ca="1">ROUND(F6*F8*F7*(1-F9)/10000,0)</f>
        <v>468</v>
      </c>
      <c r="D6" s="163" t="s">
        <v>3014</v>
      </c>
      <c r="E6" s="346" t="s">
        <v>1401</v>
      </c>
      <c r="F6" s="347">
        <f ca="1">INDIRECT("'数据-取费表'!u"&amp;$G$1)</f>
        <v>3.5</v>
      </c>
      <c r="G6" s="1852"/>
      <c r="H6" s="1293" t="s">
        <v>1034</v>
      </c>
      <c r="I6" s="3192" t="s">
        <v>1399</v>
      </c>
      <c r="J6" s="345">
        <f ca="1">ROUND(M6*M8*M7*(1-M9)/10000,0)</f>
        <v>0</v>
      </c>
      <c r="K6" s="163" t="s">
        <v>3013</v>
      </c>
      <c r="L6" s="346" t="s">
        <v>1401</v>
      </c>
      <c r="M6" s="347">
        <f ca="1">INDIRECT("'数据-取费表'!z"&amp;$G$1)</f>
        <v>0</v>
      </c>
    </row>
    <row r="7" spans="1:37" ht="18" customHeight="1">
      <c r="A7" s="1297"/>
      <c r="B7" s="3193"/>
      <c r="C7" s="1299"/>
      <c r="D7" s="351"/>
      <c r="E7" s="2949" t="s">
        <v>1402</v>
      </c>
      <c r="F7" s="347">
        <f ca="1">IF(INDIRECT("'数据-取费表'!ah"&amp;$G$1)="",INDIRECT("'数据-取费表'!k"&amp;$G$1),INDIRECT("'数据-取费表'!ah"&amp;$G$1))</f>
        <v>4068</v>
      </c>
      <c r="G7" s="1852"/>
      <c r="H7" s="348"/>
      <c r="I7" s="3193"/>
      <c r="J7" s="350"/>
      <c r="K7" s="351"/>
      <c r="L7" s="346" t="s">
        <v>1402</v>
      </c>
      <c r="M7" s="347">
        <f ca="1">F7</f>
        <v>4068</v>
      </c>
    </row>
    <row r="8" spans="1:37" ht="18" customHeight="1">
      <c r="A8" s="348"/>
      <c r="B8" s="3193"/>
      <c r="C8" s="350"/>
      <c r="D8" s="351"/>
      <c r="E8" s="346" t="s">
        <v>1403</v>
      </c>
      <c r="F8" s="347">
        <f ca="1">INDIRECT("'数据-取费表'!ai"&amp;$G$1)</f>
        <v>365</v>
      </c>
      <c r="G8" s="1852"/>
      <c r="H8" s="348"/>
      <c r="I8" s="3193"/>
      <c r="J8" s="350"/>
      <c r="K8" s="351"/>
      <c r="L8" s="346" t="s">
        <v>1403</v>
      </c>
      <c r="M8" s="347">
        <f ca="1">INDIRECT("'数据-取费表'!ai"&amp;$G$1)</f>
        <v>365</v>
      </c>
    </row>
    <row r="9" spans="1:37" ht="18" customHeight="1">
      <c r="A9" s="348"/>
      <c r="B9" s="3194"/>
      <c r="C9" s="350"/>
      <c r="D9" s="351"/>
      <c r="E9" s="346" t="s">
        <v>1404</v>
      </c>
      <c r="F9" s="356">
        <f ca="1">INDIRECT("'数据-取费表'!w"&amp;$G$1)</f>
        <v>0.1</v>
      </c>
      <c r="G9" s="1852"/>
      <c r="H9" s="348"/>
      <c r="I9" s="3194"/>
      <c r="J9" s="350"/>
      <c r="K9" s="351"/>
      <c r="L9" s="357" t="s">
        <v>1404</v>
      </c>
      <c r="M9" s="358">
        <f ca="1">INDIRECT("'数据-取费表'!ab"&amp;$G$1)</f>
        <v>0</v>
      </c>
    </row>
    <row r="10" spans="1:37" ht="18" customHeight="1">
      <c r="A10" s="1293" t="s">
        <v>1038</v>
      </c>
      <c r="B10" s="1824" t="s">
        <v>1405</v>
      </c>
      <c r="C10" s="360">
        <f ca="1">ROUND(IF(F10="押一",F6*F8*F7/12*F11,IF(F10="押二",F6*F8*F7/12*2*F11,IF(F10="押三",F6*F8*F7/12*3*F11,C11*F11)))/10000,0)</f>
        <v>1</v>
      </c>
      <c r="D10" s="1825" t="s">
        <v>3015</v>
      </c>
      <c r="E10" s="357" t="s">
        <v>1407</v>
      </c>
      <c r="F10" s="1368" t="s">
        <v>3046</v>
      </c>
      <c r="G10" s="1852"/>
      <c r="H10" s="1293" t="s">
        <v>1038</v>
      </c>
      <c r="I10" s="1824" t="s">
        <v>1405</v>
      </c>
      <c r="J10" s="345">
        <f ca="1">ROUND(IF(M10="押一",M6*M8*M7/12*M11,IF(M10="押二",M6*M8*M7/12*2*M11,IF(M10="押三",M6*M8*M7/12*3*M11,J11*M11)))/10000,0)</f>
        <v>0</v>
      </c>
      <c r="K10" s="1825" t="s">
        <v>3016</v>
      </c>
      <c r="L10" s="357" t="s">
        <v>1407</v>
      </c>
      <c r="M10" s="1368" t="s">
        <v>1408</v>
      </c>
    </row>
    <row r="11" spans="1:37" ht="18" customHeight="1">
      <c r="A11" s="352"/>
      <c r="B11" s="1826" t="s">
        <v>1384</v>
      </c>
      <c r="C11" s="1180"/>
      <c r="D11" s="1827"/>
      <c r="E11" s="357" t="s">
        <v>1409</v>
      </c>
      <c r="F11" s="358">
        <f ca="1">'数据-取费表'!B39</f>
        <v>1.4999999999999999E-2</v>
      </c>
      <c r="G11" s="1852"/>
      <c r="H11" s="1301"/>
      <c r="I11" s="1826" t="s">
        <v>1384</v>
      </c>
      <c r="J11" s="1180"/>
      <c r="K11" s="747"/>
      <c r="L11" s="357" t="s">
        <v>1409</v>
      </c>
      <c r="M11" s="1058">
        <f ca="1">'数据-取费表'!B39</f>
        <v>1.4999999999999999E-2</v>
      </c>
    </row>
    <row r="12" spans="1:37" ht="18" customHeight="1" thickBot="1">
      <c r="A12" s="1335" t="s">
        <v>1074</v>
      </c>
      <c r="B12" s="1828" t="s">
        <v>1410</v>
      </c>
      <c r="C12" s="1336"/>
      <c r="D12" s="1337"/>
      <c r="E12" s="1342"/>
      <c r="F12" s="1338"/>
      <c r="G12" s="1852"/>
      <c r="H12" s="1335" t="s">
        <v>1074</v>
      </c>
      <c r="I12" s="1828" t="s">
        <v>1410</v>
      </c>
      <c r="J12" s="1336"/>
      <c r="K12" s="1350"/>
      <c r="L12" s="1342"/>
      <c r="M12" s="1351"/>
    </row>
    <row r="13" spans="1:37" ht="18" customHeight="1" thickTop="1">
      <c r="A13" s="1331">
        <v>2</v>
      </c>
      <c r="B13" s="1332" t="s">
        <v>1411</v>
      </c>
      <c r="C13" s="354">
        <f ca="1">ROUND(C29*F13,0)</f>
        <v>1456</v>
      </c>
      <c r="D13" s="1333" t="s">
        <v>1412</v>
      </c>
      <c r="E13" s="1333" t="s">
        <v>1413</v>
      </c>
      <c r="F13" s="1334">
        <f ca="1">INDIRECT("'数据-取费表'!y"&amp;$G$1)</f>
        <v>1</v>
      </c>
      <c r="G13" s="1852"/>
      <c r="H13" s="1331">
        <v>2</v>
      </c>
      <c r="I13" s="1332" t="s">
        <v>1411</v>
      </c>
      <c r="J13" s="1292">
        <f ca="1">ROUND(J14*J15,0)</f>
        <v>0</v>
      </c>
      <c r="K13" s="1339" t="s">
        <v>1412</v>
      </c>
      <c r="L13" s="1853"/>
      <c r="M13" s="1854"/>
    </row>
    <row r="14" spans="1:37" ht="18" customHeight="1">
      <c r="A14" s="1203" t="s">
        <v>1033</v>
      </c>
      <c r="B14" s="346" t="s">
        <v>1414</v>
      </c>
      <c r="C14" s="362">
        <f ca="1">INDIRECT("'数据-取费表'!m"&amp;$G$1)+INDIRECT("'数据-取费表'!t"&amp;$G$1)</f>
        <v>925</v>
      </c>
      <c r="D14" s="2940" t="s">
        <v>1415</v>
      </c>
      <c r="E14" s="2938"/>
      <c r="F14" s="363"/>
      <c r="G14" s="1852"/>
      <c r="H14" s="1203" t="s">
        <v>1034</v>
      </c>
      <c r="I14" s="346" t="s">
        <v>1416</v>
      </c>
      <c r="J14" s="24">
        <f ca="1">C29</f>
        <v>1456</v>
      </c>
      <c r="K14" s="2948"/>
      <c r="L14" s="981"/>
      <c r="M14" s="982"/>
    </row>
    <row r="15" spans="1:37" s="1859" customFormat="1" ht="18" customHeight="1" thickBot="1">
      <c r="A15" s="1203" t="s">
        <v>1035</v>
      </c>
      <c r="B15" s="346" t="s">
        <v>1417</v>
      </c>
      <c r="C15" s="24">
        <f ca="1">ROUND(C14*F15,0)</f>
        <v>28</v>
      </c>
      <c r="D15" s="364" t="s">
        <v>1418</v>
      </c>
      <c r="E15" s="364" t="s">
        <v>1419</v>
      </c>
      <c r="F15" s="365">
        <f>'数据-取费表'!B33</f>
        <v>0.03</v>
      </c>
      <c r="G15" s="1855"/>
      <c r="H15" s="1341" t="s">
        <v>1038</v>
      </c>
      <c r="I15" s="1342" t="s">
        <v>1413</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1420</v>
      </c>
      <c r="C16" s="24">
        <f ca="1">ROUND(INDIRECT("'数据-取费表'!m"&amp;$G$1)*F16,0)</f>
        <v>0</v>
      </c>
      <c r="D16" s="346" t="s">
        <v>1418</v>
      </c>
      <c r="E16" s="346" t="s">
        <v>1419</v>
      </c>
      <c r="F16" s="366">
        <f ca="1">IF(INDIRECT("'数据-取费表'!c"&amp;$G$1)="住宅",'数据-取费表'!B34,0)</f>
        <v>0</v>
      </c>
      <c r="G16" s="1852"/>
      <c r="H16" s="1331" t="s">
        <v>1029</v>
      </c>
      <c r="I16" s="1332" t="s">
        <v>1421</v>
      </c>
      <c r="J16" s="354">
        <f ca="1">ROUND(J17+J22+J23+J24,0)</f>
        <v>34</v>
      </c>
      <c r="K16" s="1339" t="s">
        <v>1422</v>
      </c>
      <c r="L16" s="2942"/>
      <c r="M16" s="1296"/>
    </row>
    <row r="17" spans="1:37" s="1859" customFormat="1" ht="18" customHeight="1">
      <c r="A17" s="1203" t="s">
        <v>1386</v>
      </c>
      <c r="B17" s="346" t="s">
        <v>1423</v>
      </c>
      <c r="C17" s="24">
        <f ca="1">ROUND(F17*(F43+INDIRECT("'数据-取费表'!S"&amp;$G$1))/10000,0)</f>
        <v>92</v>
      </c>
      <c r="D17" s="346" t="s">
        <v>1424</v>
      </c>
      <c r="E17" s="346" t="s">
        <v>1425</v>
      </c>
      <c r="F17" s="26">
        <f>'数据-取费表'!B35</f>
        <v>200</v>
      </c>
      <c r="G17" s="1855"/>
      <c r="H17" s="1203" t="s">
        <v>1034</v>
      </c>
      <c r="I17" s="346" t="s">
        <v>1426</v>
      </c>
      <c r="J17" s="24">
        <f ca="1">ROUND(IF(项目基本情况!B11="自然人",J5*M17,J18+J19+J20),1)</f>
        <v>12.4</v>
      </c>
      <c r="K17" s="2940" t="s">
        <v>1427</v>
      </c>
      <c r="L17" s="2939" t="s">
        <v>1428</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1429</v>
      </c>
      <c r="C18" s="24">
        <f ca="1">ROUND(C14*F18,0)</f>
        <v>14</v>
      </c>
      <c r="D18" s="346" t="s">
        <v>1418</v>
      </c>
      <c r="E18" s="346" t="s">
        <v>1419</v>
      </c>
      <c r="F18" s="366">
        <f>'数据-取费表'!B36</f>
        <v>1.4999999999999999E-2</v>
      </c>
      <c r="G18" s="1855"/>
      <c r="H18" s="1203" t="s">
        <v>1033</v>
      </c>
      <c r="I18" s="346" t="s">
        <v>1430</v>
      </c>
      <c r="J18" s="24">
        <f ca="1">ROUND(J5*M18/(1+'数据-取费表'!C42),2)</f>
        <v>0</v>
      </c>
      <c r="K18" s="2939" t="s">
        <v>1431</v>
      </c>
      <c r="L18" s="346" t="s">
        <v>1419</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1034</v>
      </c>
      <c r="B19" s="346" t="s">
        <v>1432</v>
      </c>
      <c r="C19" s="24">
        <f ca="1">SUM(C14:C18)</f>
        <v>1059</v>
      </c>
      <c r="D19" s="139" t="s">
        <v>1433</v>
      </c>
      <c r="E19" s="2947"/>
      <c r="F19" s="26"/>
      <c r="G19" s="1852"/>
      <c r="H19" s="1203" t="s">
        <v>1035</v>
      </c>
      <c r="I19" s="346" t="s">
        <v>1434</v>
      </c>
      <c r="J19" s="24">
        <f ca="1">IF(K19="按租金收入计税",ROUND(J5*M19,2),ROUND(C29*M19*0.7,2))</f>
        <v>12.23</v>
      </c>
      <c r="K19" s="1829" t="s">
        <v>1435</v>
      </c>
      <c r="L19" s="346" t="s">
        <v>1419</v>
      </c>
      <c r="M19" s="366">
        <f>IF(K19="按租金收入计税",'数据-取费表'!B51,'数据-取费表'!B50)</f>
        <v>1.2E-2</v>
      </c>
    </row>
    <row r="20" spans="1:37" s="1859" customFormat="1" ht="18" customHeight="1">
      <c r="A20" s="1203" t="s">
        <v>1038</v>
      </c>
      <c r="B20" s="346" t="s">
        <v>1436</v>
      </c>
      <c r="C20" s="24">
        <f ca="1">ROUND(C19*F20,0)</f>
        <v>11</v>
      </c>
      <c r="D20" s="368" t="s">
        <v>1437</v>
      </c>
      <c r="E20" s="346" t="s">
        <v>1419</v>
      </c>
      <c r="F20" s="366">
        <f>'数据-取费表'!B37</f>
        <v>0.01</v>
      </c>
      <c r="G20" s="1855"/>
      <c r="H20" s="1203" t="s">
        <v>1385</v>
      </c>
      <c r="I20" s="163" t="s">
        <v>1438</v>
      </c>
      <c r="J20" s="25">
        <f ca="1">ROUND(M20*M21/10000,2)</f>
        <v>0.17</v>
      </c>
      <c r="K20" s="369" t="s">
        <v>1439</v>
      </c>
      <c r="L20" s="346" t="s">
        <v>1440</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1074</v>
      </c>
      <c r="B21" s="346" t="s">
        <v>1441</v>
      </c>
      <c r="C21" s="24" t="s">
        <v>18</v>
      </c>
      <c r="D21" s="368" t="s">
        <v>1442</v>
      </c>
      <c r="E21" s="346" t="s">
        <v>1443</v>
      </c>
      <c r="F21" s="366">
        <f>'数据-取费表'!B38</f>
        <v>0.01</v>
      </c>
      <c r="G21" s="1855"/>
      <c r="H21" s="371"/>
      <c r="I21" s="355"/>
      <c r="J21" s="29"/>
      <c r="K21" s="372"/>
      <c r="L21" s="346" t="s">
        <v>1444</v>
      </c>
      <c r="M21" s="347">
        <f ca="1">INDIRECT("'数据-取费表'!r"&amp;$G$1)</f>
        <v>1116.75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1445</v>
      </c>
      <c r="C22" s="24"/>
      <c r="D22" s="139" t="str">
        <f>IF(F23&lt;=1,"单利计息。","复利计息。")&amp;"建造成本、管理费用、销售费用产生的利息。"</f>
        <v>复利计息。建造成本、管理费用、销售费用产生的利息。</v>
      </c>
      <c r="E22" s="2947"/>
      <c r="F22" s="26"/>
      <c r="G22" s="1852"/>
      <c r="H22" s="1203" t="s">
        <v>1038</v>
      </c>
      <c r="I22" s="346" t="s">
        <v>1446</v>
      </c>
      <c r="J22" s="24">
        <f ca="1">ROUND(J14*M22,1)</f>
        <v>21.8</v>
      </c>
      <c r="K22" s="2939" t="s">
        <v>1447</v>
      </c>
      <c r="L22" s="346" t="s">
        <v>1419</v>
      </c>
      <c r="M22" s="373">
        <f ca="1">INDIRECT("'数据-取费表'!Ak"&amp;$G$1)</f>
        <v>1.4999999999999999E-2</v>
      </c>
    </row>
    <row r="23" spans="1:37" s="1859" customFormat="1" ht="18" customHeight="1">
      <c r="A23" s="1203" t="s">
        <v>1033</v>
      </c>
      <c r="B23" s="346" t="s">
        <v>1448</v>
      </c>
      <c r="C23" s="24">
        <f ca="1">IF('数据-取费表'!B22&lt;=1,ROUND(C19*F24*F23/2,0)+ROUND(C20*F24*F23/2,0),ROUND(C19*(POWER((1+F24),F23/2)-1),0)+ROUND(C20*(POWER((1+F24),F23/2)-1),0))</f>
        <v>77</v>
      </c>
      <c r="D23" s="374" t="str">
        <f>IF(F23&lt;=1,"(建造成本+管理费用)×利率×(建设周期÷2)","(建造成本+管理费用)×((1+利率)^(建设周期÷2)-1)")</f>
        <v>(建造成本+管理费用)×((1+利率)^(建设周期÷2)-1)</v>
      </c>
      <c r="E23" s="346" t="s">
        <v>1449</v>
      </c>
      <c r="F23" s="370">
        <f>'数据-取费表'!B20</f>
        <v>3</v>
      </c>
      <c r="G23" s="1855"/>
      <c r="H23" s="1203" t="s">
        <v>1074</v>
      </c>
      <c r="I23" s="346" t="s">
        <v>1450</v>
      </c>
      <c r="J23" s="24">
        <f ca="1">ROUND(J13*M23,1)</f>
        <v>0</v>
      </c>
      <c r="K23" s="2939" t="s">
        <v>1451</v>
      </c>
      <c r="L23" s="346" t="s">
        <v>1452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1453</v>
      </c>
      <c r="B24" s="346" t="s">
        <v>1454</v>
      </c>
      <c r="C24" s="24">
        <f ca="1">ROUND(IF('数据-取费表'!B22&lt;=1,F21*F24*F23/2,F21*(POWER((1+F24),F23/2)-1)),4)</f>
        <v>6.9999999999999999E-4</v>
      </c>
      <c r="D24" s="374" t="str">
        <f>IF(F23&lt;=1,"销售费用×利率×(建设周期÷2)","销售费用×((1+利率)^(建设周期÷2)-1)")</f>
        <v>销售费用×((1+利率)^(建设周期÷2)-1)</v>
      </c>
      <c r="E24" s="346" t="s">
        <v>1455</v>
      </c>
      <c r="F24" s="376">
        <f ca="1">'数据-取费表'!B40</f>
        <v>4.7500000000000001E-2</v>
      </c>
      <c r="G24" s="1855"/>
      <c r="H24" s="1341" t="s">
        <v>1389</v>
      </c>
      <c r="I24" s="1342" t="s">
        <v>1436</v>
      </c>
      <c r="J24" s="1343">
        <f ca="1">ROUND(J5*M24,1)</f>
        <v>0</v>
      </c>
      <c r="K24" s="1344" t="s">
        <v>1456</v>
      </c>
      <c r="L24" s="1342" t="s">
        <v>1452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1457</v>
      </c>
      <c r="B25" s="346" t="s">
        <v>1458</v>
      </c>
      <c r="C25" s="24"/>
      <c r="D25" s="139" t="s">
        <v>1459</v>
      </c>
      <c r="E25" s="2947"/>
      <c r="F25" s="26"/>
      <c r="G25" s="1852"/>
      <c r="H25" s="1331" t="s">
        <v>1030</v>
      </c>
      <c r="I25" s="1346" t="s">
        <v>1460</v>
      </c>
      <c r="J25" s="354">
        <f ca="1">J5-J16</f>
        <v>-34</v>
      </c>
      <c r="K25" s="1347" t="s">
        <v>1461</v>
      </c>
      <c r="L25" s="1348"/>
      <c r="M25" s="1349"/>
    </row>
    <row r="26" spans="1:37">
      <c r="A26" s="1203" t="s">
        <v>1033</v>
      </c>
      <c r="B26" s="346" t="s">
        <v>1462</v>
      </c>
      <c r="C26" s="24">
        <f ca="1">ROUND((C19+C20)*F26,0)</f>
        <v>214</v>
      </c>
      <c r="D26" s="368" t="s">
        <v>1463</v>
      </c>
      <c r="E26" s="357" t="s">
        <v>1464</v>
      </c>
      <c r="F26" s="356">
        <f ca="1">INDIRECT("'数据-取费表'!q"&amp;$G$1)</f>
        <v>0.2</v>
      </c>
      <c r="G26" s="1852"/>
      <c r="H26" s="343" t="s">
        <v>1031</v>
      </c>
      <c r="I26" s="344" t="s">
        <v>1465</v>
      </c>
      <c r="J26" s="345">
        <f ca="1">IF(J5&lt;&gt;0,ROUND(J25*(1-((1+M28)/(1+M26))^M27)/(M26-M28),0),0)</f>
        <v>0</v>
      </c>
      <c r="K26" s="369" t="s">
        <v>1466</v>
      </c>
      <c r="L26" s="346" t="s">
        <v>1467</v>
      </c>
      <c r="M26" s="356">
        <f ca="1">INDIRECT("'数据-取费表'!I"&amp;$G$1)</f>
        <v>5.5E-2</v>
      </c>
    </row>
    <row r="27" spans="1:37" ht="18" customHeight="1">
      <c r="A27" s="1203" t="s">
        <v>1035</v>
      </c>
      <c r="B27" s="346" t="s">
        <v>1468</v>
      </c>
      <c r="C27" s="24">
        <f ca="1">ROUND(F21*F26,4)</f>
        <v>2E-3</v>
      </c>
      <c r="D27" s="368" t="s">
        <v>1469</v>
      </c>
      <c r="E27" s="364"/>
      <c r="F27" s="365"/>
      <c r="G27" s="1852"/>
      <c r="H27" s="348"/>
      <c r="I27" s="349"/>
      <c r="J27" s="350"/>
      <c r="K27" s="377" t="s">
        <v>1470</v>
      </c>
      <c r="L27" s="346" t="s">
        <v>1471</v>
      </c>
      <c r="M27" s="378">
        <f ca="1">INDIRECT("'数据-取费表'!ag"&amp;$G$1)</f>
        <v>0</v>
      </c>
    </row>
    <row r="28" spans="1:37" s="1859" customFormat="1" ht="18" customHeight="1">
      <c r="A28" s="1203" t="s">
        <v>1036</v>
      </c>
      <c r="B28" s="346" t="s">
        <v>1472</v>
      </c>
      <c r="C28" s="24">
        <f>ROUND(F28/(1+'数据-取费表'!C42),4)</f>
        <v>5.2400000000000002E-2</v>
      </c>
      <c r="D28" s="368" t="s">
        <v>1473</v>
      </c>
      <c r="E28" s="346" t="s">
        <v>1419</v>
      </c>
      <c r="F28" s="366">
        <f>'数据-取费表'!B41</f>
        <v>5.5000000000000007E-2</v>
      </c>
      <c r="G28" s="1855"/>
      <c r="H28" s="352"/>
      <c r="I28" s="353"/>
      <c r="J28" s="354"/>
      <c r="K28" s="372"/>
      <c r="L28" s="346" t="s">
        <v>1474</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1037</v>
      </c>
      <c r="B29" s="1342" t="s">
        <v>1475</v>
      </c>
      <c r="C29" s="1343">
        <f ca="1">ROUND((C19+C20+C23+C26)/(1-F21-C24-C27-C28),0)</f>
        <v>1456</v>
      </c>
      <c r="D29" s="1344"/>
      <c r="E29" s="1342"/>
      <c r="F29" s="1345"/>
      <c r="G29" s="1855"/>
      <c r="H29" s="379" t="s">
        <v>1032</v>
      </c>
      <c r="I29" s="380" t="s">
        <v>1476</v>
      </c>
      <c r="J29" s="381">
        <f ca="1">ROUND(J26/(1+F40)^F41,0)</f>
        <v>0</v>
      </c>
      <c r="K29" s="382" t="s">
        <v>1477</v>
      </c>
      <c r="L29" s="383"/>
      <c r="M29" s="384">
        <f ca="1">INDIRECT("'数据-取费表'!k"&amp;$G$1)</f>
        <v>4068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1029</v>
      </c>
      <c r="B30" s="1332" t="s">
        <v>1421</v>
      </c>
      <c r="C30" s="354">
        <f ca="1">ROUND(C31+C36+C37+C38,0)</f>
        <v>110</v>
      </c>
      <c r="D30" s="1339" t="s">
        <v>1422</v>
      </c>
      <c r="E30" s="2942"/>
      <c r="F30" s="1296"/>
      <c r="G30" s="1852"/>
      <c r="H30" s="744"/>
      <c r="I30" s="745"/>
      <c r="J30" s="746"/>
      <c r="K30" s="747"/>
      <c r="L30" s="748"/>
      <c r="M30" s="749"/>
    </row>
    <row r="31" spans="1:37" ht="18" customHeight="1">
      <c r="A31" s="1203" t="s">
        <v>1034</v>
      </c>
      <c r="B31" s="346" t="s">
        <v>1426</v>
      </c>
      <c r="C31" s="24">
        <f ca="1">ROUND(IF(项目基本情况!B11="自然人",C5*F31,C32+C33+C34),1)</f>
        <v>81</v>
      </c>
      <c r="D31" s="2940" t="s">
        <v>1427</v>
      </c>
      <c r="E31" s="2939" t="s">
        <v>1478</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1033</v>
      </c>
      <c r="B32" s="346" t="s">
        <v>1430</v>
      </c>
      <c r="C32" s="24">
        <f ca="1">IF(项目基本情况!B11="自然人","——",ROUND(C5*F32/(1+'数据-取费表'!C42),2))</f>
        <v>24.57</v>
      </c>
      <c r="D32" s="2939" t="s">
        <v>1431</v>
      </c>
      <c r="E32" s="346" t="s">
        <v>1419</v>
      </c>
      <c r="F32" s="376">
        <f>'数据-取费表'!B41</f>
        <v>5.5000000000000007E-2</v>
      </c>
      <c r="G32" s="1852"/>
      <c r="H32" s="744"/>
      <c r="I32" s="745"/>
      <c r="J32" s="746"/>
      <c r="K32" s="747"/>
      <c r="L32" s="748"/>
      <c r="M32" s="749"/>
    </row>
    <row r="33" spans="1:18" ht="18" customHeight="1">
      <c r="A33" s="1203" t="s">
        <v>1035</v>
      </c>
      <c r="B33" s="346" t="s">
        <v>1434</v>
      </c>
      <c r="C33" s="24">
        <f ca="1">IF(项目基本情况!B11="自然人","——",IF(D33="按租金收入计税",ROUND(C5*F33,2),IF(D33="按房产原值计税",ROUND(C29*F33*0.7,2),INDIRECT("'数据-取费表'!Aj"&amp;$G$1))))</f>
        <v>56.28</v>
      </c>
      <c r="D33" s="1829" t="s">
        <v>3045</v>
      </c>
      <c r="E33" s="346" t="s">
        <v>1419</v>
      </c>
      <c r="F33" s="366">
        <f>IF(D33="按票据","——",IF(D33="按租金收入计税",'数据-取费表'!B51,'数据-取费表'!B50))</f>
        <v>0.12</v>
      </c>
      <c r="G33" s="1852"/>
      <c r="H33" s="1860"/>
      <c r="I33" s="1861"/>
      <c r="J33" s="1862"/>
      <c r="K33" s="1863"/>
      <c r="L33" s="1860"/>
      <c r="M33" s="1860"/>
    </row>
    <row r="34" spans="1:18" ht="18" customHeight="1">
      <c r="A34" s="1293" t="s">
        <v>1385</v>
      </c>
      <c r="B34" s="163" t="s">
        <v>1438</v>
      </c>
      <c r="C34" s="25">
        <f ca="1">IF(项目基本情况!B11="自然人","——",ROUND(F34*F35/10000,2))</f>
        <v>0.17</v>
      </c>
      <c r="D34" s="369" t="s">
        <v>1439</v>
      </c>
      <c r="E34" s="346" t="s">
        <v>1440</v>
      </c>
      <c r="F34" s="370">
        <f>'数据-取费表'!B52</f>
        <v>1.5</v>
      </c>
      <c r="G34" s="1852"/>
      <c r="H34" s="744"/>
      <c r="I34" s="1861"/>
      <c r="J34" s="1862"/>
      <c r="K34" s="1864"/>
      <c r="L34" s="1865"/>
      <c r="M34" s="1865"/>
    </row>
    <row r="35" spans="1:18" ht="18" customHeight="1">
      <c r="A35" s="1355"/>
      <c r="B35" s="1353"/>
      <c r="C35" s="29"/>
      <c r="D35" s="372"/>
      <c r="E35" s="346" t="s">
        <v>1444</v>
      </c>
      <c r="F35" s="347">
        <f ca="1">INDIRECT("'数据-取费表'!r"&amp;$G$1)</f>
        <v>1116.75</v>
      </c>
      <c r="G35" s="1852"/>
      <c r="H35" s="744"/>
      <c r="I35" s="1861"/>
      <c r="J35" s="1862"/>
      <c r="K35" s="1863"/>
      <c r="L35" s="1860"/>
      <c r="M35" s="1860"/>
    </row>
    <row r="36" spans="1:18" ht="18" customHeight="1">
      <c r="A36" s="1354" t="s">
        <v>1038</v>
      </c>
      <c r="B36" s="346" t="s">
        <v>1446</v>
      </c>
      <c r="C36" s="24">
        <f ca="1">ROUND(C29*F36,1)</f>
        <v>21.8</v>
      </c>
      <c r="D36" s="2939" t="s">
        <v>1479</v>
      </c>
      <c r="E36" s="346" t="s">
        <v>1419</v>
      </c>
      <c r="F36" s="373">
        <f ca="1">INDIRECT("'数据-取费表'!Ak"&amp;$G$1)</f>
        <v>1.4999999999999999E-2</v>
      </c>
      <c r="G36" s="1852"/>
      <c r="H36" s="1860"/>
      <c r="I36" s="1861"/>
      <c r="J36" s="1862"/>
      <c r="K36" s="750"/>
      <c r="L36" s="1860"/>
      <c r="M36" s="1860"/>
    </row>
    <row r="37" spans="1:18" ht="18" customHeight="1">
      <c r="A37" s="1203" t="s">
        <v>1074</v>
      </c>
      <c r="B37" s="346" t="s">
        <v>1450</v>
      </c>
      <c r="C37" s="24">
        <f ca="1">ROUND(C13*F37,1)</f>
        <v>2.2000000000000002</v>
      </c>
      <c r="D37" s="2939" t="s">
        <v>1451</v>
      </c>
      <c r="E37" s="346" t="s">
        <v>1452</v>
      </c>
      <c r="F37" s="375">
        <f ca="1">INDIRECT("'数据-取费表'!Al"&amp;$G$1)</f>
        <v>1.5E-3</v>
      </c>
      <c r="G37" s="1852"/>
      <c r="H37" s="1860"/>
      <c r="I37" s="1861"/>
      <c r="J37" s="1862"/>
      <c r="K37" s="750"/>
      <c r="L37" s="1860"/>
      <c r="M37" s="1860"/>
    </row>
    <row r="38" spans="1:18" ht="18" customHeight="1" thickBot="1">
      <c r="A38" s="1341" t="s">
        <v>1389</v>
      </c>
      <c r="B38" s="1342" t="s">
        <v>1436</v>
      </c>
      <c r="C38" s="1343">
        <f ca="1">ROUND(C5*F38,1)</f>
        <v>4.7</v>
      </c>
      <c r="D38" s="1344" t="s">
        <v>1456</v>
      </c>
      <c r="E38" s="1342" t="s">
        <v>1452</v>
      </c>
      <c r="F38" s="1338">
        <f ca="1">INDIRECT("'数据-取费表'!Am"&amp;$G$1)</f>
        <v>0.01</v>
      </c>
      <c r="G38" s="1852"/>
      <c r="H38" s="1860"/>
      <c r="I38" s="1861"/>
      <c r="J38" s="1862"/>
      <c r="K38" s="1866"/>
      <c r="L38" s="1860"/>
      <c r="M38" s="1860"/>
    </row>
    <row r="39" spans="1:18" ht="24.6" customHeight="1" thickTop="1">
      <c r="A39" s="1331" t="s">
        <v>1030</v>
      </c>
      <c r="B39" s="1346" t="s">
        <v>1480</v>
      </c>
      <c r="C39" s="354">
        <f ca="1">C5-C30</f>
        <v>359</v>
      </c>
      <c r="D39" s="1347" t="s">
        <v>1481</v>
      </c>
      <c r="E39" s="1348"/>
      <c r="F39" s="1349"/>
      <c r="G39" s="1852"/>
      <c r="H39" s="1860"/>
      <c r="I39" s="1861"/>
      <c r="J39" s="1862"/>
      <c r="K39" s="1866"/>
      <c r="L39" s="1860"/>
      <c r="M39" s="1860"/>
    </row>
    <row r="40" spans="1:18" ht="18" customHeight="1">
      <c r="A40" s="343" t="s">
        <v>1031</v>
      </c>
      <c r="B40" s="344" t="s">
        <v>1482</v>
      </c>
      <c r="C40" s="345">
        <f ca="1">ROUND(C39*(1-((1+F42)/(1+F40))^F41)/(F40-F42),0)</f>
        <v>5566</v>
      </c>
      <c r="D40" s="369" t="s">
        <v>1466</v>
      </c>
      <c r="E40" s="346" t="s">
        <v>1467</v>
      </c>
      <c r="F40" s="356">
        <f ca="1">INDIRECT("'数据-取费表'!I"&amp;$G$1)</f>
        <v>5.5E-2</v>
      </c>
      <c r="G40" s="1852"/>
      <c r="H40" s="1840"/>
      <c r="I40" s="1861"/>
      <c r="J40" s="1862"/>
      <c r="K40" s="1866"/>
      <c r="L40" s="1840"/>
      <c r="M40" s="1840"/>
    </row>
    <row r="41" spans="1:18" ht="18" customHeight="1">
      <c r="A41" s="348"/>
      <c r="B41" s="349"/>
      <c r="C41" s="350"/>
      <c r="D41" s="377" t="s">
        <v>1483</v>
      </c>
      <c r="E41" s="346" t="s">
        <v>1471</v>
      </c>
      <c r="F41" s="378">
        <f ca="1">IF(INDIRECT("'数据-取费表'!af"&amp;$G$1)=0,INDIRECT("'数据-取费表'!ae"&amp;$G$1),INDIRECT("'数据-取费表'!af"&amp;$G$1))</f>
        <v>35.78</v>
      </c>
      <c r="G41" s="1852"/>
      <c r="H41" s="731"/>
      <c r="I41" s="1861"/>
      <c r="J41" s="1862"/>
      <c r="K41" s="750"/>
      <c r="L41" s="731"/>
      <c r="M41" s="731"/>
    </row>
    <row r="42" spans="1:18" ht="18" customHeight="1">
      <c r="A42" s="352"/>
      <c r="B42" s="353"/>
      <c r="C42" s="354"/>
      <c r="D42" s="372"/>
      <c r="E42" s="346" t="s">
        <v>1474</v>
      </c>
      <c r="F42" s="356">
        <f ca="1">INDIRECT("'数据-取费表'!v"&amp;$G$1)</f>
        <v>0</v>
      </c>
      <c r="G42" s="1852"/>
      <c r="H42" s="731"/>
      <c r="I42" s="1861"/>
      <c r="J42" s="1862"/>
      <c r="K42" s="750"/>
      <c r="L42" s="731"/>
      <c r="M42" s="731"/>
    </row>
    <row r="43" spans="1:18" ht="18" customHeight="1" thickBot="1">
      <c r="A43" s="379" t="s">
        <v>1032</v>
      </c>
      <c r="B43" s="380" t="s">
        <v>1484</v>
      </c>
      <c r="C43" s="381">
        <f ca="1">ROUND(C40*10000/F43,0)</f>
        <v>13682</v>
      </c>
      <c r="D43" s="382" t="s">
        <v>1485</v>
      </c>
      <c r="E43" s="383" t="s">
        <v>1486</v>
      </c>
      <c r="F43" s="384">
        <f ca="1">INDIRECT("'数据-取费表'!k"&amp;$G$1)</f>
        <v>4068</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1516</v>
      </c>
      <c r="P45" s="1840"/>
      <c r="Q45" s="1840"/>
      <c r="R45" s="1840"/>
    </row>
    <row r="46" spans="1:18" s="1843" customFormat="1" ht="13.5" thickBot="1">
      <c r="A46" s="1871" t="s">
        <v>1517</v>
      </c>
      <c r="C46" s="1872">
        <f ca="1">C68-C40</f>
        <v>-7845</v>
      </c>
      <c r="D46" s="1873" t="str">
        <f>C2</f>
        <v>万元</v>
      </c>
      <c r="E46" s="1867"/>
      <c r="F46" s="1867"/>
      <c r="I46" s="1874" t="s">
        <v>1518</v>
      </c>
      <c r="J46" s="1875"/>
      <c r="K46" s="1876"/>
      <c r="L46" s="1877" t="str">
        <f ca="1">IF(M47="住宅",0,IF(L48&gt;J51,L60,J60))</f>
        <v>0</v>
      </c>
      <c r="O46" s="1878" t="s">
        <v>1519</v>
      </c>
      <c r="P46" s="1879" t="s">
        <v>1520</v>
      </c>
      <c r="Q46" s="1880" t="s">
        <v>1521</v>
      </c>
      <c r="R46" s="1880" t="s">
        <v>1522</v>
      </c>
    </row>
    <row r="47" spans="1:18" s="1843" customFormat="1" ht="13.5" thickBot="1">
      <c r="A47" s="1167" t="s">
        <v>1392</v>
      </c>
      <c r="B47" s="1199" t="s">
        <v>1393</v>
      </c>
      <c r="C47" s="1369" t="s">
        <v>1394</v>
      </c>
      <c r="D47" s="1199" t="s">
        <v>1395</v>
      </c>
      <c r="E47" s="1281" t="s">
        <v>1396</v>
      </c>
      <c r="F47" s="1282"/>
      <c r="G47" s="791"/>
      <c r="I47" s="1881" t="s">
        <v>1523</v>
      </c>
      <c r="J47" s="1882" t="s">
        <v>3043</v>
      </c>
      <c r="K47" s="1883" t="s">
        <v>1524</v>
      </c>
      <c r="L47" s="1884">
        <f ca="1">INDIRECT("'数据-取费表'!d"&amp;$G$1)</f>
        <v>40</v>
      </c>
      <c r="M47" s="1839" t="str">
        <f>IF(ISNUMBER(FIND("住宅",C1)),"住宅","非住宅")</f>
        <v>非住宅</v>
      </c>
      <c r="O47" s="1885" t="s">
        <v>1039</v>
      </c>
      <c r="P47" s="1886" t="s">
        <v>1525</v>
      </c>
      <c r="Q47" s="1887">
        <f ca="1">C40+J29</f>
        <v>5566</v>
      </c>
      <c r="R47" s="1887" t="s">
        <v>1526</v>
      </c>
    </row>
    <row r="48" spans="1:18" s="1843" customFormat="1" ht="28.5" thickBot="1">
      <c r="A48" s="1362" t="s">
        <v>1134</v>
      </c>
      <c r="B48" s="344" t="s">
        <v>1397</v>
      </c>
      <c r="C48" s="2946">
        <f ca="1">C49+C53+C55</f>
        <v>0</v>
      </c>
      <c r="D48" s="1364"/>
      <c r="E48" s="1365"/>
      <c r="F48" s="1183"/>
      <c r="G48" s="791"/>
      <c r="H48" s="792"/>
      <c r="I48" s="1888" t="s">
        <v>1527</v>
      </c>
      <c r="J48" s="1889" t="s">
        <v>3044</v>
      </c>
      <c r="K48" s="1890" t="s">
        <v>1528</v>
      </c>
      <c r="L48" s="1891">
        <f ca="1">INDIRECT("'数据-取费表'!f"&amp;$G$1)</f>
        <v>37.28</v>
      </c>
      <c r="O48" s="1885" t="s">
        <v>1040</v>
      </c>
      <c r="P48" s="1886" t="s">
        <v>1529</v>
      </c>
      <c r="Q48" s="1887" t="str">
        <f ca="1">J60</f>
        <v>0</v>
      </c>
      <c r="R48" s="1887" t="s">
        <v>1530</v>
      </c>
    </row>
    <row r="49" spans="1:18" s="1843" customFormat="1" ht="13.5" thickBot="1">
      <c r="A49" s="1196" t="s">
        <v>1135</v>
      </c>
      <c r="B49" s="1830" t="s">
        <v>1487</v>
      </c>
      <c r="C49" s="1366">
        <f ca="1">ROUND(F49*F51*F50*(1-F52)/10000,0)</f>
        <v>0</v>
      </c>
      <c r="D49" s="1278" t="s">
        <v>3017</v>
      </c>
      <c r="E49" s="1831" t="s">
        <v>1488</v>
      </c>
      <c r="F49" s="1283"/>
      <c r="G49" s="1892"/>
      <c r="H49" s="792"/>
      <c r="I49" s="1888" t="s">
        <v>1531</v>
      </c>
      <c r="J49" s="1893"/>
      <c r="K49" s="1890" t="s">
        <v>1532</v>
      </c>
      <c r="L49" s="1894"/>
      <c r="O49" s="1895" t="s">
        <v>1041</v>
      </c>
      <c r="P49" s="1886" t="s">
        <v>1533</v>
      </c>
      <c r="Q49" s="1887">
        <f ca="1">C29</f>
        <v>1456</v>
      </c>
      <c r="R49" s="1887" t="s">
        <v>1526</v>
      </c>
    </row>
    <row r="50" spans="1:18" s="1843" customFormat="1" ht="13.5" thickBot="1">
      <c r="A50" s="1197"/>
      <c r="B50" s="1200"/>
      <c r="C50" s="1370"/>
      <c r="D50" s="1174"/>
      <c r="E50" s="1279" t="s">
        <v>1402</v>
      </c>
      <c r="F50" s="1280">
        <f ca="1">F7</f>
        <v>4068</v>
      </c>
      <c r="H50" s="792"/>
      <c r="I50" s="1888" t="s">
        <v>1534</v>
      </c>
      <c r="J50" s="1896">
        <f>SUMPRODUCT((I63:I65=J47)*(J62:L62=J48)*(J63:L65))</f>
        <v>60</v>
      </c>
      <c r="K50" s="1890" t="s">
        <v>1535</v>
      </c>
      <c r="L50" s="1894"/>
      <c r="M50" s="1897"/>
      <c r="O50" s="1895" t="s">
        <v>1042</v>
      </c>
      <c r="P50" s="1886" t="s">
        <v>1536</v>
      </c>
      <c r="Q50" s="1898" t="e">
        <f ca="1">J58</f>
        <v>#VALUE!</v>
      </c>
      <c r="R50" s="1887"/>
    </row>
    <row r="51" spans="1:18" s="1843" customFormat="1" ht="13.5" thickBot="1">
      <c r="A51" s="1198"/>
      <c r="B51" s="1200"/>
      <c r="C51" s="1201"/>
      <c r="D51" s="1174"/>
      <c r="E51" s="1202" t="s">
        <v>1403</v>
      </c>
      <c r="F51" s="347">
        <f ca="1">F8</f>
        <v>365</v>
      </c>
      <c r="I51" s="1899" t="s">
        <v>1537</v>
      </c>
      <c r="J51" s="1900">
        <f>IF(J49="",J50,J49+J50-YEAR('数据-取费表'!B2))</f>
        <v>60</v>
      </c>
      <c r="K51" s="1901" t="s">
        <v>1538</v>
      </c>
      <c r="L51" s="1902">
        <f ca="1">ROUND(-PV(INDIRECT("'数据-取费表'!h"&amp;$G$1),L48,(C39-C13*C76),0),0)</f>
        <v>3942</v>
      </c>
      <c r="M51" s="1903"/>
      <c r="O51" s="1895" t="s">
        <v>1043</v>
      </c>
      <c r="P51" s="1886" t="s">
        <v>1539</v>
      </c>
      <c r="Q51" s="1898">
        <f>J52</f>
        <v>0</v>
      </c>
      <c r="R51" s="1887"/>
    </row>
    <row r="52" spans="1:18" s="1843" customFormat="1" ht="13.5" thickBot="1">
      <c r="A52" s="1198"/>
      <c r="B52" s="1200"/>
      <c r="C52" s="1201"/>
      <c r="D52" s="1174"/>
      <c r="E52" s="1202" t="s">
        <v>1404</v>
      </c>
      <c r="F52" s="1277"/>
      <c r="I52" s="1904" t="s">
        <v>1540</v>
      </c>
      <c r="J52" s="1905"/>
      <c r="K52" s="1904" t="s">
        <v>1541</v>
      </c>
      <c r="L52" s="1905">
        <v>5.5E-2</v>
      </c>
      <c r="O52" s="1895" t="s">
        <v>1044</v>
      </c>
      <c r="P52" s="1886" t="s">
        <v>1542</v>
      </c>
      <c r="Q52" s="1887">
        <f ca="1">J53</f>
        <v>35.78</v>
      </c>
      <c r="R52" s="1887" t="s">
        <v>1543</v>
      </c>
    </row>
    <row r="53" spans="1:18" s="1843" customFormat="1" ht="24.75" thickBot="1">
      <c r="A53" s="1407" t="s">
        <v>1136</v>
      </c>
      <c r="B53" s="1832" t="s">
        <v>1405</v>
      </c>
      <c r="C53" s="360">
        <f ca="1">ROUND(IF(F53="押一",F49*F51*F50/12*F11,IF(F53="押二",F49*F51*F50/12*2*F11,IF(F53="押三",F49*F51*F50/12*3*F11,C54*F11)))/10000,0)</f>
        <v>0</v>
      </c>
      <c r="D53" s="1825" t="s">
        <v>3015</v>
      </c>
      <c r="E53" s="357" t="s">
        <v>1407</v>
      </c>
      <c r="F53" s="1368"/>
      <c r="I53" s="1906" t="s">
        <v>1544</v>
      </c>
      <c r="J53" s="1907">
        <f ca="1">IF(M47="住宅",J51,IF(D1="——",MIN(J51,L48),IF(D1="在建（套用方法）",MIN(J51,L48-'数据-取费表'!B24),IF(D1="土地（套用方法）",MIN(J51,L48-'数据-取费表'!B20)))))</f>
        <v>35.78</v>
      </c>
      <c r="K53" s="3190" t="s">
        <v>1545</v>
      </c>
      <c r="L53" s="3191"/>
      <c r="O53" s="1885" t="s">
        <v>1045</v>
      </c>
      <c r="P53" s="1886" t="s">
        <v>1546</v>
      </c>
      <c r="Q53" s="1887">
        <f ca="1">Q47+Q48</f>
        <v>5566</v>
      </c>
      <c r="R53" s="1887" t="s">
        <v>1046</v>
      </c>
    </row>
    <row r="54" spans="1:18" s="1843" customFormat="1" ht="13.5" thickBot="1">
      <c r="A54" s="1408"/>
      <c r="B54" s="1826" t="s">
        <v>1384</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1547</v>
      </c>
      <c r="P54" s="1840"/>
      <c r="Q54" s="1840"/>
      <c r="R54" s="1840"/>
    </row>
    <row r="55" spans="1:18" s="1843" customFormat="1" ht="13.5" thickBot="1">
      <c r="A55" s="1335" t="s">
        <v>1074</v>
      </c>
      <c r="B55" s="1828" t="s">
        <v>1410</v>
      </c>
      <c r="C55" s="1336"/>
      <c r="D55" s="1825"/>
      <c r="E55" s="2943"/>
      <c r="F55" s="1908"/>
      <c r="I55" s="1911" t="s">
        <v>1548</v>
      </c>
      <c r="J55" s="1912" t="e">
        <f ca="1">ROUND(IF(J47="钢混",J57/J50,1-(1-2%)*(J50-J57)/J50),3)</f>
        <v>#VALUE!</v>
      </c>
      <c r="K55" s="1913" t="s">
        <v>1549</v>
      </c>
      <c r="L55" s="1914" t="s">
        <v>1550</v>
      </c>
      <c r="O55" s="1878" t="s">
        <v>1519</v>
      </c>
      <c r="P55" s="1879" t="s">
        <v>1520</v>
      </c>
      <c r="Q55" s="1880" t="s">
        <v>1521</v>
      </c>
      <c r="R55" s="1880" t="s">
        <v>1522</v>
      </c>
    </row>
    <row r="56" spans="1:18" s="1843" customFormat="1" ht="25.5" thickTop="1" thickBot="1">
      <c r="A56" s="1178">
        <v>2</v>
      </c>
      <c r="B56" s="1179" t="s">
        <v>1411</v>
      </c>
      <c r="C56" s="275">
        <f ca="1">C13</f>
        <v>1456</v>
      </c>
      <c r="D56" s="1915"/>
      <c r="E56" s="1916"/>
      <c r="F56" s="1908"/>
      <c r="I56" s="1917" t="s">
        <v>1551</v>
      </c>
      <c r="J56" s="1918" t="s">
        <v>3040</v>
      </c>
      <c r="K56" s="1888" t="s">
        <v>1552</v>
      </c>
      <c r="L56" s="1891" t="str">
        <f ca="1">IF(L48&lt;J51,"——",L48-J53)</f>
        <v>——</v>
      </c>
      <c r="O56" s="1885" t="s">
        <v>1039</v>
      </c>
      <c r="P56" s="1886" t="s">
        <v>1525</v>
      </c>
      <c r="Q56" s="1887">
        <f ca="1">C40+J29</f>
        <v>5566</v>
      </c>
      <c r="R56" s="1887" t="s">
        <v>1526</v>
      </c>
    </row>
    <row r="57" spans="1:18" s="1843" customFormat="1" ht="24.75" thickBot="1">
      <c r="A57" s="1919"/>
      <c r="B57" s="1171" t="s">
        <v>1475</v>
      </c>
      <c r="C57" s="281">
        <f ca="1">C29</f>
        <v>1456</v>
      </c>
      <c r="D57" s="1920"/>
      <c r="E57" s="1921"/>
      <c r="F57" s="1922"/>
      <c r="I57" s="1923" t="s">
        <v>1553</v>
      </c>
      <c r="J57" s="1924" t="str">
        <f ca="1">IF(OR(M47="住宅",J51&lt;L48,J56="是"),"——",J51-L48)</f>
        <v>——</v>
      </c>
      <c r="K57" s="1888" t="s">
        <v>1554</v>
      </c>
      <c r="L57" s="1891" t="str">
        <f ca="1">IF(L48&lt;J51,"——",IF(L55="比较法",L49,IF(L55="基准地价",L50,L51)))</f>
        <v>——</v>
      </c>
      <c r="O57" s="1885" t="s">
        <v>1040</v>
      </c>
      <c r="P57" s="1886" t="s">
        <v>1555</v>
      </c>
      <c r="Q57" s="1887">
        <f ca="1">L60</f>
        <v>0</v>
      </c>
      <c r="R57" s="1887" t="s">
        <v>1556</v>
      </c>
    </row>
    <row r="58" spans="1:18" s="1843" customFormat="1" ht="24.75" thickBot="1">
      <c r="A58" s="359" t="s">
        <v>1029</v>
      </c>
      <c r="B58" s="1179" t="s">
        <v>1421</v>
      </c>
      <c r="C58" s="360">
        <f ca="1">ROUND(C59+C64+C65+C66,0)</f>
        <v>147</v>
      </c>
      <c r="D58" s="1181" t="s">
        <v>1422</v>
      </c>
      <c r="E58" s="1182"/>
      <c r="F58" s="1183"/>
      <c r="I58" s="1923" t="s">
        <v>1557</v>
      </c>
      <c r="J58" s="1925" t="e">
        <f ca="1">IF(J55&lt;0.4,0.4,J55)</f>
        <v>#VALUE!</v>
      </c>
      <c r="K58" s="1901" t="s">
        <v>1558</v>
      </c>
      <c r="L58" s="1891">
        <f ca="1">ROUND(POWER(1+L52,L47-L48)*(POWER(1+L52,L48)-1)/(POWER(1+L52,L47)-1),4)</f>
        <v>0.97909999999999997</v>
      </c>
      <c r="O58" s="1895" t="s">
        <v>1041</v>
      </c>
      <c r="P58" s="1886" t="s">
        <v>1559</v>
      </c>
      <c r="Q58" s="1887">
        <f>IF(L55="比较法",L49,IF(L55="基准地价",L50,0))</f>
        <v>0</v>
      </c>
      <c r="R58" s="1887" t="s">
        <v>1526</v>
      </c>
    </row>
    <row r="59" spans="1:18" s="1843" customFormat="1" ht="24.75" thickBot="1">
      <c r="A59" s="1203" t="s">
        <v>1034</v>
      </c>
      <c r="B59" s="1171" t="s">
        <v>1426</v>
      </c>
      <c r="C59" s="24">
        <f ca="1">ROUND(IF(项目基本情况!B11="自然人",C48*F59,C60+C61+C62),1)</f>
        <v>122.5</v>
      </c>
      <c r="D59" s="1184" t="s">
        <v>1427</v>
      </c>
      <c r="E59" s="1185" t="s">
        <v>1428</v>
      </c>
      <c r="F59" s="367" t="str">
        <f ca="1">IF(项目基本情况!B11="企业","",IF(INDIRECT("'数据-取费表'!c"&amp;$G$1)="住宅",5%,IF(F49*F50*F51/12/(1+'数据-取费表'!C42)&gt;20000,12%,7%)))</f>
        <v/>
      </c>
      <c r="I59" s="1923" t="s">
        <v>1560</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f ca="1">ROUND(IF(D1="在建（套用方法）",M59,IF(D1="土地（套用方法）",N59,POWER(1+L52,L47-J51)*(POWER(1+L52,J51)-1)/(POWER(1+L52,L47)-1))),4)</f>
        <v>1.091</v>
      </c>
      <c r="M59" s="1839">
        <f ca="1">ROUND(POWER(1+L52,L47-(J51+'数据-取费表'!B24))*(POWER(1+L52,(J51+'数据-取费表'!B24))-1)/(POWER(1+L52,L47)-1),4)</f>
        <v>1.091</v>
      </c>
      <c r="N59" s="1839">
        <f ca="1">ROUND(POWER(1+L52,L47-(J51+'数据-取费表'!B20))*(POWER(1+L52,(J51+'数据-取费表'!B20))-1)/(POWER(1+L52,L47)-1),4)</f>
        <v>1.0942000000000001</v>
      </c>
      <c r="O59" s="1895" t="s">
        <v>1042</v>
      </c>
      <c r="P59" s="1886" t="s">
        <v>1561</v>
      </c>
      <c r="Q59" s="1898">
        <f>L52</f>
        <v>5.5E-2</v>
      </c>
      <c r="R59" s="1887"/>
    </row>
    <row r="60" spans="1:18" s="1843" customFormat="1" ht="16.5" thickBot="1">
      <c r="A60" s="1203" t="s">
        <v>1033</v>
      </c>
      <c r="B60" s="1171" t="s">
        <v>1430</v>
      </c>
      <c r="C60" s="24">
        <f ca="1">IF(项目基本情况!B11="自然人","——",ROUND(C48*F60/(1+'数据-取费表'!C42),2))</f>
        <v>0</v>
      </c>
      <c r="D60" s="1185" t="s">
        <v>1431</v>
      </c>
      <c r="E60" s="1171" t="s">
        <v>1419</v>
      </c>
      <c r="F60" s="376">
        <f t="shared" ref="F60:F66" si="0">F32</f>
        <v>5.5000000000000007E-2</v>
      </c>
      <c r="I60" s="1926" t="s">
        <v>1562</v>
      </c>
      <c r="J60" s="1927" t="str">
        <f ca="1">IF(OR(M47="住宅",J51&lt;L48,J56="是"),"0",ROUND(J59/(1+J52)^J53,0))</f>
        <v>0</v>
      </c>
      <c r="K60" s="1928" t="s">
        <v>1563</v>
      </c>
      <c r="L60" s="1927">
        <f ca="1">IF(OR(M47="住宅",L48&lt;J51),0,ROUND(L57*(L58/L59-1),0))</f>
        <v>0</v>
      </c>
      <c r="O60" s="1895" t="s">
        <v>1043</v>
      </c>
      <c r="P60" s="1886" t="s">
        <v>1564</v>
      </c>
      <c r="Q60" s="1887">
        <f ca="1">L58</f>
        <v>0.97909999999999997</v>
      </c>
      <c r="R60" s="1887" t="s">
        <v>1565</v>
      </c>
    </row>
    <row r="61" spans="1:18" s="1843" customFormat="1" ht="13.5" thickBot="1">
      <c r="A61" s="1203" t="s">
        <v>1489</v>
      </c>
      <c r="B61" s="1171" t="s">
        <v>1490</v>
      </c>
      <c r="C61" s="24">
        <f ca="1">IF(项目基本情况!B11="自然人","——",IF(D61="按租金收入计税",ROUND(C48*F61,2),IF(D61="按房产原值计税",ROUND(C57*F61*0.7,2),INDIRECT("'数据-取费表'!Aj"&amp;$G$1))))</f>
        <v>122.3</v>
      </c>
      <c r="D61" s="1829" t="s">
        <v>1435</v>
      </c>
      <c r="E61" s="1171" t="s">
        <v>1491</v>
      </c>
      <c r="F61" s="366">
        <f t="shared" si="0"/>
        <v>0.12</v>
      </c>
      <c r="I61" s="1929"/>
      <c r="J61" s="1929"/>
      <c r="K61" s="1929"/>
      <c r="L61" s="1929"/>
      <c r="O61" s="1895" t="s">
        <v>1044</v>
      </c>
      <c r="P61" s="1886" t="str">
        <f>K59</f>
        <v>续建工期及建筑物耐用年限下的土地年期修正系数Kn</v>
      </c>
      <c r="Q61" s="1887">
        <f ca="1">L59</f>
        <v>1.091</v>
      </c>
      <c r="R61" s="1887" t="s">
        <v>1566</v>
      </c>
    </row>
    <row r="62" spans="1:18" s="1843" customFormat="1" ht="13.5" thickBot="1">
      <c r="A62" s="1203" t="s">
        <v>1492</v>
      </c>
      <c r="B62" s="1170" t="s">
        <v>1493</v>
      </c>
      <c r="C62" s="25">
        <f ca="1">IF(项目基本情况!B11="自然人","——",ROUND(F62*F63/10000,2))</f>
        <v>0.17</v>
      </c>
      <c r="D62" s="1186" t="s">
        <v>1494</v>
      </c>
      <c r="E62" s="1171" t="s">
        <v>1495</v>
      </c>
      <c r="F62" s="370">
        <f t="shared" si="0"/>
        <v>1.5</v>
      </c>
      <c r="I62" s="1930" t="s">
        <v>1567</v>
      </c>
      <c r="J62" s="1931" t="s">
        <v>1568</v>
      </c>
      <c r="K62" s="1931" t="s">
        <v>1569</v>
      </c>
      <c r="L62" s="1931" t="s">
        <v>1570</v>
      </c>
      <c r="M62" s="1932" t="s">
        <v>1571</v>
      </c>
      <c r="O62" s="1885" t="s">
        <v>1045</v>
      </c>
      <c r="P62" s="1886" t="s">
        <v>1572</v>
      </c>
      <c r="Q62" s="1887">
        <f ca="1">Q56+Q57</f>
        <v>5566</v>
      </c>
      <c r="R62" s="1887" t="s">
        <v>1046</v>
      </c>
    </row>
    <row r="63" spans="1:18" s="1843" customFormat="1" ht="13.5" thickBot="1">
      <c r="A63" s="371"/>
      <c r="B63" s="1177"/>
      <c r="C63" s="29"/>
      <c r="D63" s="1187"/>
      <c r="E63" s="1171" t="s">
        <v>1496</v>
      </c>
      <c r="F63" s="347">
        <f t="shared" ca="1" si="0"/>
        <v>1116.75</v>
      </c>
      <c r="I63" s="1930" t="s">
        <v>1573</v>
      </c>
      <c r="J63" s="1931">
        <v>70</v>
      </c>
      <c r="K63" s="1931">
        <v>50</v>
      </c>
      <c r="L63" s="1931">
        <v>80</v>
      </c>
      <c r="M63" s="1933">
        <v>0.02</v>
      </c>
      <c r="O63" s="1870" t="s">
        <v>1574</v>
      </c>
      <c r="P63" s="1840"/>
      <c r="Q63" s="1840"/>
      <c r="R63" s="1840"/>
    </row>
    <row r="64" spans="1:18" s="1843" customFormat="1" ht="13.5" thickBot="1">
      <c r="A64" s="1203" t="s">
        <v>1497</v>
      </c>
      <c r="B64" s="1171" t="s">
        <v>1498</v>
      </c>
      <c r="C64" s="24">
        <f ca="1">ROUND(C57*F64,1)</f>
        <v>21.8</v>
      </c>
      <c r="D64" s="1185" t="s">
        <v>1499</v>
      </c>
      <c r="E64" s="1171" t="s">
        <v>1491</v>
      </c>
      <c r="F64" s="373">
        <f t="shared" ca="1" si="0"/>
        <v>1.4999999999999999E-2</v>
      </c>
      <c r="I64" s="1930" t="s">
        <v>1575</v>
      </c>
      <c r="J64" s="1931">
        <v>50</v>
      </c>
      <c r="K64" s="1931">
        <v>35</v>
      </c>
      <c r="L64" s="1931">
        <v>60</v>
      </c>
      <c r="M64" s="1932">
        <v>0</v>
      </c>
      <c r="O64" s="1878" t="s">
        <v>1519</v>
      </c>
      <c r="P64" s="1879" t="s">
        <v>1520</v>
      </c>
      <c r="Q64" s="1880" t="s">
        <v>1521</v>
      </c>
      <c r="R64" s="1880" t="s">
        <v>1522</v>
      </c>
    </row>
    <row r="65" spans="1:18" s="1843" customFormat="1" ht="13.5" thickBot="1">
      <c r="A65" s="1203" t="s">
        <v>1500</v>
      </c>
      <c r="B65" s="1171" t="s">
        <v>1450</v>
      </c>
      <c r="C65" s="24">
        <f ca="1">ROUND(C56*F65,1)</f>
        <v>2.2000000000000002</v>
      </c>
      <c r="D65" s="1185" t="s">
        <v>1451</v>
      </c>
      <c r="E65" s="1171" t="s">
        <v>1452</v>
      </c>
      <c r="F65" s="375">
        <f t="shared" ca="1" si="0"/>
        <v>1.5E-3</v>
      </c>
      <c r="I65" s="1930" t="s">
        <v>1576</v>
      </c>
      <c r="J65" s="1931">
        <v>40</v>
      </c>
      <c r="K65" s="1931">
        <v>30</v>
      </c>
      <c r="L65" s="1931">
        <v>50</v>
      </c>
      <c r="M65" s="1933">
        <v>0.02</v>
      </c>
      <c r="O65" s="1885" t="s">
        <v>1039</v>
      </c>
      <c r="P65" s="1886" t="s">
        <v>1577</v>
      </c>
      <c r="Q65" s="1887">
        <f ca="1">C40+J29</f>
        <v>5566</v>
      </c>
      <c r="R65" s="1887" t="s">
        <v>1526</v>
      </c>
    </row>
    <row r="66" spans="1:18" s="1843" customFormat="1" ht="16.5" thickBot="1">
      <c r="A66" s="1203" t="s">
        <v>1501</v>
      </c>
      <c r="B66" s="1171" t="s">
        <v>1436</v>
      </c>
      <c r="C66" s="24">
        <f ca="1">ROUND(C48*F66,1)</f>
        <v>0</v>
      </c>
      <c r="D66" s="1185" t="s">
        <v>1502</v>
      </c>
      <c r="E66" s="1171" t="s">
        <v>1419</v>
      </c>
      <c r="F66" s="356">
        <f t="shared" ca="1" si="0"/>
        <v>0.01</v>
      </c>
      <c r="O66" s="1885" t="s">
        <v>1040</v>
      </c>
      <c r="P66" s="1886" t="s">
        <v>1555</v>
      </c>
      <c r="Q66" s="1887">
        <f ca="1">L60</f>
        <v>0</v>
      </c>
      <c r="R66" s="1887" t="s">
        <v>1578</v>
      </c>
    </row>
    <row r="67" spans="1:18" s="1843" customFormat="1" ht="16.5" thickBot="1">
      <c r="A67" s="1178" t="s">
        <v>1030</v>
      </c>
      <c r="B67" s="1188" t="s">
        <v>1460</v>
      </c>
      <c r="C67" s="360">
        <f ca="1">C48-C58</f>
        <v>-147</v>
      </c>
      <c r="D67" s="1184" t="s">
        <v>1461</v>
      </c>
      <c r="E67" s="1189"/>
      <c r="F67" s="1190"/>
      <c r="O67" s="1895" t="s">
        <v>1041</v>
      </c>
      <c r="P67" s="1886" t="s">
        <v>1559</v>
      </c>
      <c r="Q67" s="1934">
        <f ca="1">L51</f>
        <v>3942</v>
      </c>
      <c r="R67" s="1887" t="s">
        <v>1579</v>
      </c>
    </row>
    <row r="68" spans="1:18" s="1843" customFormat="1" ht="16.5" thickBot="1">
      <c r="A68" s="1168" t="s">
        <v>1031</v>
      </c>
      <c r="B68" s="1169" t="s">
        <v>1482</v>
      </c>
      <c r="C68" s="345">
        <f ca="1">ROUND(C67*(1-((1+F70)/(1+F68))^F69)/(F68-F70),0)</f>
        <v>-2279</v>
      </c>
      <c r="D68" s="1186" t="s">
        <v>1466</v>
      </c>
      <c r="E68" s="1171" t="s">
        <v>1467</v>
      </c>
      <c r="F68" s="356">
        <f ca="1">F40</f>
        <v>5.5E-2</v>
      </c>
      <c r="O68" s="1895" t="s">
        <v>1042</v>
      </c>
      <c r="P68" s="1935" t="s">
        <v>1580</v>
      </c>
      <c r="Q68" s="1887">
        <f ca="1">ROUND(Q69-Q70*Q71,0)</f>
        <v>235</v>
      </c>
      <c r="R68" s="1887" t="s">
        <v>1050</v>
      </c>
    </row>
    <row r="69" spans="1:18" s="1843" customFormat="1" ht="13.5" thickBot="1">
      <c r="A69" s="1172"/>
      <c r="B69" s="1173"/>
      <c r="C69" s="350"/>
      <c r="D69" s="1191" t="s">
        <v>1470</v>
      </c>
      <c r="E69" s="1171" t="s">
        <v>1471</v>
      </c>
      <c r="F69" s="378">
        <f ca="1">F41</f>
        <v>35.78</v>
      </c>
      <c r="O69" s="1895" t="s">
        <v>1047</v>
      </c>
      <c r="P69" s="1935" t="s">
        <v>1581</v>
      </c>
      <c r="Q69" s="1887">
        <f ca="1">C39</f>
        <v>359</v>
      </c>
      <c r="R69" s="1887" t="s">
        <v>1526</v>
      </c>
    </row>
    <row r="70" spans="1:18" s="1843" customFormat="1" ht="13.5" thickBot="1">
      <c r="A70" s="1175"/>
      <c r="B70" s="1176"/>
      <c r="C70" s="354"/>
      <c r="D70" s="1187"/>
      <c r="E70" s="1171" t="s">
        <v>1474</v>
      </c>
      <c r="F70" s="1277"/>
      <c r="O70" s="1895" t="s">
        <v>1048</v>
      </c>
      <c r="P70" s="1935" t="s">
        <v>1582</v>
      </c>
      <c r="Q70" s="1887">
        <f ca="1">C13</f>
        <v>1456</v>
      </c>
      <c r="R70" s="1887" t="s">
        <v>1526</v>
      </c>
    </row>
    <row r="71" spans="1:18" s="1843" customFormat="1" ht="13.5" thickBot="1">
      <c r="A71" s="1192" t="s">
        <v>1032</v>
      </c>
      <c r="B71" s="1193" t="s">
        <v>1484</v>
      </c>
      <c r="C71" s="381">
        <f ca="1">ROUND(C68*10000/F71,0)</f>
        <v>-5602</v>
      </c>
      <c r="D71" s="1194" t="s">
        <v>1485</v>
      </c>
      <c r="E71" s="1195" t="s">
        <v>1486</v>
      </c>
      <c r="F71" s="384">
        <f ca="1">F43</f>
        <v>4068</v>
      </c>
      <c r="O71" s="1895" t="s">
        <v>1049</v>
      </c>
      <c r="P71" s="1935" t="s">
        <v>1583</v>
      </c>
      <c r="Q71" s="1898">
        <f ca="1">C76</f>
        <v>8.5000000000000006E-2</v>
      </c>
      <c r="R71" s="1887"/>
    </row>
    <row r="72" spans="1:18" s="1843" customFormat="1" ht="13.5" thickBot="1">
      <c r="B72" s="795"/>
      <c r="C72" s="795"/>
      <c r="O72" s="1895" t="s">
        <v>1043</v>
      </c>
      <c r="P72" s="1886" t="s">
        <v>1561</v>
      </c>
      <c r="Q72" s="1898">
        <f>L52</f>
        <v>5.5E-2</v>
      </c>
      <c r="R72" s="1887"/>
    </row>
    <row r="73" spans="1:18" ht="16.5" thickBot="1">
      <c r="A73" s="1843"/>
      <c r="B73" s="795"/>
      <c r="C73" s="795"/>
      <c r="D73" s="1843"/>
      <c r="E73" s="1843"/>
      <c r="F73" s="1843"/>
      <c r="O73" s="1895" t="s">
        <v>1044</v>
      </c>
      <c r="P73" s="1886" t="s">
        <v>1564</v>
      </c>
      <c r="Q73" s="1887">
        <f ca="1">L58</f>
        <v>0.97909999999999997</v>
      </c>
      <c r="R73" s="1887" t="s">
        <v>1565</v>
      </c>
    </row>
    <row r="74" spans="1:18" ht="13.5" thickBot="1">
      <c r="A74" s="1843"/>
      <c r="B74" s="316" t="s">
        <v>1584</v>
      </c>
      <c r="C74" s="1937"/>
      <c r="D74" s="1843"/>
      <c r="E74" s="1843"/>
      <c r="F74" s="1843"/>
      <c r="O74" s="1895" t="s">
        <v>1051</v>
      </c>
      <c r="P74" s="1886" t="str">
        <f>K59</f>
        <v>续建工期及建筑物耐用年限下的土地年期修正系数Kn</v>
      </c>
      <c r="Q74" s="1887">
        <f ca="1">L59</f>
        <v>1.091</v>
      </c>
      <c r="R74" s="1887" t="s">
        <v>1566</v>
      </c>
    </row>
    <row r="75" spans="1:18" ht="13.5" thickBot="1">
      <c r="A75" s="1843"/>
      <c r="B75" s="385" t="s">
        <v>1503</v>
      </c>
      <c r="C75" s="386">
        <f ca="1">ROUND(C13*C76,0)</f>
        <v>124</v>
      </c>
      <c r="D75" s="1843"/>
      <c r="E75" s="1843"/>
      <c r="F75" s="1843"/>
      <c r="K75" s="1869"/>
      <c r="L75" s="1843"/>
      <c r="O75" s="1885" t="s">
        <v>1045</v>
      </c>
      <c r="P75" s="1886" t="s">
        <v>1546</v>
      </c>
      <c r="Q75" s="1887">
        <f ca="1">Q65+Q66</f>
        <v>5566</v>
      </c>
      <c r="R75" s="1887" t="s">
        <v>1046</v>
      </c>
    </row>
    <row r="76" spans="1:18">
      <c r="B76" s="387" t="s">
        <v>1504</v>
      </c>
      <c r="C76" s="388">
        <f ca="1">INDIRECT("'数据-取费表'!j"&amp;$G$1)</f>
        <v>8.5000000000000006E-2</v>
      </c>
      <c r="I76" s="1843"/>
      <c r="J76" s="1843"/>
      <c r="K76" s="1869"/>
      <c r="L76" s="1843"/>
    </row>
    <row r="77" spans="1:18">
      <c r="B77" s="389" t="s">
        <v>1505</v>
      </c>
      <c r="C77" s="390"/>
      <c r="I77" s="1843"/>
      <c r="J77" s="1843"/>
      <c r="K77" s="1869"/>
      <c r="L77" s="1843"/>
    </row>
    <row r="78" spans="1:18">
      <c r="B78" s="313" t="s">
        <v>1506</v>
      </c>
      <c r="C78" s="391"/>
    </row>
    <row r="79" spans="1:18">
      <c r="B79" s="385" t="s">
        <v>1507</v>
      </c>
      <c r="C79" s="317">
        <f ca="1">1-C80</f>
        <v>0.65500000000000003</v>
      </c>
    </row>
    <row r="80" spans="1:18">
      <c r="B80" s="385" t="s">
        <v>1508</v>
      </c>
      <c r="C80" s="317">
        <f ca="1">ROUND(C75/C39,3)</f>
        <v>0.34499999999999997</v>
      </c>
    </row>
    <row r="81" spans="2:3">
      <c r="B81" s="313" t="s">
        <v>1509</v>
      </c>
      <c r="C81" s="281"/>
    </row>
    <row r="82" spans="2:3">
      <c r="B82" s="316" t="s">
        <v>1510</v>
      </c>
      <c r="C82" s="318">
        <f ca="1">1-C83</f>
        <v>0.73799999999999999</v>
      </c>
    </row>
    <row r="83" spans="2:3">
      <c r="B83" s="316" t="s">
        <v>1511</v>
      </c>
      <c r="C83" s="317">
        <f ca="1">ROUND(C13/C40,3)</f>
        <v>0.26200000000000001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N69" sqref="N6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1586</v>
      </c>
      <c r="B1" s="781"/>
      <c r="C1" s="1838" t="s">
        <v>27</v>
      </c>
      <c r="D1" s="1821" t="s">
        <v>3144</v>
      </c>
      <c r="E1" s="1822" t="s">
        <v>1383</v>
      </c>
      <c r="F1" s="1285">
        <f ca="1">J53</f>
        <v>45.79</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1512</v>
      </c>
      <c r="B2" s="1845">
        <f ca="1">C40+J29+L46</f>
        <v>21517</v>
      </c>
      <c r="C2" s="1846" t="s">
        <v>1513</v>
      </c>
      <c r="D2" s="1846"/>
      <c r="E2" s="1847"/>
      <c r="F2" s="1848"/>
      <c r="G2" s="1849"/>
      <c r="H2" s="1841"/>
      <c r="I2" s="1841"/>
      <c r="J2" s="1841"/>
      <c r="K2" s="1842"/>
      <c r="L2" s="1841"/>
      <c r="M2" s="1841"/>
    </row>
    <row r="3" spans="1:37" ht="18" customHeight="1" thickBot="1">
      <c r="A3" s="1850" t="s">
        <v>1514</v>
      </c>
      <c r="B3" s="1851">
        <f ca="1">IF(ISERROR(B2*10000/F43),0,ROUND(B2*10000/F43,0))</f>
        <v>10177</v>
      </c>
      <c r="C3" s="1846" t="s">
        <v>1515</v>
      </c>
      <c r="D3" s="1846"/>
      <c r="E3" s="1847"/>
      <c r="F3" s="1848"/>
      <c r="G3" s="1849"/>
      <c r="H3" s="743" t="s">
        <v>1585</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1738</v>
      </c>
      <c r="D5" s="1823" t="s">
        <v>1398</v>
      </c>
      <c r="E5" s="1295"/>
      <c r="F5" s="1296"/>
      <c r="G5" s="1852"/>
      <c r="H5" s="343">
        <v>1</v>
      </c>
      <c r="I5" s="344" t="s">
        <v>1397</v>
      </c>
      <c r="J5" s="1294">
        <f ca="1">J6+J10+J12</f>
        <v>0</v>
      </c>
      <c r="K5" s="1823" t="s">
        <v>1398</v>
      </c>
      <c r="L5" s="1295"/>
      <c r="M5" s="1296"/>
    </row>
    <row r="6" spans="1:37" ht="18" customHeight="1">
      <c r="A6" s="1293" t="s">
        <v>1034</v>
      </c>
      <c r="B6" s="3192" t="s">
        <v>1399</v>
      </c>
      <c r="C6" s="1298">
        <f ca="1">ROUND(F6*F8*F7*(1-F9)/10000,0)</f>
        <v>1736</v>
      </c>
      <c r="D6" s="163" t="s">
        <v>3014</v>
      </c>
      <c r="E6" s="346" t="s">
        <v>1401</v>
      </c>
      <c r="F6" s="347">
        <f ca="1">INDIRECT("'数据-取费表'!u"&amp;$G$1)</f>
        <v>2.5</v>
      </c>
      <c r="G6" s="1852"/>
      <c r="H6" s="1293" t="s">
        <v>1034</v>
      </c>
      <c r="I6" s="3192" t="s">
        <v>1399</v>
      </c>
      <c r="J6" s="345">
        <f ca="1">ROUND(M6*M8*M7*(1-M9)/10000,0)</f>
        <v>0</v>
      </c>
      <c r="K6" s="163" t="s">
        <v>3013</v>
      </c>
      <c r="L6" s="346" t="s">
        <v>1401</v>
      </c>
      <c r="M6" s="347">
        <f ca="1">INDIRECT("'数据-取费表'!z"&amp;$G$1)</f>
        <v>0</v>
      </c>
    </row>
    <row r="7" spans="1:37" ht="18" customHeight="1">
      <c r="A7" s="1297"/>
      <c r="B7" s="3193"/>
      <c r="C7" s="1299"/>
      <c r="D7" s="351"/>
      <c r="E7" s="2949" t="s">
        <v>1402</v>
      </c>
      <c r="F7" s="347">
        <f ca="1">IF(INDIRECT("'数据-取费表'!ah"&amp;$G$1)="",INDIRECT("'数据-取费表'!k"&amp;$G$1),INDIRECT("'数据-取费表'!ah"&amp;$G$1))</f>
        <v>21142</v>
      </c>
      <c r="G7" s="1852"/>
      <c r="H7" s="348"/>
      <c r="I7" s="3193"/>
      <c r="J7" s="350"/>
      <c r="K7" s="351"/>
      <c r="L7" s="346" t="s">
        <v>1402</v>
      </c>
      <c r="M7" s="347">
        <f ca="1">F7</f>
        <v>21142</v>
      </c>
    </row>
    <row r="8" spans="1:37" ht="18" customHeight="1">
      <c r="A8" s="348"/>
      <c r="B8" s="3193"/>
      <c r="C8" s="350"/>
      <c r="D8" s="351"/>
      <c r="E8" s="346" t="s">
        <v>1403</v>
      </c>
      <c r="F8" s="347">
        <f ca="1">INDIRECT("'数据-取费表'!ai"&amp;$G$1)</f>
        <v>365</v>
      </c>
      <c r="G8" s="1852"/>
      <c r="H8" s="348"/>
      <c r="I8" s="3193"/>
      <c r="J8" s="350"/>
      <c r="K8" s="351"/>
      <c r="L8" s="346" t="s">
        <v>1403</v>
      </c>
      <c r="M8" s="347">
        <f ca="1">INDIRECT("'数据-取费表'!ai"&amp;$G$1)</f>
        <v>365</v>
      </c>
    </row>
    <row r="9" spans="1:37" ht="18" customHeight="1">
      <c r="A9" s="348"/>
      <c r="B9" s="3194"/>
      <c r="C9" s="350"/>
      <c r="D9" s="351"/>
      <c r="E9" s="346" t="s">
        <v>1404</v>
      </c>
      <c r="F9" s="356">
        <f ca="1">INDIRECT("'数据-取费表'!w"&amp;$G$1)</f>
        <v>0.1</v>
      </c>
      <c r="G9" s="1852"/>
      <c r="H9" s="348"/>
      <c r="I9" s="3194"/>
      <c r="J9" s="350"/>
      <c r="K9" s="351"/>
      <c r="L9" s="357" t="s">
        <v>1404</v>
      </c>
      <c r="M9" s="358">
        <f ca="1">INDIRECT("'数据-取费表'!ab"&amp;$G$1)</f>
        <v>0</v>
      </c>
    </row>
    <row r="10" spans="1:37" ht="18" customHeight="1">
      <c r="A10" s="1293" t="s">
        <v>1038</v>
      </c>
      <c r="B10" s="1824" t="s">
        <v>1405</v>
      </c>
      <c r="C10" s="360">
        <f ca="1">ROUND(IF(F10="押一",F6*F8*F7/12*F11,IF(F10="押二",F6*F8*F7/12*2*F11,IF(F10="押三",F6*F8*F7/12*3*F11,C11*F11)))/10000,0)</f>
        <v>2</v>
      </c>
      <c r="D10" s="1825" t="s">
        <v>3015</v>
      </c>
      <c r="E10" s="357" t="s">
        <v>1407</v>
      </c>
      <c r="F10" s="1368" t="s">
        <v>3046</v>
      </c>
      <c r="G10" s="1852"/>
      <c r="H10" s="1293" t="s">
        <v>1038</v>
      </c>
      <c r="I10" s="1824" t="s">
        <v>1405</v>
      </c>
      <c r="J10" s="345">
        <f ca="1">ROUND(IF(M10="押一",M6*M8*M7/12*M11,IF(M10="押二",M6*M8*M7/12*2*M11,IF(M10="押三",M6*M8*M7/12*3*M11,J11*M11)))/10000,0)</f>
        <v>0</v>
      </c>
      <c r="K10" s="1825" t="s">
        <v>3016</v>
      </c>
      <c r="L10" s="357" t="s">
        <v>1407</v>
      </c>
      <c r="M10" s="1368" t="s">
        <v>1408</v>
      </c>
    </row>
    <row r="11" spans="1:37" ht="18" customHeight="1">
      <c r="A11" s="352"/>
      <c r="B11" s="1826" t="s">
        <v>1384</v>
      </c>
      <c r="C11" s="1180"/>
      <c r="D11" s="1827"/>
      <c r="E11" s="357" t="s">
        <v>1409</v>
      </c>
      <c r="F11" s="358">
        <f ca="1">'数据-取费表'!B39</f>
        <v>1.4999999999999999E-2</v>
      </c>
      <c r="G11" s="1852"/>
      <c r="H11" s="1301"/>
      <c r="I11" s="1826" t="s">
        <v>1384</v>
      </c>
      <c r="J11" s="1180"/>
      <c r="K11" s="747"/>
      <c r="L11" s="357" t="s">
        <v>1409</v>
      </c>
      <c r="M11" s="1058">
        <f ca="1">'数据-取费表'!B39</f>
        <v>1.4999999999999999E-2</v>
      </c>
    </row>
    <row r="12" spans="1:37" ht="18" customHeight="1" thickBot="1">
      <c r="A12" s="1335" t="s">
        <v>1074</v>
      </c>
      <c r="B12" s="1828" t="s">
        <v>1410</v>
      </c>
      <c r="C12" s="1336"/>
      <c r="D12" s="1337"/>
      <c r="E12" s="1342"/>
      <c r="F12" s="1338"/>
      <c r="G12" s="1852"/>
      <c r="H12" s="1335" t="s">
        <v>1074</v>
      </c>
      <c r="I12" s="1828" t="s">
        <v>1410</v>
      </c>
      <c r="J12" s="1336"/>
      <c r="K12" s="1350"/>
      <c r="L12" s="1342"/>
      <c r="M12" s="1351"/>
    </row>
    <row r="13" spans="1:37" ht="18" customHeight="1" thickTop="1">
      <c r="A13" s="1331">
        <v>2</v>
      </c>
      <c r="B13" s="1332" t="s">
        <v>1411</v>
      </c>
      <c r="C13" s="354">
        <f ca="1">ROUND(C29*F13,0)</f>
        <v>7558</v>
      </c>
      <c r="D13" s="1333" t="s">
        <v>1412</v>
      </c>
      <c r="E13" s="1333" t="s">
        <v>1413</v>
      </c>
      <c r="F13" s="1334">
        <f ca="1">INDIRECT("'数据-取费表'!y"&amp;$G$1)</f>
        <v>1</v>
      </c>
      <c r="G13" s="1852"/>
      <c r="H13" s="1331">
        <v>2</v>
      </c>
      <c r="I13" s="1332" t="s">
        <v>1411</v>
      </c>
      <c r="J13" s="1292">
        <f ca="1">ROUND(J14*J15,0)</f>
        <v>0</v>
      </c>
      <c r="K13" s="1339" t="s">
        <v>1412</v>
      </c>
      <c r="L13" s="1853"/>
      <c r="M13" s="1854"/>
    </row>
    <row r="14" spans="1:37" ht="18" customHeight="1">
      <c r="A14" s="1203" t="s">
        <v>1033</v>
      </c>
      <c r="B14" s="346" t="s">
        <v>1414</v>
      </c>
      <c r="C14" s="362">
        <f ca="1">INDIRECT("'数据-取费表'!m"&amp;$G$1)+INDIRECT("'数据-取费表'!t"&amp;$G$1)</f>
        <v>4804</v>
      </c>
      <c r="D14" s="2940" t="s">
        <v>1415</v>
      </c>
      <c r="E14" s="2938"/>
      <c r="F14" s="363"/>
      <c r="G14" s="1852"/>
      <c r="H14" s="1203" t="s">
        <v>1034</v>
      </c>
      <c r="I14" s="346" t="s">
        <v>1416</v>
      </c>
      <c r="J14" s="24">
        <f ca="1">C29</f>
        <v>7558</v>
      </c>
      <c r="K14" s="2948"/>
      <c r="L14" s="981"/>
      <c r="M14" s="982"/>
    </row>
    <row r="15" spans="1:37" s="1859" customFormat="1" ht="18" customHeight="1" thickBot="1">
      <c r="A15" s="1203" t="s">
        <v>1035</v>
      </c>
      <c r="B15" s="346" t="s">
        <v>1417</v>
      </c>
      <c r="C15" s="24">
        <f ca="1">ROUND(C14*F15,0)</f>
        <v>144</v>
      </c>
      <c r="D15" s="364" t="s">
        <v>1418</v>
      </c>
      <c r="E15" s="364" t="s">
        <v>1419</v>
      </c>
      <c r="F15" s="365">
        <f>'数据-取费表'!B33</f>
        <v>0.03</v>
      </c>
      <c r="G15" s="1855"/>
      <c r="H15" s="1341" t="s">
        <v>1038</v>
      </c>
      <c r="I15" s="1342" t="s">
        <v>1413</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1420</v>
      </c>
      <c r="C16" s="24">
        <f ca="1">ROUND(INDIRECT("'数据-取费表'!m"&amp;$G$1)*F16,0)</f>
        <v>0</v>
      </c>
      <c r="D16" s="346" t="s">
        <v>1418</v>
      </c>
      <c r="E16" s="346" t="s">
        <v>1419</v>
      </c>
      <c r="F16" s="366">
        <f ca="1">IF(INDIRECT("'数据-取费表'!c"&amp;$G$1)="住宅",'数据-取费表'!B34,0)</f>
        <v>0</v>
      </c>
      <c r="G16" s="1852"/>
      <c r="H16" s="1331" t="s">
        <v>1029</v>
      </c>
      <c r="I16" s="1332" t="s">
        <v>1421</v>
      </c>
      <c r="J16" s="354">
        <f ca="1">ROUND(J17+J22+J23+J24,0)</f>
        <v>178</v>
      </c>
      <c r="K16" s="1339" t="s">
        <v>1422</v>
      </c>
      <c r="L16" s="2942"/>
      <c r="M16" s="1296"/>
    </row>
    <row r="17" spans="1:37" s="1859" customFormat="1" ht="18" customHeight="1">
      <c r="A17" s="1203" t="s">
        <v>1386</v>
      </c>
      <c r="B17" s="346" t="s">
        <v>1423</v>
      </c>
      <c r="C17" s="24">
        <f ca="1">ROUND(F17*(F43+INDIRECT("'数据-取费表'!S"&amp;$G$1))/10000,0)</f>
        <v>480</v>
      </c>
      <c r="D17" s="346" t="s">
        <v>1424</v>
      </c>
      <c r="E17" s="346" t="s">
        <v>1425</v>
      </c>
      <c r="F17" s="26">
        <f>'数据-取费表'!B35</f>
        <v>200</v>
      </c>
      <c r="G17" s="1855"/>
      <c r="H17" s="1203" t="s">
        <v>1034</v>
      </c>
      <c r="I17" s="346" t="s">
        <v>1426</v>
      </c>
      <c r="J17" s="24">
        <f ca="1">ROUND(IF(项目基本情况!B11="自然人",J5*M17,J18+J19+J20),1)</f>
        <v>64.400000000000006</v>
      </c>
      <c r="K17" s="2940" t="s">
        <v>1427</v>
      </c>
      <c r="L17" s="2939" t="s">
        <v>1428</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1429</v>
      </c>
      <c r="C18" s="24">
        <f ca="1">ROUND(C14*F18,0)</f>
        <v>72</v>
      </c>
      <c r="D18" s="346" t="s">
        <v>1418</v>
      </c>
      <c r="E18" s="346" t="s">
        <v>1419</v>
      </c>
      <c r="F18" s="366">
        <f>'数据-取费表'!B36</f>
        <v>1.4999999999999999E-2</v>
      </c>
      <c r="G18" s="1855"/>
      <c r="H18" s="1203" t="s">
        <v>1033</v>
      </c>
      <c r="I18" s="346" t="s">
        <v>1430</v>
      </c>
      <c r="J18" s="24">
        <f ca="1">ROUND(J5*M18/(1+'数据-取费表'!C42),2)</f>
        <v>0</v>
      </c>
      <c r="K18" s="2939" t="s">
        <v>1431</v>
      </c>
      <c r="L18" s="346" t="s">
        <v>1419</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1034</v>
      </c>
      <c r="B19" s="346" t="s">
        <v>1432</v>
      </c>
      <c r="C19" s="24">
        <f ca="1">SUM(C14:C18)</f>
        <v>5500</v>
      </c>
      <c r="D19" s="139" t="s">
        <v>1433</v>
      </c>
      <c r="E19" s="2947"/>
      <c r="F19" s="26"/>
      <c r="G19" s="1852"/>
      <c r="H19" s="1203" t="s">
        <v>1035</v>
      </c>
      <c r="I19" s="346" t="s">
        <v>1434</v>
      </c>
      <c r="J19" s="24">
        <f ca="1">IF(K19="按租金收入计税",ROUND(J5*M19,2),ROUND(C29*M19*0.7,2))</f>
        <v>63.49</v>
      </c>
      <c r="K19" s="1829" t="s">
        <v>1435</v>
      </c>
      <c r="L19" s="346" t="s">
        <v>1419</v>
      </c>
      <c r="M19" s="366">
        <f>IF(K19="按租金收入计税",'数据-取费表'!B51,'数据-取费表'!B50)</f>
        <v>1.2E-2</v>
      </c>
    </row>
    <row r="20" spans="1:37" s="1859" customFormat="1" ht="18" customHeight="1">
      <c r="A20" s="1203" t="s">
        <v>1038</v>
      </c>
      <c r="B20" s="346" t="s">
        <v>1436</v>
      </c>
      <c r="C20" s="24">
        <f ca="1">ROUND(C19*F20,0)</f>
        <v>55</v>
      </c>
      <c r="D20" s="368" t="s">
        <v>1437</v>
      </c>
      <c r="E20" s="346" t="s">
        <v>1419</v>
      </c>
      <c r="F20" s="366">
        <f>'数据-取费表'!B37</f>
        <v>0.01</v>
      </c>
      <c r="G20" s="1855"/>
      <c r="H20" s="1203" t="s">
        <v>1385</v>
      </c>
      <c r="I20" s="163" t="s">
        <v>1438</v>
      </c>
      <c r="J20" s="25">
        <f ca="1">ROUND(M20*M21/10000,2)</f>
        <v>0.87</v>
      </c>
      <c r="K20" s="369" t="s">
        <v>1439</v>
      </c>
      <c r="L20" s="346" t="s">
        <v>1440</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1074</v>
      </c>
      <c r="B21" s="346" t="s">
        <v>1441</v>
      </c>
      <c r="C21" s="24" t="s">
        <v>18</v>
      </c>
      <c r="D21" s="368" t="s">
        <v>1442</v>
      </c>
      <c r="E21" s="346" t="s">
        <v>1443</v>
      </c>
      <c r="F21" s="366">
        <f>'数据-取费表'!B38</f>
        <v>0.01</v>
      </c>
      <c r="G21" s="1855"/>
      <c r="H21" s="371"/>
      <c r="I21" s="355"/>
      <c r="J21" s="29"/>
      <c r="K21" s="372"/>
      <c r="L21" s="346" t="s">
        <v>1444</v>
      </c>
      <c r="M21" s="347">
        <f ca="1">INDIRECT("'数据-取费表'!r"&amp;$G$1)</f>
        <v>5803.91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1445</v>
      </c>
      <c r="C22" s="24"/>
      <c r="D22" s="139" t="str">
        <f>IF(F23&lt;=1,"单利计息。","复利计息。")&amp;"建造成本、管理费用、销售费用产生的利息。"</f>
        <v>复利计息。建造成本、管理费用、销售费用产生的利息。</v>
      </c>
      <c r="E22" s="2947"/>
      <c r="F22" s="26"/>
      <c r="G22" s="1852"/>
      <c r="H22" s="1203" t="s">
        <v>1038</v>
      </c>
      <c r="I22" s="346" t="s">
        <v>1446</v>
      </c>
      <c r="J22" s="24">
        <f ca="1">ROUND(J14*M22,1)</f>
        <v>113.4</v>
      </c>
      <c r="K22" s="2939" t="s">
        <v>1447</v>
      </c>
      <c r="L22" s="346" t="s">
        <v>1419</v>
      </c>
      <c r="M22" s="373">
        <f ca="1">INDIRECT("'数据-取费表'!Ak"&amp;$G$1)</f>
        <v>1.4999999999999999E-2</v>
      </c>
    </row>
    <row r="23" spans="1:37" s="1859" customFormat="1" ht="18" customHeight="1">
      <c r="A23" s="1203" t="s">
        <v>1033</v>
      </c>
      <c r="B23" s="346" t="s">
        <v>1448</v>
      </c>
      <c r="C23" s="24">
        <f ca="1">IF('数据-取费表'!B22&lt;=1,ROUND(C19*F24*F23/2,0)+ROUND(C20*F24*F23/2,0),ROUND(C19*(POWER((1+F24),F23/2)-1),0)+ROUND(C20*(POWER((1+F24),F23/2)-1),0))</f>
        <v>400</v>
      </c>
      <c r="D23" s="374" t="str">
        <f>IF(F23&lt;=1,"(建造成本+管理费用)×利率×(建设周期÷2)","(建造成本+管理费用)×((1+利率)^(建设周期÷2)-1)")</f>
        <v>(建造成本+管理费用)×((1+利率)^(建设周期÷2)-1)</v>
      </c>
      <c r="E23" s="346" t="s">
        <v>1449</v>
      </c>
      <c r="F23" s="370">
        <f>'数据-取费表'!B20</f>
        <v>3</v>
      </c>
      <c r="G23" s="1855"/>
      <c r="H23" s="1203" t="s">
        <v>1074</v>
      </c>
      <c r="I23" s="346" t="s">
        <v>1450</v>
      </c>
      <c r="J23" s="24">
        <f ca="1">ROUND(J13*M23,1)</f>
        <v>0</v>
      </c>
      <c r="K23" s="2939" t="s">
        <v>1451</v>
      </c>
      <c r="L23" s="346" t="s">
        <v>1452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1453</v>
      </c>
      <c r="B24" s="346" t="s">
        <v>1454</v>
      </c>
      <c r="C24" s="24">
        <f ca="1">ROUND(IF('数据-取费表'!B22&lt;=1,F21*F24*F23/2,F21*(POWER((1+F24),F23/2)-1)),4)</f>
        <v>6.9999999999999999E-4</v>
      </c>
      <c r="D24" s="374" t="str">
        <f>IF(F23&lt;=1,"销售费用×利率×(建设周期÷2)","销售费用×((1+利率)^(建设周期÷2)-1)")</f>
        <v>销售费用×((1+利率)^(建设周期÷2)-1)</v>
      </c>
      <c r="E24" s="346" t="s">
        <v>1455</v>
      </c>
      <c r="F24" s="376">
        <f ca="1">'数据-取费表'!B40</f>
        <v>4.7500000000000001E-2</v>
      </c>
      <c r="G24" s="1855"/>
      <c r="H24" s="1341" t="s">
        <v>1389</v>
      </c>
      <c r="I24" s="1342" t="s">
        <v>1436</v>
      </c>
      <c r="J24" s="1343">
        <f ca="1">ROUND(J5*M24,1)</f>
        <v>0</v>
      </c>
      <c r="K24" s="1344" t="s">
        <v>1456</v>
      </c>
      <c r="L24" s="1342" t="s">
        <v>1452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1457</v>
      </c>
      <c r="B25" s="346" t="s">
        <v>1458</v>
      </c>
      <c r="C25" s="24"/>
      <c r="D25" s="139" t="s">
        <v>1459</v>
      </c>
      <c r="E25" s="2947"/>
      <c r="F25" s="26"/>
      <c r="G25" s="1852"/>
      <c r="H25" s="1331" t="s">
        <v>1030</v>
      </c>
      <c r="I25" s="1346" t="s">
        <v>1460</v>
      </c>
      <c r="J25" s="354">
        <f ca="1">J5-J16</f>
        <v>-178</v>
      </c>
      <c r="K25" s="1347" t="s">
        <v>1461</v>
      </c>
      <c r="L25" s="1348"/>
      <c r="M25" s="1349"/>
    </row>
    <row r="26" spans="1:37">
      <c r="A26" s="1203" t="s">
        <v>1033</v>
      </c>
      <c r="B26" s="346" t="s">
        <v>1462</v>
      </c>
      <c r="C26" s="24">
        <f ca="1">ROUND((C19+C20)*F26,0)</f>
        <v>1111</v>
      </c>
      <c r="D26" s="368" t="s">
        <v>1463</v>
      </c>
      <c r="E26" s="357" t="s">
        <v>1464</v>
      </c>
      <c r="F26" s="356">
        <f ca="1">INDIRECT("'数据-取费表'!q"&amp;$G$1)</f>
        <v>0.2</v>
      </c>
      <c r="G26" s="1852"/>
      <c r="H26" s="343" t="s">
        <v>1031</v>
      </c>
      <c r="I26" s="344" t="s">
        <v>1465</v>
      </c>
      <c r="J26" s="345">
        <f ca="1">IF(J5&lt;&gt;0,ROUND(J25*(1-((1+M28)/(1+M26))^M27)/(M26-M28),0),0)</f>
        <v>0</v>
      </c>
      <c r="K26" s="369" t="s">
        <v>1466</v>
      </c>
      <c r="L26" s="346" t="s">
        <v>1467</v>
      </c>
      <c r="M26" s="356">
        <f ca="1">INDIRECT("'数据-取费表'!I"&amp;$G$1)</f>
        <v>5.5E-2</v>
      </c>
    </row>
    <row r="27" spans="1:37" ht="18" customHeight="1">
      <c r="A27" s="1203" t="s">
        <v>1035</v>
      </c>
      <c r="B27" s="346" t="s">
        <v>1468</v>
      </c>
      <c r="C27" s="24">
        <f ca="1">ROUND(F21*F26,4)</f>
        <v>2E-3</v>
      </c>
      <c r="D27" s="368" t="s">
        <v>1469</v>
      </c>
      <c r="E27" s="364"/>
      <c r="F27" s="365"/>
      <c r="G27" s="1852"/>
      <c r="H27" s="348"/>
      <c r="I27" s="349"/>
      <c r="J27" s="350"/>
      <c r="K27" s="377" t="s">
        <v>1470</v>
      </c>
      <c r="L27" s="346" t="s">
        <v>1471</v>
      </c>
      <c r="M27" s="378">
        <f ca="1">INDIRECT("'数据-取费表'!ag"&amp;$G$1)</f>
        <v>0</v>
      </c>
    </row>
    <row r="28" spans="1:37" s="1859" customFormat="1" ht="18" customHeight="1">
      <c r="A28" s="1203" t="s">
        <v>1036</v>
      </c>
      <c r="B28" s="346" t="s">
        <v>1472</v>
      </c>
      <c r="C28" s="24">
        <f>ROUND(F28/(1+'数据-取费表'!C42),4)</f>
        <v>5.2400000000000002E-2</v>
      </c>
      <c r="D28" s="368" t="s">
        <v>1473</v>
      </c>
      <c r="E28" s="346" t="s">
        <v>1419</v>
      </c>
      <c r="F28" s="366">
        <f>'数据-取费表'!B41</f>
        <v>5.5000000000000007E-2</v>
      </c>
      <c r="G28" s="1855"/>
      <c r="H28" s="352"/>
      <c r="I28" s="353"/>
      <c r="J28" s="354"/>
      <c r="K28" s="372"/>
      <c r="L28" s="346" t="s">
        <v>1474</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1037</v>
      </c>
      <c r="B29" s="1342" t="s">
        <v>1475</v>
      </c>
      <c r="C29" s="1343">
        <f ca="1">ROUND((C19+C20+C23+C26)/(1-F21-C24-C27-C28),0)</f>
        <v>7558</v>
      </c>
      <c r="D29" s="1344"/>
      <c r="E29" s="1342"/>
      <c r="F29" s="1345"/>
      <c r="G29" s="1855"/>
      <c r="H29" s="379" t="s">
        <v>1032</v>
      </c>
      <c r="I29" s="380" t="s">
        <v>1476</v>
      </c>
      <c r="J29" s="381">
        <f ca="1">ROUND(J26/(1+F40)^F41,0)</f>
        <v>0</v>
      </c>
      <c r="K29" s="382" t="s">
        <v>1477</v>
      </c>
      <c r="L29" s="383"/>
      <c r="M29" s="384">
        <f ca="1">INDIRECT("'数据-取费表'!k"&amp;$G$1)</f>
        <v>21142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1029</v>
      </c>
      <c r="B30" s="1332" t="s">
        <v>1421</v>
      </c>
      <c r="C30" s="354">
        <f ca="1">ROUND(C31+C36+C37+C38,0)</f>
        <v>443</v>
      </c>
      <c r="D30" s="1339" t="s">
        <v>1422</v>
      </c>
      <c r="E30" s="2942"/>
      <c r="F30" s="1296"/>
      <c r="G30" s="1852"/>
      <c r="H30" s="744"/>
      <c r="I30" s="745"/>
      <c r="J30" s="746"/>
      <c r="K30" s="747"/>
      <c r="L30" s="748"/>
      <c r="M30" s="749"/>
    </row>
    <row r="31" spans="1:37" ht="18" customHeight="1">
      <c r="A31" s="1203" t="s">
        <v>1034</v>
      </c>
      <c r="B31" s="346" t="s">
        <v>1426</v>
      </c>
      <c r="C31" s="24">
        <f ca="1">ROUND(IF(项目基本情况!B11="自然人",C5*F31,C32+C33+C34),1)</f>
        <v>300.5</v>
      </c>
      <c r="D31" s="2940" t="s">
        <v>1427</v>
      </c>
      <c r="E31" s="2939" t="s">
        <v>1478</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1033</v>
      </c>
      <c r="B32" s="346" t="s">
        <v>1430</v>
      </c>
      <c r="C32" s="24">
        <f ca="1">IF(项目基本情况!B11="自然人","——",ROUND(C5*F32/(1+'数据-取费表'!C42),2))</f>
        <v>91.04</v>
      </c>
      <c r="D32" s="2939" t="s">
        <v>1431</v>
      </c>
      <c r="E32" s="346" t="s">
        <v>1419</v>
      </c>
      <c r="F32" s="376">
        <f>'数据-取费表'!B41</f>
        <v>5.5000000000000007E-2</v>
      </c>
      <c r="G32" s="1852"/>
      <c r="H32" s="744"/>
      <c r="I32" s="745"/>
      <c r="J32" s="746"/>
      <c r="K32" s="747"/>
      <c r="L32" s="748"/>
      <c r="M32" s="749"/>
    </row>
    <row r="33" spans="1:18" ht="18" customHeight="1">
      <c r="A33" s="1203" t="s">
        <v>1035</v>
      </c>
      <c r="B33" s="346" t="s">
        <v>1434</v>
      </c>
      <c r="C33" s="24">
        <f ca="1">IF(项目基本情况!B11="自然人","——",IF(D33="按租金收入计税",ROUND(C5*F33,2),IF(D33="按房产原值计税",ROUND(C29*F33*0.7,2),INDIRECT("'数据-取费表'!Aj"&amp;$G$1))))</f>
        <v>208.56</v>
      </c>
      <c r="D33" s="1829" t="s">
        <v>3045</v>
      </c>
      <c r="E33" s="346" t="s">
        <v>1419</v>
      </c>
      <c r="F33" s="366">
        <f>IF(D33="按票据","——",IF(D33="按租金收入计税",'数据-取费表'!B51,'数据-取费表'!B50))</f>
        <v>0.12</v>
      </c>
      <c r="G33" s="1852"/>
      <c r="H33" s="1860"/>
      <c r="I33" s="1861"/>
      <c r="J33" s="1862"/>
      <c r="K33" s="1863"/>
      <c r="L33" s="1860"/>
      <c r="M33" s="1860"/>
    </row>
    <row r="34" spans="1:18" ht="18" customHeight="1">
      <c r="A34" s="1293" t="s">
        <v>1385</v>
      </c>
      <c r="B34" s="163" t="s">
        <v>1438</v>
      </c>
      <c r="C34" s="25">
        <f ca="1">IF(项目基本情况!B11="自然人","——",ROUND(F34*F35/10000,2))</f>
        <v>0.87</v>
      </c>
      <c r="D34" s="369" t="s">
        <v>1439</v>
      </c>
      <c r="E34" s="346" t="s">
        <v>1440</v>
      </c>
      <c r="F34" s="370">
        <f>'数据-取费表'!B52</f>
        <v>1.5</v>
      </c>
      <c r="G34" s="1852"/>
      <c r="H34" s="744"/>
      <c r="I34" s="1861"/>
      <c r="J34" s="1862"/>
      <c r="K34" s="1864"/>
      <c r="L34" s="1865"/>
      <c r="M34" s="1865"/>
    </row>
    <row r="35" spans="1:18" ht="18" customHeight="1">
      <c r="A35" s="1355"/>
      <c r="B35" s="1353"/>
      <c r="C35" s="29"/>
      <c r="D35" s="372"/>
      <c r="E35" s="346" t="s">
        <v>1444</v>
      </c>
      <c r="F35" s="347">
        <f ca="1">INDIRECT("'数据-取费表'!r"&amp;$G$1)</f>
        <v>5803.91</v>
      </c>
      <c r="G35" s="1852"/>
      <c r="H35" s="744"/>
      <c r="I35" s="1861"/>
      <c r="J35" s="1862"/>
      <c r="K35" s="1863"/>
      <c r="L35" s="1860"/>
      <c r="M35" s="1860"/>
    </row>
    <row r="36" spans="1:18" ht="18" customHeight="1">
      <c r="A36" s="1354" t="s">
        <v>1038</v>
      </c>
      <c r="B36" s="346" t="s">
        <v>1446</v>
      </c>
      <c r="C36" s="24">
        <f ca="1">ROUND(C29*F36,1)</f>
        <v>113.4</v>
      </c>
      <c r="D36" s="2939" t="s">
        <v>1479</v>
      </c>
      <c r="E36" s="346" t="s">
        <v>1419</v>
      </c>
      <c r="F36" s="373">
        <f ca="1">INDIRECT("'数据-取费表'!Ak"&amp;$G$1)</f>
        <v>1.4999999999999999E-2</v>
      </c>
      <c r="G36" s="1852"/>
      <c r="H36" s="1860"/>
      <c r="I36" s="1861"/>
      <c r="J36" s="1862"/>
      <c r="K36" s="750"/>
      <c r="L36" s="1860"/>
      <c r="M36" s="1860"/>
    </row>
    <row r="37" spans="1:18" ht="18" customHeight="1">
      <c r="A37" s="1203" t="s">
        <v>1074</v>
      </c>
      <c r="B37" s="346" t="s">
        <v>1450</v>
      </c>
      <c r="C37" s="24">
        <f ca="1">ROUND(C13*F37,1)</f>
        <v>11.3</v>
      </c>
      <c r="D37" s="2939" t="s">
        <v>1451</v>
      </c>
      <c r="E37" s="346" t="s">
        <v>1452</v>
      </c>
      <c r="F37" s="375">
        <f ca="1">INDIRECT("'数据-取费表'!Al"&amp;$G$1)</f>
        <v>1.5E-3</v>
      </c>
      <c r="G37" s="1852"/>
      <c r="H37" s="1860"/>
      <c r="I37" s="1861"/>
      <c r="J37" s="1862"/>
      <c r="K37" s="750"/>
      <c r="L37" s="1860"/>
      <c r="M37" s="1860"/>
    </row>
    <row r="38" spans="1:18" ht="18" customHeight="1" thickBot="1">
      <c r="A38" s="1341" t="s">
        <v>1389</v>
      </c>
      <c r="B38" s="1342" t="s">
        <v>1436</v>
      </c>
      <c r="C38" s="1343">
        <f ca="1">ROUND(C5*F38,1)</f>
        <v>17.399999999999999</v>
      </c>
      <c r="D38" s="1344" t="s">
        <v>1456</v>
      </c>
      <c r="E38" s="1342" t="s">
        <v>1452</v>
      </c>
      <c r="F38" s="1338">
        <f ca="1">INDIRECT("'数据-取费表'!Am"&amp;$G$1)</f>
        <v>0.01</v>
      </c>
      <c r="G38" s="1852"/>
      <c r="H38" s="1860"/>
      <c r="I38" s="1861"/>
      <c r="J38" s="1862"/>
      <c r="K38" s="1866"/>
      <c r="L38" s="1860"/>
      <c r="M38" s="1860"/>
    </row>
    <row r="39" spans="1:18" ht="24.6" customHeight="1" thickTop="1">
      <c r="A39" s="1331" t="s">
        <v>1030</v>
      </c>
      <c r="B39" s="1346" t="s">
        <v>1480</v>
      </c>
      <c r="C39" s="354">
        <f ca="1">C5-C30</f>
        <v>1295</v>
      </c>
      <c r="D39" s="1347" t="s">
        <v>1481</v>
      </c>
      <c r="E39" s="1348"/>
      <c r="F39" s="1349"/>
      <c r="G39" s="1852"/>
      <c r="H39" s="1860"/>
      <c r="I39" s="1861"/>
      <c r="J39" s="1862"/>
      <c r="K39" s="1866"/>
      <c r="L39" s="1860"/>
      <c r="M39" s="1860"/>
    </row>
    <row r="40" spans="1:18" ht="18" customHeight="1">
      <c r="A40" s="343" t="s">
        <v>1031</v>
      </c>
      <c r="B40" s="344" t="s">
        <v>1482</v>
      </c>
      <c r="C40" s="345">
        <f ca="1">ROUND(C39*(1-((1+F42)/(1+F40))^F41)/(F40-F42),0)</f>
        <v>21517</v>
      </c>
      <c r="D40" s="369" t="s">
        <v>1466</v>
      </c>
      <c r="E40" s="346" t="s">
        <v>1467</v>
      </c>
      <c r="F40" s="356">
        <f ca="1">INDIRECT("'数据-取费表'!I"&amp;$G$1)</f>
        <v>5.5E-2</v>
      </c>
      <c r="G40" s="1852"/>
      <c r="H40" s="1840"/>
      <c r="I40" s="1861"/>
      <c r="J40" s="1862"/>
      <c r="K40" s="1866"/>
      <c r="L40" s="1840"/>
      <c r="M40" s="1840"/>
    </row>
    <row r="41" spans="1:18" ht="18" customHeight="1">
      <c r="A41" s="348"/>
      <c r="B41" s="349"/>
      <c r="C41" s="350"/>
      <c r="D41" s="377" t="s">
        <v>1483</v>
      </c>
      <c r="E41" s="346" t="s">
        <v>1471</v>
      </c>
      <c r="F41" s="378">
        <f ca="1">IF(INDIRECT("'数据-取费表'!af"&amp;$G$1)=0,INDIRECT("'数据-取费表'!ae"&amp;$G$1),INDIRECT("'数据-取费表'!af"&amp;$G$1))</f>
        <v>45.79</v>
      </c>
      <c r="G41" s="1852"/>
      <c r="H41" s="731"/>
      <c r="I41" s="1861"/>
      <c r="J41" s="1862"/>
      <c r="K41" s="750"/>
      <c r="L41" s="731"/>
      <c r="M41" s="731"/>
    </row>
    <row r="42" spans="1:18" ht="18" customHeight="1">
      <c r="A42" s="352"/>
      <c r="B42" s="353"/>
      <c r="C42" s="354"/>
      <c r="D42" s="372"/>
      <c r="E42" s="346" t="s">
        <v>1474</v>
      </c>
      <c r="F42" s="356">
        <f ca="1">INDIRECT("'数据-取费表'!v"&amp;$G$1)</f>
        <v>0</v>
      </c>
      <c r="G42" s="1852"/>
      <c r="H42" s="731"/>
      <c r="I42" s="1861"/>
      <c r="J42" s="1862"/>
      <c r="K42" s="750"/>
      <c r="L42" s="731"/>
      <c r="M42" s="731"/>
    </row>
    <row r="43" spans="1:18" ht="18" customHeight="1" thickBot="1">
      <c r="A43" s="379" t="s">
        <v>1032</v>
      </c>
      <c r="B43" s="380" t="s">
        <v>1484</v>
      </c>
      <c r="C43" s="381">
        <f ca="1">ROUND(C40*10000/F43,0)</f>
        <v>10177</v>
      </c>
      <c r="D43" s="382" t="s">
        <v>1485</v>
      </c>
      <c r="E43" s="383" t="s">
        <v>1486</v>
      </c>
      <c r="F43" s="384">
        <f ca="1">INDIRECT("'数据-取费表'!k"&amp;$G$1)</f>
        <v>21142</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1516</v>
      </c>
      <c r="P45" s="1840"/>
      <c r="Q45" s="1840"/>
      <c r="R45" s="1840"/>
    </row>
    <row r="46" spans="1:18" s="1843" customFormat="1" ht="13.5" thickBot="1">
      <c r="A46" s="1871" t="s">
        <v>1517</v>
      </c>
      <c r="C46" s="1872">
        <f ca="1">C68-C40</f>
        <v>-34145</v>
      </c>
      <c r="D46" s="1873" t="str">
        <f>C2</f>
        <v>万元</v>
      </c>
      <c r="E46" s="1867"/>
      <c r="F46" s="1867"/>
      <c r="I46" s="1874" t="s">
        <v>1518</v>
      </c>
      <c r="J46" s="1875"/>
      <c r="K46" s="1876"/>
      <c r="L46" s="1877" t="str">
        <f ca="1">IF(M47="住宅",0,IF(L48&gt;J51,L60,J60))</f>
        <v>0</v>
      </c>
      <c r="O46" s="1878" t="s">
        <v>1519</v>
      </c>
      <c r="P46" s="1879" t="s">
        <v>1520</v>
      </c>
      <c r="Q46" s="1880" t="s">
        <v>1521</v>
      </c>
      <c r="R46" s="1880" t="s">
        <v>1522</v>
      </c>
    </row>
    <row r="47" spans="1:18" s="1843" customFormat="1" ht="13.5" thickBot="1">
      <c r="A47" s="1167" t="s">
        <v>1392</v>
      </c>
      <c r="B47" s="1199" t="s">
        <v>1393</v>
      </c>
      <c r="C47" s="1369" t="s">
        <v>1394</v>
      </c>
      <c r="D47" s="1199" t="s">
        <v>1395</v>
      </c>
      <c r="E47" s="1281" t="s">
        <v>1396</v>
      </c>
      <c r="F47" s="1282"/>
      <c r="G47" s="791"/>
      <c r="I47" s="1881" t="s">
        <v>1523</v>
      </c>
      <c r="J47" s="1882" t="s">
        <v>3043</v>
      </c>
      <c r="K47" s="1883" t="s">
        <v>1524</v>
      </c>
      <c r="L47" s="1884">
        <f ca="1">INDIRECT("'数据-取费表'!d"&amp;$G$1)</f>
        <v>50</v>
      </c>
      <c r="M47" s="1839" t="str">
        <f>IF(ISNUMBER(FIND("住宅",C1)),"住宅","非住宅")</f>
        <v>非住宅</v>
      </c>
      <c r="O47" s="1885" t="s">
        <v>1039</v>
      </c>
      <c r="P47" s="1886" t="s">
        <v>1525</v>
      </c>
      <c r="Q47" s="1887">
        <f ca="1">C40+J29</f>
        <v>21517</v>
      </c>
      <c r="R47" s="1887" t="s">
        <v>1526</v>
      </c>
    </row>
    <row r="48" spans="1:18" s="1843" customFormat="1" ht="28.5" thickBot="1">
      <c r="A48" s="1362" t="s">
        <v>1134</v>
      </c>
      <c r="B48" s="344" t="s">
        <v>1397</v>
      </c>
      <c r="C48" s="2946">
        <f ca="1">C49+C53+C55</f>
        <v>0</v>
      </c>
      <c r="D48" s="1364"/>
      <c r="E48" s="1365"/>
      <c r="F48" s="1183"/>
      <c r="G48" s="791"/>
      <c r="H48" s="792"/>
      <c r="I48" s="1888" t="s">
        <v>1527</v>
      </c>
      <c r="J48" s="1889" t="s">
        <v>3044</v>
      </c>
      <c r="K48" s="1890" t="s">
        <v>1528</v>
      </c>
      <c r="L48" s="1891">
        <f ca="1">INDIRECT("'数据-取费表'!f"&amp;$G$1)</f>
        <v>47.29</v>
      </c>
      <c r="O48" s="1885" t="s">
        <v>1040</v>
      </c>
      <c r="P48" s="1886" t="s">
        <v>1529</v>
      </c>
      <c r="Q48" s="1887" t="str">
        <f ca="1">J60</f>
        <v>0</v>
      </c>
      <c r="R48" s="1887" t="s">
        <v>1530</v>
      </c>
    </row>
    <row r="49" spans="1:18" s="1843" customFormat="1" ht="13.5" thickBot="1">
      <c r="A49" s="1196" t="s">
        <v>1135</v>
      </c>
      <c r="B49" s="1830" t="s">
        <v>1487</v>
      </c>
      <c r="C49" s="1366">
        <f ca="1">ROUND(F49*F51*F50*(1-F52)/10000,0)</f>
        <v>0</v>
      </c>
      <c r="D49" s="1278" t="s">
        <v>3017</v>
      </c>
      <c r="E49" s="1831" t="s">
        <v>1488</v>
      </c>
      <c r="F49" s="1283"/>
      <c r="G49" s="1892"/>
      <c r="H49" s="792"/>
      <c r="I49" s="1888" t="s">
        <v>1531</v>
      </c>
      <c r="J49" s="1893"/>
      <c r="K49" s="1890" t="s">
        <v>1532</v>
      </c>
      <c r="L49" s="1894"/>
      <c r="O49" s="1895" t="s">
        <v>1041</v>
      </c>
      <c r="P49" s="1886" t="s">
        <v>1533</v>
      </c>
      <c r="Q49" s="1887">
        <f ca="1">C29</f>
        <v>7558</v>
      </c>
      <c r="R49" s="1887" t="s">
        <v>1526</v>
      </c>
    </row>
    <row r="50" spans="1:18" s="1843" customFormat="1" ht="13.5" thickBot="1">
      <c r="A50" s="1197"/>
      <c r="B50" s="1200"/>
      <c r="C50" s="1370"/>
      <c r="D50" s="1174"/>
      <c r="E50" s="1279" t="s">
        <v>1402</v>
      </c>
      <c r="F50" s="1280">
        <f ca="1">F7</f>
        <v>21142</v>
      </c>
      <c r="H50" s="792"/>
      <c r="I50" s="1888" t="s">
        <v>1534</v>
      </c>
      <c r="J50" s="1896">
        <f>SUMPRODUCT((I63:I65=J47)*(J62:L62=J48)*(J63:L65))</f>
        <v>60</v>
      </c>
      <c r="K50" s="1890" t="s">
        <v>1535</v>
      </c>
      <c r="L50" s="1894"/>
      <c r="M50" s="1897"/>
      <c r="O50" s="1895" t="s">
        <v>1042</v>
      </c>
      <c r="P50" s="1886" t="s">
        <v>1536</v>
      </c>
      <c r="Q50" s="1898" t="e">
        <f ca="1">J58</f>
        <v>#VALUE!</v>
      </c>
      <c r="R50" s="1887"/>
    </row>
    <row r="51" spans="1:18" s="1843" customFormat="1" ht="13.5" thickBot="1">
      <c r="A51" s="1198"/>
      <c r="B51" s="1200"/>
      <c r="C51" s="1201"/>
      <c r="D51" s="1174"/>
      <c r="E51" s="1202" t="s">
        <v>1403</v>
      </c>
      <c r="F51" s="347">
        <f ca="1">F8</f>
        <v>365</v>
      </c>
      <c r="I51" s="1899" t="s">
        <v>1537</v>
      </c>
      <c r="J51" s="1900">
        <f>IF(J49="",J50,J49+J50-YEAR('数据-取费表'!B2))</f>
        <v>60</v>
      </c>
      <c r="K51" s="1901" t="s">
        <v>1538</v>
      </c>
      <c r="L51" s="1902">
        <f ca="1">ROUND(-PV(INDIRECT("'数据-取费表'!h"&amp;$G$1),L48,(C39-C13*C76),0),0)</f>
        <v>11752</v>
      </c>
      <c r="M51" s="1903"/>
      <c r="O51" s="1895" t="s">
        <v>1043</v>
      </c>
      <c r="P51" s="1886" t="s">
        <v>1539</v>
      </c>
      <c r="Q51" s="1898">
        <f>J52</f>
        <v>0</v>
      </c>
      <c r="R51" s="1887"/>
    </row>
    <row r="52" spans="1:18" s="1843" customFormat="1" ht="13.5" thickBot="1">
      <c r="A52" s="1198"/>
      <c r="B52" s="1200"/>
      <c r="C52" s="1201"/>
      <c r="D52" s="1174"/>
      <c r="E52" s="1202" t="s">
        <v>1404</v>
      </c>
      <c r="F52" s="1277"/>
      <c r="I52" s="1904" t="s">
        <v>1540</v>
      </c>
      <c r="J52" s="1905"/>
      <c r="K52" s="1904" t="s">
        <v>1541</v>
      </c>
      <c r="L52" s="1905">
        <v>5.5E-2</v>
      </c>
      <c r="O52" s="1895" t="s">
        <v>1044</v>
      </c>
      <c r="P52" s="1886" t="s">
        <v>1542</v>
      </c>
      <c r="Q52" s="1887">
        <f ca="1">J53</f>
        <v>45.79</v>
      </c>
      <c r="R52" s="1887" t="s">
        <v>1543</v>
      </c>
    </row>
    <row r="53" spans="1:18" s="1843" customFormat="1" ht="24.75" thickBot="1">
      <c r="A53" s="1407" t="s">
        <v>1136</v>
      </c>
      <c r="B53" s="1832" t="s">
        <v>1405</v>
      </c>
      <c r="C53" s="360">
        <f ca="1">ROUND(IF(F53="押一",F49*F51*F50/12*F11,IF(F53="押二",F49*F51*F50/12*2*F11,IF(F53="押三",F49*F51*F50/12*3*F11,C54*F11)))/10000,0)</f>
        <v>0</v>
      </c>
      <c r="D53" s="1825" t="s">
        <v>3015</v>
      </c>
      <c r="E53" s="357" t="s">
        <v>1407</v>
      </c>
      <c r="F53" s="1368"/>
      <c r="I53" s="1906" t="s">
        <v>1544</v>
      </c>
      <c r="J53" s="1907">
        <f ca="1">IF(M47="住宅",J51,IF(D1="——",MIN(J51,L48),IF(D1="在建（套用方法）",MIN(J51,L48-'数据-取费表'!B24),IF(D1="土地（套用方法）",MIN(J51,L48-'数据-取费表'!B20)))))</f>
        <v>45.79</v>
      </c>
      <c r="K53" s="3190" t="s">
        <v>1545</v>
      </c>
      <c r="L53" s="3191"/>
      <c r="O53" s="1885" t="s">
        <v>1045</v>
      </c>
      <c r="P53" s="1886" t="s">
        <v>1546</v>
      </c>
      <c r="Q53" s="1887">
        <f ca="1">Q47+Q48</f>
        <v>21517</v>
      </c>
      <c r="R53" s="1887" t="s">
        <v>1046</v>
      </c>
    </row>
    <row r="54" spans="1:18" s="1843" customFormat="1" ht="13.5" thickBot="1">
      <c r="A54" s="1408"/>
      <c r="B54" s="1826" t="s">
        <v>1384</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1547</v>
      </c>
      <c r="P54" s="1840"/>
      <c r="Q54" s="1840"/>
      <c r="R54" s="1840"/>
    </row>
    <row r="55" spans="1:18" s="1843" customFormat="1" ht="13.5" thickBot="1">
      <c r="A55" s="1335" t="s">
        <v>1074</v>
      </c>
      <c r="B55" s="1828" t="s">
        <v>1410</v>
      </c>
      <c r="C55" s="1336"/>
      <c r="D55" s="1825"/>
      <c r="E55" s="2943"/>
      <c r="F55" s="1908"/>
      <c r="I55" s="1911" t="s">
        <v>1548</v>
      </c>
      <c r="J55" s="1912" t="e">
        <f ca="1">ROUND(IF(J47="钢混",J57/J50,1-(1-2%)*(J50-J57)/J50),3)</f>
        <v>#VALUE!</v>
      </c>
      <c r="K55" s="1913" t="s">
        <v>1549</v>
      </c>
      <c r="L55" s="1914" t="s">
        <v>1550</v>
      </c>
      <c r="O55" s="1878" t="s">
        <v>1519</v>
      </c>
      <c r="P55" s="1879" t="s">
        <v>1520</v>
      </c>
      <c r="Q55" s="1880" t="s">
        <v>1521</v>
      </c>
      <c r="R55" s="1880" t="s">
        <v>1522</v>
      </c>
    </row>
    <row r="56" spans="1:18" s="1843" customFormat="1" ht="25.5" thickTop="1" thickBot="1">
      <c r="A56" s="1178">
        <v>2</v>
      </c>
      <c r="B56" s="1179" t="s">
        <v>1411</v>
      </c>
      <c r="C56" s="275">
        <f ca="1">C13</f>
        <v>7558</v>
      </c>
      <c r="D56" s="1915"/>
      <c r="E56" s="1916"/>
      <c r="F56" s="1908"/>
      <c r="I56" s="1917" t="s">
        <v>1551</v>
      </c>
      <c r="J56" s="1918" t="s">
        <v>3040</v>
      </c>
      <c r="K56" s="1888" t="s">
        <v>1552</v>
      </c>
      <c r="L56" s="1891" t="str">
        <f ca="1">IF(L48&lt;J51,"——",L48-J53)</f>
        <v>——</v>
      </c>
      <c r="O56" s="1885" t="s">
        <v>1039</v>
      </c>
      <c r="P56" s="1886" t="s">
        <v>1525</v>
      </c>
      <c r="Q56" s="1887">
        <f ca="1">C40+J29</f>
        <v>21517</v>
      </c>
      <c r="R56" s="1887" t="s">
        <v>1526</v>
      </c>
    </row>
    <row r="57" spans="1:18" s="1843" customFormat="1" ht="24.75" thickBot="1">
      <c r="A57" s="1919"/>
      <c r="B57" s="1171" t="s">
        <v>1475</v>
      </c>
      <c r="C57" s="281">
        <f ca="1">C29</f>
        <v>7558</v>
      </c>
      <c r="D57" s="1920"/>
      <c r="E57" s="1921"/>
      <c r="F57" s="1922"/>
      <c r="I57" s="1923" t="s">
        <v>1553</v>
      </c>
      <c r="J57" s="1924" t="str">
        <f ca="1">IF(OR(M47="住宅",J51&lt;L48,J56="是"),"——",J51-L48)</f>
        <v>——</v>
      </c>
      <c r="K57" s="1888" t="s">
        <v>1554</v>
      </c>
      <c r="L57" s="1891" t="str">
        <f ca="1">IF(L48&lt;J51,"——",IF(L55="比较法",L49,IF(L55="基准地价",L50,L51)))</f>
        <v>——</v>
      </c>
      <c r="O57" s="1885" t="s">
        <v>1040</v>
      </c>
      <c r="P57" s="1886" t="s">
        <v>1555</v>
      </c>
      <c r="Q57" s="1887">
        <f ca="1">L60</f>
        <v>0</v>
      </c>
      <c r="R57" s="1887" t="s">
        <v>1556</v>
      </c>
    </row>
    <row r="58" spans="1:18" s="1843" customFormat="1" ht="24.75" thickBot="1">
      <c r="A58" s="359" t="s">
        <v>1029</v>
      </c>
      <c r="B58" s="1179" t="s">
        <v>1421</v>
      </c>
      <c r="C58" s="360">
        <f ca="1">ROUND(C59+C64+C65+C66,0)</f>
        <v>760</v>
      </c>
      <c r="D58" s="1181" t="s">
        <v>1422</v>
      </c>
      <c r="E58" s="1182"/>
      <c r="F58" s="1183"/>
      <c r="I58" s="1923" t="s">
        <v>1557</v>
      </c>
      <c r="J58" s="1925" t="e">
        <f ca="1">IF(J55&lt;0.4,0.4,J55)</f>
        <v>#VALUE!</v>
      </c>
      <c r="K58" s="1901" t="s">
        <v>1558</v>
      </c>
      <c r="L58" s="1891">
        <f ca="1">ROUND(POWER(1+L52,L47-L48)*(POWER(1+L52,L48)-1)/(POWER(1+L52,L47)-1),4)</f>
        <v>0.98850000000000005</v>
      </c>
      <c r="O58" s="1895" t="s">
        <v>1041</v>
      </c>
      <c r="P58" s="1886" t="s">
        <v>1559</v>
      </c>
      <c r="Q58" s="1887">
        <f>IF(L55="比较法",L49,IF(L55="基准地价",L50,0))</f>
        <v>0</v>
      </c>
      <c r="R58" s="1887" t="s">
        <v>1526</v>
      </c>
    </row>
    <row r="59" spans="1:18" s="1843" customFormat="1" ht="24.75" thickBot="1">
      <c r="A59" s="1203" t="s">
        <v>1034</v>
      </c>
      <c r="B59" s="1171" t="s">
        <v>1426</v>
      </c>
      <c r="C59" s="24">
        <f ca="1">ROUND(IF(项目基本情况!B11="自然人",C48*F59,C60+C61+C62),1)</f>
        <v>635.70000000000005</v>
      </c>
      <c r="D59" s="1184" t="s">
        <v>1427</v>
      </c>
      <c r="E59" s="1185" t="s">
        <v>1428</v>
      </c>
      <c r="F59" s="367" t="str">
        <f ca="1">IF(项目基本情况!B11="企业","",IF(INDIRECT("'数据-取费表'!c"&amp;$G$1)="住宅",5%,IF(F49*F50*F51/12/(1+'数据-取费表'!C42)&gt;20000,12%,7%)))</f>
        <v/>
      </c>
      <c r="I59" s="1923" t="s">
        <v>1560</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f ca="1">ROUND(IF(D1="在建（套用方法）",M59,IF(D1="土地（套用方法）",N59,POWER(1+L52,L47-J51)*(POWER(1+L52,J51)-1)/(POWER(1+L52,L47)-1))),4)</f>
        <v>1.0339</v>
      </c>
      <c r="M59" s="1839">
        <f ca="1">ROUND(POWER(1+L52,L47-(J51+'数据-取费表'!B24))*(POWER(1+L52,(J51+'数据-取费表'!B24))-1)/(POWER(1+L52,L47)-1),4)</f>
        <v>1.0339</v>
      </c>
      <c r="N59" s="1839">
        <f ca="1">ROUND(POWER(1+L52,L47-(J51+'数据-取费表'!B20))*(POWER(1+L52,(J51+'数据-取费表'!B20))-1)/(POWER(1+L52,L47)-1),4)</f>
        <v>1.0369999999999999</v>
      </c>
      <c r="O59" s="1895" t="s">
        <v>1042</v>
      </c>
      <c r="P59" s="1886" t="s">
        <v>1561</v>
      </c>
      <c r="Q59" s="1898">
        <f>L52</f>
        <v>5.5E-2</v>
      </c>
      <c r="R59" s="1887"/>
    </row>
    <row r="60" spans="1:18" s="1843" customFormat="1" ht="16.5" thickBot="1">
      <c r="A60" s="1203" t="s">
        <v>1033</v>
      </c>
      <c r="B60" s="1171" t="s">
        <v>1430</v>
      </c>
      <c r="C60" s="24">
        <f ca="1">IF(项目基本情况!B11="自然人","——",ROUND(C48*F60/(1+'数据-取费表'!C42),2))</f>
        <v>0</v>
      </c>
      <c r="D60" s="1185" t="s">
        <v>1431</v>
      </c>
      <c r="E60" s="1171" t="s">
        <v>1419</v>
      </c>
      <c r="F60" s="376">
        <f t="shared" ref="F60:F66" si="0">F32</f>
        <v>5.5000000000000007E-2</v>
      </c>
      <c r="I60" s="1926" t="s">
        <v>1562</v>
      </c>
      <c r="J60" s="1927" t="str">
        <f ca="1">IF(OR(M47="住宅",J51&lt;L48,J56="是"),"0",ROUND(J59/(1+J52)^J53,0))</f>
        <v>0</v>
      </c>
      <c r="K60" s="1928" t="s">
        <v>1563</v>
      </c>
      <c r="L60" s="1927">
        <f ca="1">IF(OR(M47="住宅",L48&lt;J51),0,ROUND(L57*(L58/L59-1),0))</f>
        <v>0</v>
      </c>
      <c r="O60" s="1895" t="s">
        <v>1043</v>
      </c>
      <c r="P60" s="1886" t="s">
        <v>1564</v>
      </c>
      <c r="Q60" s="1887">
        <f ca="1">L58</f>
        <v>0.98850000000000005</v>
      </c>
      <c r="R60" s="1887" t="s">
        <v>1565</v>
      </c>
    </row>
    <row r="61" spans="1:18" s="1843" customFormat="1" ht="13.5" thickBot="1">
      <c r="A61" s="1203" t="s">
        <v>1489</v>
      </c>
      <c r="B61" s="1171" t="s">
        <v>1490</v>
      </c>
      <c r="C61" s="24">
        <f ca="1">IF(项目基本情况!B11="自然人","——",IF(D61="按租金收入计税",ROUND(C48*F61,2),IF(D61="按房产原值计税",ROUND(C57*F61*0.7,2),INDIRECT("'数据-取费表'!Aj"&amp;$G$1))))</f>
        <v>634.87</v>
      </c>
      <c r="D61" s="1829" t="s">
        <v>1435</v>
      </c>
      <c r="E61" s="1171" t="s">
        <v>1491</v>
      </c>
      <c r="F61" s="366">
        <f t="shared" si="0"/>
        <v>0.12</v>
      </c>
      <c r="I61" s="1929"/>
      <c r="J61" s="1929"/>
      <c r="K61" s="1929"/>
      <c r="L61" s="1929"/>
      <c r="O61" s="1895" t="s">
        <v>1044</v>
      </c>
      <c r="P61" s="1886" t="str">
        <f>K59</f>
        <v>续建工期及建筑物耐用年限下的土地年期修正系数Kn</v>
      </c>
      <c r="Q61" s="1887">
        <f ca="1">L59</f>
        <v>1.0339</v>
      </c>
      <c r="R61" s="1887" t="s">
        <v>1566</v>
      </c>
    </row>
    <row r="62" spans="1:18" s="1843" customFormat="1" ht="13.5" thickBot="1">
      <c r="A62" s="1203" t="s">
        <v>1492</v>
      </c>
      <c r="B62" s="1170" t="s">
        <v>1493</v>
      </c>
      <c r="C62" s="25">
        <f ca="1">IF(项目基本情况!B11="自然人","——",ROUND(F62*F63/10000,2))</f>
        <v>0.87</v>
      </c>
      <c r="D62" s="1186" t="s">
        <v>1494</v>
      </c>
      <c r="E62" s="1171" t="s">
        <v>1495</v>
      </c>
      <c r="F62" s="370">
        <f t="shared" si="0"/>
        <v>1.5</v>
      </c>
      <c r="I62" s="1930" t="s">
        <v>1567</v>
      </c>
      <c r="J62" s="1931" t="s">
        <v>1568</v>
      </c>
      <c r="K62" s="1931" t="s">
        <v>1569</v>
      </c>
      <c r="L62" s="1931" t="s">
        <v>1570</v>
      </c>
      <c r="M62" s="1932" t="s">
        <v>1571</v>
      </c>
      <c r="O62" s="1885" t="s">
        <v>1045</v>
      </c>
      <c r="P62" s="1886" t="s">
        <v>1572</v>
      </c>
      <c r="Q62" s="1887">
        <f ca="1">Q56+Q57</f>
        <v>21517</v>
      </c>
      <c r="R62" s="1887" t="s">
        <v>1046</v>
      </c>
    </row>
    <row r="63" spans="1:18" s="1843" customFormat="1" ht="13.5" thickBot="1">
      <c r="A63" s="371"/>
      <c r="B63" s="1177"/>
      <c r="C63" s="29"/>
      <c r="D63" s="1187"/>
      <c r="E63" s="1171" t="s">
        <v>1496</v>
      </c>
      <c r="F63" s="347">
        <f t="shared" ca="1" si="0"/>
        <v>5803.91</v>
      </c>
      <c r="I63" s="1930" t="s">
        <v>1573</v>
      </c>
      <c r="J63" s="1931">
        <v>70</v>
      </c>
      <c r="K63" s="1931">
        <v>50</v>
      </c>
      <c r="L63" s="1931">
        <v>80</v>
      </c>
      <c r="M63" s="1933">
        <v>0.02</v>
      </c>
      <c r="O63" s="1870" t="s">
        <v>1574</v>
      </c>
      <c r="P63" s="1840"/>
      <c r="Q63" s="1840"/>
      <c r="R63" s="1840"/>
    </row>
    <row r="64" spans="1:18" s="1843" customFormat="1" ht="13.5" thickBot="1">
      <c r="A64" s="1203" t="s">
        <v>1497</v>
      </c>
      <c r="B64" s="1171" t="s">
        <v>1498</v>
      </c>
      <c r="C64" s="24">
        <f ca="1">ROUND(C57*F64,1)</f>
        <v>113.4</v>
      </c>
      <c r="D64" s="1185" t="s">
        <v>1499</v>
      </c>
      <c r="E64" s="1171" t="s">
        <v>1491</v>
      </c>
      <c r="F64" s="373">
        <f t="shared" ca="1" si="0"/>
        <v>1.4999999999999999E-2</v>
      </c>
      <c r="I64" s="1930" t="s">
        <v>1575</v>
      </c>
      <c r="J64" s="1931">
        <v>50</v>
      </c>
      <c r="K64" s="1931">
        <v>35</v>
      </c>
      <c r="L64" s="1931">
        <v>60</v>
      </c>
      <c r="M64" s="1932">
        <v>0</v>
      </c>
      <c r="O64" s="1878" t="s">
        <v>1519</v>
      </c>
      <c r="P64" s="1879" t="s">
        <v>1520</v>
      </c>
      <c r="Q64" s="1880" t="s">
        <v>1521</v>
      </c>
      <c r="R64" s="1880" t="s">
        <v>1522</v>
      </c>
    </row>
    <row r="65" spans="1:18" s="1843" customFormat="1" ht="13.5" thickBot="1">
      <c r="A65" s="1203" t="s">
        <v>1500</v>
      </c>
      <c r="B65" s="1171" t="s">
        <v>1450</v>
      </c>
      <c r="C65" s="24">
        <f ca="1">ROUND(C56*F65,1)</f>
        <v>11.3</v>
      </c>
      <c r="D65" s="1185" t="s">
        <v>1451</v>
      </c>
      <c r="E65" s="1171" t="s">
        <v>1452</v>
      </c>
      <c r="F65" s="375">
        <f t="shared" ca="1" si="0"/>
        <v>1.5E-3</v>
      </c>
      <c r="I65" s="1930" t="s">
        <v>1576</v>
      </c>
      <c r="J65" s="1931">
        <v>40</v>
      </c>
      <c r="K65" s="1931">
        <v>30</v>
      </c>
      <c r="L65" s="1931">
        <v>50</v>
      </c>
      <c r="M65" s="1933">
        <v>0.02</v>
      </c>
      <c r="O65" s="1885" t="s">
        <v>1039</v>
      </c>
      <c r="P65" s="1886" t="s">
        <v>1577</v>
      </c>
      <c r="Q65" s="1887">
        <f ca="1">C40+J29</f>
        <v>21517</v>
      </c>
      <c r="R65" s="1887" t="s">
        <v>1526</v>
      </c>
    </row>
    <row r="66" spans="1:18" s="1843" customFormat="1" ht="16.5" thickBot="1">
      <c r="A66" s="1203" t="s">
        <v>1501</v>
      </c>
      <c r="B66" s="1171" t="s">
        <v>1436</v>
      </c>
      <c r="C66" s="24">
        <f ca="1">ROUND(C48*F66,1)</f>
        <v>0</v>
      </c>
      <c r="D66" s="1185" t="s">
        <v>1502</v>
      </c>
      <c r="E66" s="1171" t="s">
        <v>1419</v>
      </c>
      <c r="F66" s="356">
        <f t="shared" ca="1" si="0"/>
        <v>0.01</v>
      </c>
      <c r="O66" s="1885" t="s">
        <v>1040</v>
      </c>
      <c r="P66" s="1886" t="s">
        <v>1555</v>
      </c>
      <c r="Q66" s="1887">
        <f ca="1">L60</f>
        <v>0</v>
      </c>
      <c r="R66" s="1887" t="s">
        <v>1578</v>
      </c>
    </row>
    <row r="67" spans="1:18" s="1843" customFormat="1" ht="16.5" thickBot="1">
      <c r="A67" s="1178" t="s">
        <v>1030</v>
      </c>
      <c r="B67" s="1188" t="s">
        <v>1460</v>
      </c>
      <c r="C67" s="360">
        <f ca="1">C48-C58</f>
        <v>-760</v>
      </c>
      <c r="D67" s="1184" t="s">
        <v>1461</v>
      </c>
      <c r="E67" s="1189"/>
      <c r="F67" s="1190"/>
      <c r="O67" s="1895" t="s">
        <v>1041</v>
      </c>
      <c r="P67" s="1886" t="s">
        <v>1559</v>
      </c>
      <c r="Q67" s="1934">
        <f ca="1">L51</f>
        <v>11752</v>
      </c>
      <c r="R67" s="1887" t="s">
        <v>1579</v>
      </c>
    </row>
    <row r="68" spans="1:18" s="1843" customFormat="1" ht="16.5" thickBot="1">
      <c r="A68" s="1168" t="s">
        <v>1031</v>
      </c>
      <c r="B68" s="1169" t="s">
        <v>1482</v>
      </c>
      <c r="C68" s="345">
        <f ca="1">ROUND(C67*(1-((1+F70)/(1+F68))^F69)/(F68-F70),0)</f>
        <v>-12628</v>
      </c>
      <c r="D68" s="1186" t="s">
        <v>1466</v>
      </c>
      <c r="E68" s="1171" t="s">
        <v>1467</v>
      </c>
      <c r="F68" s="356">
        <f ca="1">F40</f>
        <v>5.5E-2</v>
      </c>
      <c r="O68" s="1895" t="s">
        <v>1042</v>
      </c>
      <c r="P68" s="1935" t="s">
        <v>1580</v>
      </c>
      <c r="Q68" s="1887">
        <f ca="1">ROUND(Q69-Q70*Q71,0)</f>
        <v>653</v>
      </c>
      <c r="R68" s="1887" t="s">
        <v>1050</v>
      </c>
    </row>
    <row r="69" spans="1:18" s="1843" customFormat="1" ht="13.5" thickBot="1">
      <c r="A69" s="1172"/>
      <c r="B69" s="1173"/>
      <c r="C69" s="350"/>
      <c r="D69" s="1191" t="s">
        <v>1470</v>
      </c>
      <c r="E69" s="1171" t="s">
        <v>1471</v>
      </c>
      <c r="F69" s="378">
        <f ca="1">F41</f>
        <v>45.79</v>
      </c>
      <c r="O69" s="1895" t="s">
        <v>1047</v>
      </c>
      <c r="P69" s="1935" t="s">
        <v>1581</v>
      </c>
      <c r="Q69" s="1887">
        <f ca="1">C39</f>
        <v>1295</v>
      </c>
      <c r="R69" s="1887" t="s">
        <v>1526</v>
      </c>
    </row>
    <row r="70" spans="1:18" s="1843" customFormat="1" ht="13.5" thickBot="1">
      <c r="A70" s="1175"/>
      <c r="B70" s="1176"/>
      <c r="C70" s="354"/>
      <c r="D70" s="1187"/>
      <c r="E70" s="1171" t="s">
        <v>1474</v>
      </c>
      <c r="F70" s="1277"/>
      <c r="O70" s="1895" t="s">
        <v>1048</v>
      </c>
      <c r="P70" s="1935" t="s">
        <v>1582</v>
      </c>
      <c r="Q70" s="1887">
        <f ca="1">C13</f>
        <v>7558</v>
      </c>
      <c r="R70" s="1887" t="s">
        <v>1526</v>
      </c>
    </row>
    <row r="71" spans="1:18" s="1843" customFormat="1" ht="13.5" thickBot="1">
      <c r="A71" s="1192" t="s">
        <v>1032</v>
      </c>
      <c r="B71" s="1193" t="s">
        <v>1484</v>
      </c>
      <c r="C71" s="381">
        <f ca="1">ROUND(C68*10000/F71,0)</f>
        <v>-5973</v>
      </c>
      <c r="D71" s="1194" t="s">
        <v>1485</v>
      </c>
      <c r="E71" s="1195" t="s">
        <v>1486</v>
      </c>
      <c r="F71" s="384">
        <f ca="1">F43</f>
        <v>21142</v>
      </c>
      <c r="O71" s="1895" t="s">
        <v>1049</v>
      </c>
      <c r="P71" s="1935" t="s">
        <v>1583</v>
      </c>
      <c r="Q71" s="1898">
        <f ca="1">C76</f>
        <v>8.5000000000000006E-2</v>
      </c>
      <c r="R71" s="1887"/>
    </row>
    <row r="72" spans="1:18" s="1843" customFormat="1" ht="13.5" thickBot="1">
      <c r="B72" s="795"/>
      <c r="C72" s="795"/>
      <c r="O72" s="1895" t="s">
        <v>1043</v>
      </c>
      <c r="P72" s="1886" t="s">
        <v>1561</v>
      </c>
      <c r="Q72" s="1898">
        <f>L52</f>
        <v>5.5E-2</v>
      </c>
      <c r="R72" s="1887"/>
    </row>
    <row r="73" spans="1:18" ht="16.5" thickBot="1">
      <c r="A73" s="1843"/>
      <c r="B73" s="795"/>
      <c r="C73" s="795"/>
      <c r="D73" s="1843"/>
      <c r="E73" s="1843"/>
      <c r="F73" s="1843"/>
      <c r="O73" s="1895" t="s">
        <v>1044</v>
      </c>
      <c r="P73" s="1886" t="s">
        <v>1564</v>
      </c>
      <c r="Q73" s="1887">
        <f ca="1">L58</f>
        <v>0.98850000000000005</v>
      </c>
      <c r="R73" s="1887" t="s">
        <v>1565</v>
      </c>
    </row>
    <row r="74" spans="1:18" ht="13.5" thickBot="1">
      <c r="A74" s="1843"/>
      <c r="B74" s="316" t="s">
        <v>1584</v>
      </c>
      <c r="C74" s="1937"/>
      <c r="D74" s="1843"/>
      <c r="E74" s="1843"/>
      <c r="F74" s="1843"/>
      <c r="O74" s="1895" t="s">
        <v>1051</v>
      </c>
      <c r="P74" s="1886" t="str">
        <f>K59</f>
        <v>续建工期及建筑物耐用年限下的土地年期修正系数Kn</v>
      </c>
      <c r="Q74" s="1887">
        <f ca="1">L59</f>
        <v>1.0339</v>
      </c>
      <c r="R74" s="1887" t="s">
        <v>1566</v>
      </c>
    </row>
    <row r="75" spans="1:18" ht="13.5" thickBot="1">
      <c r="A75" s="1843"/>
      <c r="B75" s="385" t="s">
        <v>1503</v>
      </c>
      <c r="C75" s="386">
        <f ca="1">ROUND(C13*C76,0)</f>
        <v>642</v>
      </c>
      <c r="D75" s="1843"/>
      <c r="E75" s="1843"/>
      <c r="F75" s="1843"/>
      <c r="K75" s="1869"/>
      <c r="L75" s="1843"/>
      <c r="O75" s="1885" t="s">
        <v>1045</v>
      </c>
      <c r="P75" s="1886" t="s">
        <v>1546</v>
      </c>
      <c r="Q75" s="1887">
        <f ca="1">Q65+Q66</f>
        <v>21517</v>
      </c>
      <c r="R75" s="1887" t="s">
        <v>1046</v>
      </c>
    </row>
    <row r="76" spans="1:18">
      <c r="B76" s="387" t="s">
        <v>1504</v>
      </c>
      <c r="C76" s="388">
        <f ca="1">INDIRECT("'数据-取费表'!j"&amp;$G$1)</f>
        <v>8.5000000000000006E-2</v>
      </c>
      <c r="I76" s="1843"/>
      <c r="J76" s="1843"/>
      <c r="K76" s="1869"/>
      <c r="L76" s="1843"/>
    </row>
    <row r="77" spans="1:18">
      <c r="B77" s="389" t="s">
        <v>1505</v>
      </c>
      <c r="C77" s="390"/>
      <c r="I77" s="1843"/>
      <c r="J77" s="1843"/>
      <c r="K77" s="1869"/>
      <c r="L77" s="1843"/>
    </row>
    <row r="78" spans="1:18">
      <c r="B78" s="313" t="s">
        <v>1506</v>
      </c>
      <c r="C78" s="391"/>
    </row>
    <row r="79" spans="1:18">
      <c r="B79" s="385" t="s">
        <v>1507</v>
      </c>
      <c r="C79" s="317">
        <f ca="1">1-C80</f>
        <v>0.504</v>
      </c>
    </row>
    <row r="80" spans="1:18">
      <c r="B80" s="385" t="s">
        <v>1508</v>
      </c>
      <c r="C80" s="317">
        <f ca="1">ROUND(C75/C39,3)</f>
        <v>0.496</v>
      </c>
    </row>
    <row r="81" spans="2:3">
      <c r="B81" s="313" t="s">
        <v>1509</v>
      </c>
      <c r="C81" s="281"/>
    </row>
    <row r="82" spans="2:3">
      <c r="B82" s="316" t="s">
        <v>1510</v>
      </c>
      <c r="C82" s="318">
        <f ca="1">1-C83</f>
        <v>0.64900000000000002</v>
      </c>
    </row>
    <row r="83" spans="2:3">
      <c r="B83" s="316" t="s">
        <v>1511</v>
      </c>
      <c r="C83" s="317">
        <f ca="1">ROUND(C13/C40,3)</f>
        <v>0.35099999999999998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1608</v>
      </c>
    </row>
    <row r="2" spans="1:1">
      <c r="A2" s="1947"/>
    </row>
    <row r="3" spans="1:1" ht="18">
      <c r="A3" s="1948" t="str">
        <f>项目基本情况!B5&amp;"："</f>
        <v>北京金河水务建设有限公司：</v>
      </c>
    </row>
    <row r="4" spans="1:1" ht="36">
      <c r="A4" s="1949"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50" t="s">
        <v>1609</v>
      </c>
    </row>
    <row r="6" spans="1:1" ht="18.75">
      <c r="A6" s="1951" t="s">
        <v>1610</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估价对象（分摊）出让国有建设用地使用权面积为53758.79平方米，建筑面积为222493平方米。</v>
      </c>
    </row>
    <row r="8" spans="1:1" ht="57.75">
      <c r="A8" s="1952" t="s">
        <v>1611</v>
      </c>
    </row>
    <row r="9" spans="1:1" ht="18.75">
      <c r="A9" s="1951" t="s">
        <v>1612</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估价对象（分摊）出让国有建设用地使用权面积为53758.79平方米，规划建筑面积为222493平方米。</v>
      </c>
    </row>
    <row r="11" spans="1:1" ht="76.5">
      <c r="A11" s="1952" t="s">
        <v>1613</v>
      </c>
    </row>
    <row r="12" spans="1:1" ht="18.75">
      <c r="A12" s="1950" t="s">
        <v>1614</v>
      </c>
    </row>
    <row r="13" spans="1:1" ht="38.25" customHeight="1">
      <c r="A13" s="1953"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54" t="s">
        <v>1615</v>
      </c>
    </row>
    <row r="15" spans="1:1" ht="18">
      <c r="A15" s="1955" t="str">
        <f>TEXT(项目基本情况!D3,"yyyy年m月d日;;")&amp;IF(项目基本情况!D3=项目基本情况!B3,"（评估专业人员实地查勘之日）","")</f>
        <v>2017年9月12日（评估专业人员实地查勘之日）</v>
      </c>
    </row>
    <row r="16" spans="1:1" ht="18.75">
      <c r="A16" s="1954" t="s">
        <v>1616</v>
      </c>
    </row>
    <row r="17" spans="1:1" ht="75">
      <c r="A17" s="1949" t="s">
        <v>1617</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1606</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1607</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25" sqref="H2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1586</v>
      </c>
      <c r="B1" s="781"/>
      <c r="C1" s="1838" t="s">
        <v>48</v>
      </c>
      <c r="D1" s="1821" t="s">
        <v>3144</v>
      </c>
      <c r="E1" s="1822" t="s">
        <v>1383</v>
      </c>
      <c r="F1" s="1285">
        <f ca="1">J53</f>
        <v>45.79</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1512</v>
      </c>
      <c r="B2" s="1845">
        <f ca="1">C40+J29+L46</f>
        <v>1947</v>
      </c>
      <c r="C2" s="1846" t="s">
        <v>1513</v>
      </c>
      <c r="D2" s="1846"/>
      <c r="E2" s="1847"/>
      <c r="F2" s="1848"/>
      <c r="G2" s="1849"/>
      <c r="H2" s="1841"/>
      <c r="I2" s="1841"/>
      <c r="J2" s="1841"/>
      <c r="K2" s="1842"/>
      <c r="L2" s="1841"/>
      <c r="M2" s="1841"/>
    </row>
    <row r="3" spans="1:37" ht="18" customHeight="1" thickBot="1">
      <c r="A3" s="1850" t="s">
        <v>1514</v>
      </c>
      <c r="B3" s="1851">
        <f ca="1">IF(ISERROR(B2*10000/F43),0,ROUND(B2*10000/F43,0))</f>
        <v>725</v>
      </c>
      <c r="C3" s="1846" t="s">
        <v>1515</v>
      </c>
      <c r="D3" s="1846"/>
      <c r="E3" s="1847"/>
      <c r="F3" s="1848"/>
      <c r="G3" s="1849"/>
      <c r="H3" s="743" t="s">
        <v>1585</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248</v>
      </c>
      <c r="D5" s="1823" t="s">
        <v>1398</v>
      </c>
      <c r="E5" s="1295"/>
      <c r="F5" s="1296"/>
      <c r="G5" s="1852"/>
      <c r="H5" s="343">
        <v>1</v>
      </c>
      <c r="I5" s="344" t="s">
        <v>1397</v>
      </c>
      <c r="J5" s="1294">
        <f ca="1">J6+J10+J12</f>
        <v>0</v>
      </c>
      <c r="K5" s="1823" t="s">
        <v>1398</v>
      </c>
      <c r="L5" s="1295"/>
      <c r="M5" s="1296"/>
    </row>
    <row r="6" spans="1:37" ht="18" customHeight="1">
      <c r="A6" s="1293" t="s">
        <v>1034</v>
      </c>
      <c r="B6" s="3192" t="s">
        <v>1399</v>
      </c>
      <c r="C6" s="1298">
        <f ca="1">ROUND(F6*F8*F7*(1-F9)/10000,0)</f>
        <v>248</v>
      </c>
      <c r="D6" s="163" t="s">
        <v>3014</v>
      </c>
      <c r="E6" s="346" t="s">
        <v>1401</v>
      </c>
      <c r="F6" s="347">
        <f ca="1">INDIRECT("'数据-取费表'!u"&amp;$G$1)</f>
        <v>300</v>
      </c>
      <c r="G6" s="1852"/>
      <c r="H6" s="1293" t="s">
        <v>1034</v>
      </c>
      <c r="I6" s="3192" t="s">
        <v>1399</v>
      </c>
      <c r="J6" s="345">
        <f ca="1">ROUND(M6*M8*M7*(1-M9)/10000,0)</f>
        <v>0</v>
      </c>
      <c r="K6" s="163" t="s">
        <v>3013</v>
      </c>
      <c r="L6" s="346" t="s">
        <v>1401</v>
      </c>
      <c r="M6" s="347">
        <f ca="1">INDIRECT("'数据-取费表'!z"&amp;$G$1)</f>
        <v>0</v>
      </c>
    </row>
    <row r="7" spans="1:37" ht="18" customHeight="1">
      <c r="A7" s="1297"/>
      <c r="B7" s="3193"/>
      <c r="C7" s="1299"/>
      <c r="D7" s="351"/>
      <c r="E7" s="2949" t="s">
        <v>1402</v>
      </c>
      <c r="F7" s="347">
        <f ca="1">IF(INDIRECT("'数据-取费表'!ah"&amp;$G$1)="",INDIRECT("'数据-取费表'!k"&amp;$G$1),INDIRECT("'数据-取费表'!ah"&amp;$G$1))</f>
        <v>766</v>
      </c>
      <c r="G7" s="1852"/>
      <c r="H7" s="348"/>
      <c r="I7" s="3193"/>
      <c r="J7" s="350"/>
      <c r="K7" s="351"/>
      <c r="L7" s="346" t="s">
        <v>1402</v>
      </c>
      <c r="M7" s="347">
        <f ca="1">F7</f>
        <v>766</v>
      </c>
    </row>
    <row r="8" spans="1:37" ht="18" customHeight="1">
      <c r="A8" s="348"/>
      <c r="B8" s="3193"/>
      <c r="C8" s="350"/>
      <c r="D8" s="351"/>
      <c r="E8" s="346" t="s">
        <v>1403</v>
      </c>
      <c r="F8" s="347">
        <f ca="1">INDIRECT("'数据-取费表'!ai"&amp;$G$1)</f>
        <v>12</v>
      </c>
      <c r="G8" s="1852"/>
      <c r="H8" s="348"/>
      <c r="I8" s="3193"/>
      <c r="J8" s="350"/>
      <c r="K8" s="351"/>
      <c r="L8" s="346" t="s">
        <v>1403</v>
      </c>
      <c r="M8" s="347">
        <f ca="1">INDIRECT("'数据-取费表'!ai"&amp;$G$1)</f>
        <v>12</v>
      </c>
    </row>
    <row r="9" spans="1:37" ht="18" customHeight="1">
      <c r="A9" s="348"/>
      <c r="B9" s="3194"/>
      <c r="C9" s="350"/>
      <c r="D9" s="351"/>
      <c r="E9" s="346" t="s">
        <v>1404</v>
      </c>
      <c r="F9" s="356">
        <f ca="1">INDIRECT("'数据-取费表'!w"&amp;$G$1)</f>
        <v>0.1</v>
      </c>
      <c r="G9" s="1852"/>
      <c r="H9" s="348"/>
      <c r="I9" s="3194"/>
      <c r="J9" s="350"/>
      <c r="K9" s="351"/>
      <c r="L9" s="357" t="s">
        <v>1404</v>
      </c>
      <c r="M9" s="358">
        <f ca="1">INDIRECT("'数据-取费表'!ab"&amp;$G$1)</f>
        <v>0</v>
      </c>
    </row>
    <row r="10" spans="1:37" ht="18" customHeight="1">
      <c r="A10" s="1293" t="s">
        <v>1038</v>
      </c>
      <c r="B10" s="1824" t="s">
        <v>1405</v>
      </c>
      <c r="C10" s="360">
        <f ca="1">ROUND(IF(F10="押一",F6*F8*F7/12*F11,IF(F10="押二",F6*F8*F7/12*2*F11,IF(F10="押三",F6*F8*F7/12*3*F11,C11*F11)))/10000,0)</f>
        <v>0</v>
      </c>
      <c r="D10" s="1825" t="s">
        <v>3015</v>
      </c>
      <c r="E10" s="357" t="s">
        <v>1407</v>
      </c>
      <c r="F10" s="1368" t="s">
        <v>3149</v>
      </c>
      <c r="G10" s="1852"/>
      <c r="H10" s="1293" t="s">
        <v>1038</v>
      </c>
      <c r="I10" s="1824" t="s">
        <v>1405</v>
      </c>
      <c r="J10" s="345">
        <f ca="1">ROUND(IF(M10="押一",M6*M8*M7/12*M11,IF(M10="押二",M6*M8*M7/12*2*M11,IF(M10="押三",M6*M8*M7/12*3*M11,J11*M11)))/10000,0)</f>
        <v>0</v>
      </c>
      <c r="K10" s="1825" t="s">
        <v>3016</v>
      </c>
      <c r="L10" s="357" t="s">
        <v>1407</v>
      </c>
      <c r="M10" s="1368" t="s">
        <v>1408</v>
      </c>
    </row>
    <row r="11" spans="1:37" ht="18" customHeight="1">
      <c r="A11" s="352"/>
      <c r="B11" s="1826" t="s">
        <v>1384</v>
      </c>
      <c r="C11" s="1180"/>
      <c r="D11" s="1827"/>
      <c r="E11" s="357" t="s">
        <v>1409</v>
      </c>
      <c r="F11" s="358">
        <f ca="1">'数据-取费表'!B39</f>
        <v>1.4999999999999999E-2</v>
      </c>
      <c r="G11" s="1852"/>
      <c r="H11" s="1301"/>
      <c r="I11" s="1826" t="s">
        <v>1384</v>
      </c>
      <c r="J11" s="1180"/>
      <c r="K11" s="747"/>
      <c r="L11" s="357" t="s">
        <v>1409</v>
      </c>
      <c r="M11" s="1058">
        <f ca="1">'数据-取费表'!B39</f>
        <v>1.4999999999999999E-2</v>
      </c>
    </row>
    <row r="12" spans="1:37" ht="18" customHeight="1" thickBot="1">
      <c r="A12" s="1335" t="s">
        <v>1074</v>
      </c>
      <c r="B12" s="1828" t="s">
        <v>1410</v>
      </c>
      <c r="C12" s="1336"/>
      <c r="D12" s="1337"/>
      <c r="E12" s="1342"/>
      <c r="F12" s="1338"/>
      <c r="G12" s="1852"/>
      <c r="H12" s="1335" t="s">
        <v>1074</v>
      </c>
      <c r="I12" s="1828" t="s">
        <v>1410</v>
      </c>
      <c r="J12" s="1336"/>
      <c r="K12" s="1350"/>
      <c r="L12" s="1342"/>
      <c r="M12" s="1351"/>
    </row>
    <row r="13" spans="1:37" ht="18" customHeight="1" thickTop="1">
      <c r="A13" s="1331">
        <v>2</v>
      </c>
      <c r="B13" s="1332" t="s">
        <v>1411</v>
      </c>
      <c r="C13" s="354">
        <f ca="1">ROUND(C29*F13,0)</f>
        <v>8299</v>
      </c>
      <c r="D13" s="1333" t="s">
        <v>1412</v>
      </c>
      <c r="E13" s="1333" t="s">
        <v>1413</v>
      </c>
      <c r="F13" s="1334">
        <f ca="1">INDIRECT("'数据-取费表'!y"&amp;$G$1)</f>
        <v>1</v>
      </c>
      <c r="G13" s="1852"/>
      <c r="H13" s="1331">
        <v>2</v>
      </c>
      <c r="I13" s="1332" t="s">
        <v>1411</v>
      </c>
      <c r="J13" s="1292">
        <f ca="1">ROUND(J14*J15,0)</f>
        <v>0</v>
      </c>
      <c r="K13" s="1339" t="s">
        <v>1412</v>
      </c>
      <c r="L13" s="1853"/>
      <c r="M13" s="1854"/>
    </row>
    <row r="14" spans="1:37" ht="18" customHeight="1">
      <c r="A14" s="1203" t="s">
        <v>1033</v>
      </c>
      <c r="B14" s="346" t="s">
        <v>1414</v>
      </c>
      <c r="C14" s="362">
        <f ca="1">INDIRECT("'数据-取费表'!m"&amp;$G$1)+INDIRECT("'数据-取费表'!t"&amp;$G$1)</f>
        <v>6099</v>
      </c>
      <c r="D14" s="2940" t="s">
        <v>1415</v>
      </c>
      <c r="E14" s="2938"/>
      <c r="F14" s="363"/>
      <c r="G14" s="1852"/>
      <c r="H14" s="1203" t="s">
        <v>1034</v>
      </c>
      <c r="I14" s="346" t="s">
        <v>1416</v>
      </c>
      <c r="J14" s="24">
        <f ca="1">C29</f>
        <v>8299</v>
      </c>
      <c r="K14" s="2948"/>
      <c r="L14" s="981"/>
      <c r="M14" s="982"/>
    </row>
    <row r="15" spans="1:37" s="1859" customFormat="1" ht="18" customHeight="1" thickBot="1">
      <c r="A15" s="1203" t="s">
        <v>1035</v>
      </c>
      <c r="B15" s="346" t="s">
        <v>1417</v>
      </c>
      <c r="C15" s="24">
        <f ca="1">ROUND(C14*F15,0)</f>
        <v>183</v>
      </c>
      <c r="D15" s="364" t="s">
        <v>1418</v>
      </c>
      <c r="E15" s="364" t="s">
        <v>1419</v>
      </c>
      <c r="F15" s="365">
        <f>'数据-取费表'!B33</f>
        <v>0.03</v>
      </c>
      <c r="G15" s="1855"/>
      <c r="H15" s="1341" t="s">
        <v>1038</v>
      </c>
      <c r="I15" s="1342" t="s">
        <v>1413</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1420</v>
      </c>
      <c r="C16" s="24">
        <f ca="1">ROUND(INDIRECT("'数据-取费表'!m"&amp;$G$1)*F16,0)</f>
        <v>0</v>
      </c>
      <c r="D16" s="346" t="s">
        <v>1418</v>
      </c>
      <c r="E16" s="346" t="s">
        <v>1419</v>
      </c>
      <c r="F16" s="366">
        <f ca="1">IF(INDIRECT("'数据-取费表'!c"&amp;$G$1)="住宅",'数据-取费表'!B34,0)</f>
        <v>0</v>
      </c>
      <c r="G16" s="1852"/>
      <c r="H16" s="1331" t="s">
        <v>1029</v>
      </c>
      <c r="I16" s="1332" t="s">
        <v>1421</v>
      </c>
      <c r="J16" s="354">
        <f ca="1">ROUND(J17+J22+J23+J24,0)</f>
        <v>195</v>
      </c>
      <c r="K16" s="1339" t="s">
        <v>1422</v>
      </c>
      <c r="L16" s="2942"/>
      <c r="M16" s="1296"/>
    </row>
    <row r="17" spans="1:37" s="1859" customFormat="1" ht="18" customHeight="1">
      <c r="A17" s="1203" t="s">
        <v>1386</v>
      </c>
      <c r="B17" s="346" t="s">
        <v>1423</v>
      </c>
      <c r="C17" s="24">
        <f ca="1">ROUND(F17*(F43+INDIRECT("'数据-取费表'!S"&amp;$G$1))/10000,0)</f>
        <v>610</v>
      </c>
      <c r="D17" s="346" t="s">
        <v>1424</v>
      </c>
      <c r="E17" s="346" t="s">
        <v>1425</v>
      </c>
      <c r="F17" s="26">
        <f>'数据-取费表'!B35</f>
        <v>200</v>
      </c>
      <c r="G17" s="1855"/>
      <c r="H17" s="1203" t="s">
        <v>1034</v>
      </c>
      <c r="I17" s="346" t="s">
        <v>1426</v>
      </c>
      <c r="J17" s="24">
        <f ca="1">ROUND(IF(项目基本情况!B11="自然人",J5*M17,J18+J19+J20),1)</f>
        <v>70.8</v>
      </c>
      <c r="K17" s="2940" t="s">
        <v>1427</v>
      </c>
      <c r="L17" s="2939" t="s">
        <v>1428</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1429</v>
      </c>
      <c r="C18" s="24">
        <f ca="1">ROUND(C14*F18,0)</f>
        <v>91</v>
      </c>
      <c r="D18" s="346" t="s">
        <v>1418</v>
      </c>
      <c r="E18" s="346" t="s">
        <v>1419</v>
      </c>
      <c r="F18" s="366">
        <f>'数据-取费表'!B36</f>
        <v>1.4999999999999999E-2</v>
      </c>
      <c r="G18" s="1855"/>
      <c r="H18" s="1203" t="s">
        <v>1033</v>
      </c>
      <c r="I18" s="346" t="s">
        <v>1430</v>
      </c>
      <c r="J18" s="24">
        <f ca="1">ROUND(J5*M18/(1+'数据-取费表'!C42),2)</f>
        <v>0</v>
      </c>
      <c r="K18" s="2939" t="s">
        <v>1431</v>
      </c>
      <c r="L18" s="346" t="s">
        <v>1419</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1034</v>
      </c>
      <c r="B19" s="346" t="s">
        <v>1432</v>
      </c>
      <c r="C19" s="24">
        <f ca="1">SUM(C14:C18)</f>
        <v>6983</v>
      </c>
      <c r="D19" s="139" t="s">
        <v>1433</v>
      </c>
      <c r="E19" s="2947"/>
      <c r="F19" s="26"/>
      <c r="G19" s="1852"/>
      <c r="H19" s="1203" t="s">
        <v>1035</v>
      </c>
      <c r="I19" s="346" t="s">
        <v>1434</v>
      </c>
      <c r="J19" s="24">
        <f ca="1">IF(K19="按租金收入计税",ROUND(J5*M19,2),ROUND(C29*M19*0.7,2))</f>
        <v>69.709999999999994</v>
      </c>
      <c r="K19" s="1829" t="s">
        <v>1435</v>
      </c>
      <c r="L19" s="346" t="s">
        <v>1419</v>
      </c>
      <c r="M19" s="366">
        <f>IF(K19="按租金收入计税",'数据-取费表'!B51,'数据-取费表'!B50)</f>
        <v>1.2E-2</v>
      </c>
    </row>
    <row r="20" spans="1:37" s="1859" customFormat="1" ht="18" customHeight="1">
      <c r="A20" s="1203" t="s">
        <v>1038</v>
      </c>
      <c r="B20" s="346" t="s">
        <v>1436</v>
      </c>
      <c r="C20" s="24">
        <f ca="1">ROUND(C19*F20,0)</f>
        <v>70</v>
      </c>
      <c r="D20" s="368" t="s">
        <v>1437</v>
      </c>
      <c r="E20" s="346" t="s">
        <v>1419</v>
      </c>
      <c r="F20" s="366">
        <f>'数据-取费表'!B37</f>
        <v>0.01</v>
      </c>
      <c r="G20" s="1855"/>
      <c r="H20" s="1203" t="s">
        <v>1385</v>
      </c>
      <c r="I20" s="163" t="s">
        <v>1438</v>
      </c>
      <c r="J20" s="25">
        <f ca="1">ROUND(M20*M21/10000,2)</f>
        <v>1.1100000000000001</v>
      </c>
      <c r="K20" s="369" t="s">
        <v>1439</v>
      </c>
      <c r="L20" s="346" t="s">
        <v>1440</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1074</v>
      </c>
      <c r="B21" s="346" t="s">
        <v>1441</v>
      </c>
      <c r="C21" s="24" t="s">
        <v>18</v>
      </c>
      <c r="D21" s="368" t="s">
        <v>1442</v>
      </c>
      <c r="E21" s="346" t="s">
        <v>1443</v>
      </c>
      <c r="F21" s="366">
        <f>'数据-取费表'!B38</f>
        <v>0.01</v>
      </c>
      <c r="G21" s="1855"/>
      <c r="H21" s="371"/>
      <c r="I21" s="355"/>
      <c r="J21" s="29"/>
      <c r="K21" s="372"/>
      <c r="L21" s="346" t="s">
        <v>1444</v>
      </c>
      <c r="M21" s="347">
        <f ca="1">INDIRECT("'数据-取费表'!r"&amp;$G$1)</f>
        <v>7368.41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1445</v>
      </c>
      <c r="C22" s="24"/>
      <c r="D22" s="139" t="str">
        <f>IF(F23&lt;=1,"单利计息。","复利计息。")&amp;"建造成本、管理费用、销售费用产生的利息。"</f>
        <v>复利计息。建造成本、管理费用、销售费用产生的利息。</v>
      </c>
      <c r="E22" s="2947"/>
      <c r="F22" s="26"/>
      <c r="G22" s="1852"/>
      <c r="H22" s="1203" t="s">
        <v>1038</v>
      </c>
      <c r="I22" s="346" t="s">
        <v>1446</v>
      </c>
      <c r="J22" s="24">
        <f ca="1">ROUND(J14*M22,1)</f>
        <v>124.5</v>
      </c>
      <c r="K22" s="2939" t="s">
        <v>1447</v>
      </c>
      <c r="L22" s="346" t="s">
        <v>1419</v>
      </c>
      <c r="M22" s="373">
        <f ca="1">INDIRECT("'数据-取费表'!Ak"&amp;$G$1)</f>
        <v>1.4999999999999999E-2</v>
      </c>
    </row>
    <row r="23" spans="1:37" s="1859" customFormat="1" ht="18" customHeight="1">
      <c r="A23" s="1203" t="s">
        <v>1033</v>
      </c>
      <c r="B23" s="346" t="s">
        <v>1448</v>
      </c>
      <c r="C23" s="24">
        <f ca="1">IF('数据-取费表'!B22&lt;=1,ROUND(C19*F24*F23/2,0)+ROUND(C20*F24*F23/2,0),ROUND(C19*(POWER((1+F24),F23/2)-1),0)+ROUND(C20*(POWER((1+F24),F23/2)-1),0))</f>
        <v>508</v>
      </c>
      <c r="D23" s="374" t="str">
        <f>IF(F23&lt;=1,"(建造成本+管理费用)×利率×(建设周期÷2)","(建造成本+管理费用)×((1+利率)^(建设周期÷2)-1)")</f>
        <v>(建造成本+管理费用)×((1+利率)^(建设周期÷2)-1)</v>
      </c>
      <c r="E23" s="346" t="s">
        <v>1449</v>
      </c>
      <c r="F23" s="370">
        <f>'数据-取费表'!B20</f>
        <v>3</v>
      </c>
      <c r="G23" s="1855"/>
      <c r="H23" s="1203" t="s">
        <v>1074</v>
      </c>
      <c r="I23" s="346" t="s">
        <v>1450</v>
      </c>
      <c r="J23" s="24">
        <f ca="1">ROUND(J13*M23,1)</f>
        <v>0</v>
      </c>
      <c r="K23" s="2939" t="s">
        <v>1451</v>
      </c>
      <c r="L23" s="346" t="s">
        <v>1452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1453</v>
      </c>
      <c r="B24" s="346" t="s">
        <v>1454</v>
      </c>
      <c r="C24" s="24">
        <f ca="1">ROUND(IF('数据-取费表'!B22&lt;=1,F21*F24*F23/2,F21*(POWER((1+F24),F23/2)-1)),4)</f>
        <v>6.9999999999999999E-4</v>
      </c>
      <c r="D24" s="374" t="str">
        <f>IF(F23&lt;=1,"销售费用×利率×(建设周期÷2)","销售费用×((1+利率)^(建设周期÷2)-1)")</f>
        <v>销售费用×((1+利率)^(建设周期÷2)-1)</v>
      </c>
      <c r="E24" s="346" t="s">
        <v>1455</v>
      </c>
      <c r="F24" s="376">
        <f ca="1">'数据-取费表'!B40</f>
        <v>4.7500000000000001E-2</v>
      </c>
      <c r="G24" s="1855"/>
      <c r="H24" s="1341" t="s">
        <v>1389</v>
      </c>
      <c r="I24" s="1342" t="s">
        <v>1436</v>
      </c>
      <c r="J24" s="1343">
        <f ca="1">ROUND(J5*M24,1)</f>
        <v>0</v>
      </c>
      <c r="K24" s="1344" t="s">
        <v>1456</v>
      </c>
      <c r="L24" s="1342" t="s">
        <v>1452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1457</v>
      </c>
      <c r="B25" s="346" t="s">
        <v>1458</v>
      </c>
      <c r="C25" s="24"/>
      <c r="D25" s="139" t="s">
        <v>1459</v>
      </c>
      <c r="E25" s="2947"/>
      <c r="F25" s="26"/>
      <c r="G25" s="1852"/>
      <c r="H25" s="1331" t="s">
        <v>1030</v>
      </c>
      <c r="I25" s="1346" t="s">
        <v>1460</v>
      </c>
      <c r="J25" s="354">
        <f ca="1">J5-J16</f>
        <v>-195</v>
      </c>
      <c r="K25" s="1347" t="s">
        <v>1461</v>
      </c>
      <c r="L25" s="1348"/>
      <c r="M25" s="1349"/>
    </row>
    <row r="26" spans="1:37">
      <c r="A26" s="1203" t="s">
        <v>1033</v>
      </c>
      <c r="B26" s="346" t="s">
        <v>1462</v>
      </c>
      <c r="C26" s="24">
        <f ca="1">ROUND((C19+C20)*F26,0)</f>
        <v>212</v>
      </c>
      <c r="D26" s="368" t="s">
        <v>1463</v>
      </c>
      <c r="E26" s="357" t="s">
        <v>1464</v>
      </c>
      <c r="F26" s="356">
        <f ca="1">INDIRECT("'数据-取费表'!q"&amp;$G$1)</f>
        <v>0.03</v>
      </c>
      <c r="G26" s="1852"/>
      <c r="H26" s="343" t="s">
        <v>1031</v>
      </c>
      <c r="I26" s="344" t="s">
        <v>1465</v>
      </c>
      <c r="J26" s="345">
        <f ca="1">IF(J5&lt;&gt;0,ROUND(J25*(1-((1+M28)/(1+M26))^M27)/(M26-M28),0),0)</f>
        <v>0</v>
      </c>
      <c r="K26" s="369" t="s">
        <v>1466</v>
      </c>
      <c r="L26" s="346" t="s">
        <v>1467</v>
      </c>
      <c r="M26" s="356">
        <f ca="1">INDIRECT("'数据-取费表'!I"&amp;$G$1)</f>
        <v>0.05</v>
      </c>
    </row>
    <row r="27" spans="1:37" ht="18" customHeight="1">
      <c r="A27" s="1203" t="s">
        <v>1035</v>
      </c>
      <c r="B27" s="346" t="s">
        <v>1468</v>
      </c>
      <c r="C27" s="24">
        <f ca="1">ROUND(F21*F26,4)</f>
        <v>2.9999999999999997E-4</v>
      </c>
      <c r="D27" s="368" t="s">
        <v>1469</v>
      </c>
      <c r="E27" s="364"/>
      <c r="F27" s="365"/>
      <c r="G27" s="1852"/>
      <c r="H27" s="348"/>
      <c r="I27" s="349"/>
      <c r="J27" s="350"/>
      <c r="K27" s="377" t="s">
        <v>1470</v>
      </c>
      <c r="L27" s="346" t="s">
        <v>1471</v>
      </c>
      <c r="M27" s="378">
        <f ca="1">INDIRECT("'数据-取费表'!ag"&amp;$G$1)</f>
        <v>0</v>
      </c>
    </row>
    <row r="28" spans="1:37" s="1859" customFormat="1" ht="18" customHeight="1">
      <c r="A28" s="1203" t="s">
        <v>1036</v>
      </c>
      <c r="B28" s="346" t="s">
        <v>1472</v>
      </c>
      <c r="C28" s="24">
        <f>ROUND(F28/(1+'数据-取费表'!C42),4)</f>
        <v>5.2400000000000002E-2</v>
      </c>
      <c r="D28" s="368" t="s">
        <v>1473</v>
      </c>
      <c r="E28" s="346" t="s">
        <v>1419</v>
      </c>
      <c r="F28" s="366">
        <f>'数据-取费表'!B41</f>
        <v>5.5000000000000007E-2</v>
      </c>
      <c r="G28" s="1855"/>
      <c r="H28" s="352"/>
      <c r="I28" s="353"/>
      <c r="J28" s="354"/>
      <c r="K28" s="372"/>
      <c r="L28" s="346" t="s">
        <v>1474</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1037</v>
      </c>
      <c r="B29" s="1342" t="s">
        <v>1475</v>
      </c>
      <c r="C29" s="1343">
        <f ca="1">ROUND((C19+C20+C23+C26)/(1-F21-C24-C27-C28),0)</f>
        <v>8299</v>
      </c>
      <c r="D29" s="1344"/>
      <c r="E29" s="1342"/>
      <c r="F29" s="1345"/>
      <c r="G29" s="1855"/>
      <c r="H29" s="379" t="s">
        <v>1032</v>
      </c>
      <c r="I29" s="380" t="s">
        <v>1476</v>
      </c>
      <c r="J29" s="381">
        <f ca="1">ROUND(J26/(1+F40)^F41,0)</f>
        <v>0</v>
      </c>
      <c r="K29" s="382" t="s">
        <v>1477</v>
      </c>
      <c r="L29" s="383"/>
      <c r="M29" s="384">
        <f ca="1">INDIRECT("'数据-取费表'!k"&amp;$G$1)</f>
        <v>26841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1029</v>
      </c>
      <c r="B30" s="1332" t="s">
        <v>1421</v>
      </c>
      <c r="C30" s="354">
        <f ca="1">ROUND(C31+C36+C37+C38,0)</f>
        <v>139</v>
      </c>
      <c r="D30" s="1339" t="s">
        <v>1422</v>
      </c>
      <c r="E30" s="2942"/>
      <c r="F30" s="1296"/>
      <c r="G30" s="1852"/>
      <c r="H30" s="744"/>
      <c r="I30" s="745"/>
      <c r="J30" s="746"/>
      <c r="K30" s="747"/>
      <c r="L30" s="748"/>
      <c r="M30" s="749"/>
    </row>
    <row r="31" spans="1:37" ht="18" customHeight="1">
      <c r="A31" s="1203" t="s">
        <v>1034</v>
      </c>
      <c r="B31" s="346" t="s">
        <v>1426</v>
      </c>
      <c r="C31" s="24">
        <v>0</v>
      </c>
      <c r="D31" s="2940" t="s">
        <v>1427</v>
      </c>
      <c r="E31" s="2939" t="s">
        <v>1478</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1033</v>
      </c>
      <c r="B32" s="346" t="s">
        <v>1430</v>
      </c>
      <c r="C32" s="24">
        <v>0</v>
      </c>
      <c r="D32" s="2939" t="s">
        <v>1431</v>
      </c>
      <c r="E32" s="346" t="s">
        <v>1419</v>
      </c>
      <c r="F32" s="376">
        <f>'数据-取费表'!B41</f>
        <v>5.5000000000000007E-2</v>
      </c>
      <c r="G32" s="1852"/>
      <c r="H32" s="744"/>
      <c r="I32" s="745"/>
      <c r="J32" s="746"/>
      <c r="K32" s="747"/>
      <c r="L32" s="748"/>
      <c r="M32" s="749"/>
    </row>
    <row r="33" spans="1:18" ht="18" customHeight="1">
      <c r="A33" s="1203" t="s">
        <v>1035</v>
      </c>
      <c r="B33" s="346" t="s">
        <v>1434</v>
      </c>
      <c r="C33" s="24">
        <v>0</v>
      </c>
      <c r="D33" s="1829" t="s">
        <v>3045</v>
      </c>
      <c r="E33" s="346" t="s">
        <v>1419</v>
      </c>
      <c r="F33" s="366">
        <f>IF(D33="按票据","——",IF(D33="按租金收入计税",'数据-取费表'!B51,'数据-取费表'!B50))</f>
        <v>0.12</v>
      </c>
      <c r="G33" s="1852"/>
      <c r="H33" s="1860"/>
      <c r="I33" s="1861"/>
      <c r="J33" s="1862"/>
      <c r="K33" s="1863"/>
      <c r="L33" s="1860"/>
      <c r="M33" s="1860"/>
    </row>
    <row r="34" spans="1:18" ht="18" customHeight="1">
      <c r="A34" s="1293" t="s">
        <v>1385</v>
      </c>
      <c r="B34" s="163" t="s">
        <v>1438</v>
      </c>
      <c r="C34" s="25">
        <v>0</v>
      </c>
      <c r="D34" s="369" t="s">
        <v>1439</v>
      </c>
      <c r="E34" s="346" t="s">
        <v>1440</v>
      </c>
      <c r="F34" s="370">
        <f>'数据-取费表'!B52</f>
        <v>1.5</v>
      </c>
      <c r="G34" s="1852"/>
      <c r="H34" s="744"/>
      <c r="I34" s="1861"/>
      <c r="J34" s="1862"/>
      <c r="K34" s="1864"/>
      <c r="L34" s="1865"/>
      <c r="M34" s="1865"/>
    </row>
    <row r="35" spans="1:18" ht="18" customHeight="1">
      <c r="A35" s="1355"/>
      <c r="B35" s="1353"/>
      <c r="C35" s="29"/>
      <c r="D35" s="372"/>
      <c r="E35" s="346" t="s">
        <v>1444</v>
      </c>
      <c r="F35" s="347">
        <f ca="1">INDIRECT("'数据-取费表'!r"&amp;$G$1)</f>
        <v>7368.41</v>
      </c>
      <c r="G35" s="1852"/>
      <c r="H35" s="744"/>
      <c r="I35" s="1861"/>
      <c r="J35" s="1862"/>
      <c r="K35" s="1863"/>
      <c r="L35" s="1860"/>
      <c r="M35" s="1860"/>
    </row>
    <row r="36" spans="1:18" ht="18" customHeight="1">
      <c r="A36" s="1354" t="s">
        <v>1038</v>
      </c>
      <c r="B36" s="346" t="s">
        <v>1446</v>
      </c>
      <c r="C36" s="24">
        <f ca="1">ROUND(C29*F36,1)</f>
        <v>124.5</v>
      </c>
      <c r="D36" s="2939" t="s">
        <v>1479</v>
      </c>
      <c r="E36" s="346" t="s">
        <v>1419</v>
      </c>
      <c r="F36" s="373">
        <f ca="1">INDIRECT("'数据-取费表'!Ak"&amp;$G$1)</f>
        <v>1.4999999999999999E-2</v>
      </c>
      <c r="G36" s="1852"/>
      <c r="H36" s="1860"/>
      <c r="I36" s="1861"/>
      <c r="J36" s="1862"/>
      <c r="K36" s="750"/>
      <c r="L36" s="1860"/>
      <c r="M36" s="1860"/>
    </row>
    <row r="37" spans="1:18" ht="18" customHeight="1">
      <c r="A37" s="1203" t="s">
        <v>1074</v>
      </c>
      <c r="B37" s="346" t="s">
        <v>1450</v>
      </c>
      <c r="C37" s="24">
        <f ca="1">ROUND(C13*F37,1)</f>
        <v>12.4</v>
      </c>
      <c r="D37" s="2939" t="s">
        <v>1451</v>
      </c>
      <c r="E37" s="346" t="s">
        <v>1452</v>
      </c>
      <c r="F37" s="375">
        <f ca="1">INDIRECT("'数据-取费表'!Al"&amp;$G$1)</f>
        <v>1.5E-3</v>
      </c>
      <c r="G37" s="1852"/>
      <c r="H37" s="1860"/>
      <c r="I37" s="1861"/>
      <c r="J37" s="1862"/>
      <c r="K37" s="750"/>
      <c r="L37" s="1860"/>
      <c r="M37" s="1860"/>
    </row>
    <row r="38" spans="1:18" ht="18" customHeight="1" thickBot="1">
      <c r="A38" s="1341" t="s">
        <v>1389</v>
      </c>
      <c r="B38" s="1342" t="s">
        <v>1436</v>
      </c>
      <c r="C38" s="1343">
        <f ca="1">ROUND(C5*F38,1)</f>
        <v>2.5</v>
      </c>
      <c r="D38" s="1344" t="s">
        <v>1456</v>
      </c>
      <c r="E38" s="1342" t="s">
        <v>1452</v>
      </c>
      <c r="F38" s="1338">
        <f ca="1">INDIRECT("'数据-取费表'!Am"&amp;$G$1)</f>
        <v>0.01</v>
      </c>
      <c r="G38" s="1852"/>
      <c r="H38" s="1860"/>
      <c r="I38" s="1861"/>
      <c r="J38" s="1862"/>
      <c r="K38" s="1866"/>
      <c r="L38" s="1860"/>
      <c r="M38" s="1860"/>
    </row>
    <row r="39" spans="1:18" ht="24.6" customHeight="1" thickTop="1">
      <c r="A39" s="1331" t="s">
        <v>1030</v>
      </c>
      <c r="B39" s="1346" t="s">
        <v>1480</v>
      </c>
      <c r="C39" s="354">
        <f ca="1">C5-C30</f>
        <v>109</v>
      </c>
      <c r="D39" s="1347" t="s">
        <v>1481</v>
      </c>
      <c r="E39" s="1348"/>
      <c r="F39" s="1349"/>
      <c r="G39" s="1852"/>
      <c r="H39" s="1860"/>
      <c r="I39" s="1861"/>
      <c r="J39" s="1862"/>
      <c r="K39" s="1866"/>
      <c r="L39" s="1860"/>
      <c r="M39" s="1860"/>
    </row>
    <row r="40" spans="1:18" ht="18" customHeight="1">
      <c r="A40" s="343" t="s">
        <v>1031</v>
      </c>
      <c r="B40" s="344" t="s">
        <v>1482</v>
      </c>
      <c r="C40" s="345">
        <f ca="1">ROUND(C39*(1-((1+F42)/(1+F40))^F41)/(F40-F42),0)</f>
        <v>1947</v>
      </c>
      <c r="D40" s="369" t="s">
        <v>1466</v>
      </c>
      <c r="E40" s="346" t="s">
        <v>1467</v>
      </c>
      <c r="F40" s="356">
        <f ca="1">INDIRECT("'数据-取费表'!I"&amp;$G$1)</f>
        <v>0.05</v>
      </c>
      <c r="G40" s="1852"/>
      <c r="H40" s="1840"/>
      <c r="I40" s="1861"/>
      <c r="J40" s="1862"/>
      <c r="K40" s="1866"/>
      <c r="L40" s="1840"/>
      <c r="M40" s="1840"/>
    </row>
    <row r="41" spans="1:18" ht="18" customHeight="1">
      <c r="A41" s="348"/>
      <c r="B41" s="349"/>
      <c r="C41" s="350"/>
      <c r="D41" s="377" t="s">
        <v>1483</v>
      </c>
      <c r="E41" s="346" t="s">
        <v>1471</v>
      </c>
      <c r="F41" s="378">
        <f ca="1">IF(INDIRECT("'数据-取费表'!af"&amp;$G$1)=0,INDIRECT("'数据-取费表'!ae"&amp;$G$1),INDIRECT("'数据-取费表'!af"&amp;$G$1))</f>
        <v>45.79</v>
      </c>
      <c r="G41" s="1852"/>
      <c r="H41" s="731"/>
      <c r="I41" s="1861"/>
      <c r="J41" s="1862"/>
      <c r="K41" s="750"/>
      <c r="L41" s="731"/>
      <c r="M41" s="731"/>
    </row>
    <row r="42" spans="1:18" ht="18" customHeight="1">
      <c r="A42" s="352"/>
      <c r="B42" s="353"/>
      <c r="C42" s="354"/>
      <c r="D42" s="372"/>
      <c r="E42" s="346" t="s">
        <v>1474</v>
      </c>
      <c r="F42" s="356">
        <f ca="1">INDIRECT("'数据-取费表'!v"&amp;$G$1)</f>
        <v>0</v>
      </c>
      <c r="G42" s="1852"/>
      <c r="H42" s="731"/>
      <c r="I42" s="1861"/>
      <c r="J42" s="1862"/>
      <c r="K42" s="750"/>
      <c r="L42" s="731"/>
      <c r="M42" s="731"/>
    </row>
    <row r="43" spans="1:18" ht="18" customHeight="1" thickBot="1">
      <c r="A43" s="379" t="s">
        <v>1032</v>
      </c>
      <c r="B43" s="380" t="s">
        <v>1484</v>
      </c>
      <c r="C43" s="381">
        <f ca="1">ROUND(C40*10000/F43,0)</f>
        <v>725</v>
      </c>
      <c r="D43" s="382" t="s">
        <v>1485</v>
      </c>
      <c r="E43" s="383" t="s">
        <v>1486</v>
      </c>
      <c r="F43" s="384">
        <f ca="1">INDIRECT("'数据-取费表'!k"&amp;$G$1)</f>
        <v>26841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1516</v>
      </c>
      <c r="P45" s="1840"/>
      <c r="Q45" s="1840"/>
      <c r="R45" s="1840"/>
    </row>
    <row r="46" spans="1:18" s="1843" customFormat="1" ht="13.5" thickBot="1">
      <c r="A46" s="1871" t="s">
        <v>1517</v>
      </c>
      <c r="C46" s="1872">
        <f ca="1">C68-C40</f>
        <v>-16859</v>
      </c>
      <c r="D46" s="1873" t="str">
        <f>C2</f>
        <v>万元</v>
      </c>
      <c r="E46" s="1867"/>
      <c r="F46" s="1867"/>
      <c r="I46" s="1874" t="s">
        <v>1518</v>
      </c>
      <c r="J46" s="1875"/>
      <c r="K46" s="1876"/>
      <c r="L46" s="1877" t="str">
        <f ca="1">IF(M47="住宅",0,IF(L48&gt;J51,L60,J60))</f>
        <v>0</v>
      </c>
      <c r="O46" s="1878" t="s">
        <v>1519</v>
      </c>
      <c r="P46" s="1879" t="s">
        <v>1520</v>
      </c>
      <c r="Q46" s="1880" t="s">
        <v>1521</v>
      </c>
      <c r="R46" s="1880" t="s">
        <v>1522</v>
      </c>
    </row>
    <row r="47" spans="1:18" s="1843" customFormat="1" ht="13.5" thickBot="1">
      <c r="A47" s="1167" t="s">
        <v>1392</v>
      </c>
      <c r="B47" s="1199" t="s">
        <v>1393</v>
      </c>
      <c r="C47" s="1369" t="s">
        <v>1394</v>
      </c>
      <c r="D47" s="1199" t="s">
        <v>1395</v>
      </c>
      <c r="E47" s="1281" t="s">
        <v>1396</v>
      </c>
      <c r="F47" s="1282"/>
      <c r="G47" s="791"/>
      <c r="I47" s="1881" t="s">
        <v>1523</v>
      </c>
      <c r="J47" s="1882" t="s">
        <v>3043</v>
      </c>
      <c r="K47" s="1883" t="s">
        <v>1524</v>
      </c>
      <c r="L47" s="1884">
        <f ca="1">INDIRECT("'数据-取费表'!d"&amp;$G$1)</f>
        <v>50</v>
      </c>
      <c r="M47" s="1839" t="str">
        <f>IF(ISNUMBER(FIND("住宅",C1)),"住宅","非住宅")</f>
        <v>非住宅</v>
      </c>
      <c r="O47" s="1885" t="s">
        <v>1039</v>
      </c>
      <c r="P47" s="1886" t="s">
        <v>1525</v>
      </c>
      <c r="Q47" s="1887">
        <f ca="1">C40+J29</f>
        <v>1947</v>
      </c>
      <c r="R47" s="1887" t="s">
        <v>1526</v>
      </c>
    </row>
    <row r="48" spans="1:18" s="1843" customFormat="1" ht="28.5" thickBot="1">
      <c r="A48" s="1362" t="s">
        <v>1134</v>
      </c>
      <c r="B48" s="344" t="s">
        <v>1397</v>
      </c>
      <c r="C48" s="2946">
        <f ca="1">C49+C53+C55</f>
        <v>0</v>
      </c>
      <c r="D48" s="1364"/>
      <c r="E48" s="1365"/>
      <c r="F48" s="1183"/>
      <c r="G48" s="791"/>
      <c r="H48" s="792"/>
      <c r="I48" s="1888" t="s">
        <v>1527</v>
      </c>
      <c r="J48" s="1889" t="s">
        <v>3044</v>
      </c>
      <c r="K48" s="1890" t="s">
        <v>1528</v>
      </c>
      <c r="L48" s="1891">
        <f ca="1">INDIRECT("'数据-取费表'!f"&amp;$G$1)</f>
        <v>47.29</v>
      </c>
      <c r="O48" s="1885" t="s">
        <v>1040</v>
      </c>
      <c r="P48" s="1886" t="s">
        <v>1529</v>
      </c>
      <c r="Q48" s="1887" t="str">
        <f ca="1">J60</f>
        <v>0</v>
      </c>
      <c r="R48" s="1887" t="s">
        <v>1530</v>
      </c>
    </row>
    <row r="49" spans="1:18" s="1843" customFormat="1" ht="13.5" thickBot="1">
      <c r="A49" s="1196" t="s">
        <v>1135</v>
      </c>
      <c r="B49" s="1830" t="s">
        <v>1487</v>
      </c>
      <c r="C49" s="1366">
        <f ca="1">ROUND(F49*F51*F50*(1-F52)/10000,0)</f>
        <v>0</v>
      </c>
      <c r="D49" s="1278" t="s">
        <v>3017</v>
      </c>
      <c r="E49" s="1831" t="s">
        <v>1488</v>
      </c>
      <c r="F49" s="1283"/>
      <c r="G49" s="1892"/>
      <c r="H49" s="792"/>
      <c r="I49" s="1888" t="s">
        <v>1531</v>
      </c>
      <c r="J49" s="1893"/>
      <c r="K49" s="1890" t="s">
        <v>1532</v>
      </c>
      <c r="L49" s="1894"/>
      <c r="O49" s="1895" t="s">
        <v>1041</v>
      </c>
      <c r="P49" s="1886" t="s">
        <v>1533</v>
      </c>
      <c r="Q49" s="1887">
        <f ca="1">C29</f>
        <v>8299</v>
      </c>
      <c r="R49" s="1887" t="s">
        <v>1526</v>
      </c>
    </row>
    <row r="50" spans="1:18" s="1843" customFormat="1" ht="13.5" thickBot="1">
      <c r="A50" s="1197"/>
      <c r="B50" s="1200"/>
      <c r="C50" s="1370"/>
      <c r="D50" s="1174"/>
      <c r="E50" s="1279" t="s">
        <v>1402</v>
      </c>
      <c r="F50" s="1280">
        <f ca="1">F7</f>
        <v>766</v>
      </c>
      <c r="H50" s="792"/>
      <c r="I50" s="1888" t="s">
        <v>1534</v>
      </c>
      <c r="J50" s="1896">
        <f>SUMPRODUCT((I63:I65=J47)*(J62:L62=J48)*(J63:L65))</f>
        <v>60</v>
      </c>
      <c r="K50" s="1890" t="s">
        <v>1535</v>
      </c>
      <c r="L50" s="1894"/>
      <c r="M50" s="1897"/>
      <c r="O50" s="1895" t="s">
        <v>1042</v>
      </c>
      <c r="P50" s="1886" t="s">
        <v>1536</v>
      </c>
      <c r="Q50" s="1898" t="e">
        <f ca="1">J58</f>
        <v>#VALUE!</v>
      </c>
      <c r="R50" s="1887"/>
    </row>
    <row r="51" spans="1:18" s="1843" customFormat="1" ht="13.5" thickBot="1">
      <c r="A51" s="1198"/>
      <c r="B51" s="1200"/>
      <c r="C51" s="1201"/>
      <c r="D51" s="1174"/>
      <c r="E51" s="1202" t="s">
        <v>1403</v>
      </c>
      <c r="F51" s="347">
        <f ca="1">F8</f>
        <v>12</v>
      </c>
      <c r="I51" s="1899" t="s">
        <v>1537</v>
      </c>
      <c r="J51" s="1900">
        <f>IF(J49="",J50,J49+J50-YEAR('数据-取费表'!B2))</f>
        <v>60</v>
      </c>
      <c r="K51" s="1901" t="s">
        <v>1538</v>
      </c>
      <c r="L51" s="1902">
        <f ca="1">ROUND(-PV(INDIRECT("'数据-取费表'!h"&amp;$G$1),L48,(C39-C13*C76),0),0)</f>
        <v>-11600</v>
      </c>
      <c r="M51" s="1903"/>
      <c r="O51" s="1895" t="s">
        <v>1043</v>
      </c>
      <c r="P51" s="1886" t="s">
        <v>1539</v>
      </c>
      <c r="Q51" s="1898">
        <f>J52</f>
        <v>0</v>
      </c>
      <c r="R51" s="1887"/>
    </row>
    <row r="52" spans="1:18" s="1843" customFormat="1" ht="13.5" thickBot="1">
      <c r="A52" s="1198"/>
      <c r="B52" s="1200"/>
      <c r="C52" s="1201"/>
      <c r="D52" s="1174"/>
      <c r="E52" s="1202" t="s">
        <v>1404</v>
      </c>
      <c r="F52" s="1277"/>
      <c r="I52" s="1904" t="s">
        <v>1540</v>
      </c>
      <c r="J52" s="1905"/>
      <c r="K52" s="1904" t="s">
        <v>1541</v>
      </c>
      <c r="L52" s="1905">
        <v>5.5E-2</v>
      </c>
      <c r="O52" s="1895" t="s">
        <v>1044</v>
      </c>
      <c r="P52" s="1886" t="s">
        <v>1542</v>
      </c>
      <c r="Q52" s="1887">
        <f ca="1">J53</f>
        <v>45.79</v>
      </c>
      <c r="R52" s="1887" t="s">
        <v>1543</v>
      </c>
    </row>
    <row r="53" spans="1:18" s="1843" customFormat="1" ht="24.75" thickBot="1">
      <c r="A53" s="1407" t="s">
        <v>1136</v>
      </c>
      <c r="B53" s="1832" t="s">
        <v>1405</v>
      </c>
      <c r="C53" s="360">
        <f ca="1">ROUND(IF(F53="押一",F49*F51*F50/12*F11,IF(F53="押二",F49*F51*F50/12*2*F11,IF(F53="押三",F49*F51*F50/12*3*F11,C54*F11)))/10000,0)</f>
        <v>0</v>
      </c>
      <c r="D53" s="1825" t="s">
        <v>3015</v>
      </c>
      <c r="E53" s="357" t="s">
        <v>1407</v>
      </c>
      <c r="F53" s="1368"/>
      <c r="I53" s="1906" t="s">
        <v>1544</v>
      </c>
      <c r="J53" s="1907">
        <f ca="1">IF(M47="住宅",J51,IF(D1="——",MIN(J51,L48),IF(D1="在建（套用方法）",MIN(J51,L48-'数据-取费表'!B24),IF(D1="土地（套用方法）",MIN(J51,L48-'数据-取费表'!B20)))))</f>
        <v>45.79</v>
      </c>
      <c r="K53" s="3190" t="s">
        <v>1545</v>
      </c>
      <c r="L53" s="3191"/>
      <c r="O53" s="1885" t="s">
        <v>1045</v>
      </c>
      <c r="P53" s="1886" t="s">
        <v>1546</v>
      </c>
      <c r="Q53" s="1887">
        <f ca="1">Q47+Q48</f>
        <v>1947</v>
      </c>
      <c r="R53" s="1887" t="s">
        <v>1046</v>
      </c>
    </row>
    <row r="54" spans="1:18" s="1843" customFormat="1" ht="13.5" thickBot="1">
      <c r="A54" s="1408"/>
      <c r="B54" s="1826" t="s">
        <v>1384</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1547</v>
      </c>
      <c r="P54" s="1840"/>
      <c r="Q54" s="1840"/>
      <c r="R54" s="1840"/>
    </row>
    <row r="55" spans="1:18" s="1843" customFormat="1" ht="13.5" thickBot="1">
      <c r="A55" s="1335" t="s">
        <v>1074</v>
      </c>
      <c r="B55" s="1828" t="s">
        <v>1410</v>
      </c>
      <c r="C55" s="1336"/>
      <c r="D55" s="1825"/>
      <c r="E55" s="2943"/>
      <c r="F55" s="1908"/>
      <c r="I55" s="1911" t="s">
        <v>1548</v>
      </c>
      <c r="J55" s="1912" t="e">
        <f ca="1">ROUND(IF(J47="钢混",J57/J50,1-(1-2%)*(J50-J57)/J50),3)</f>
        <v>#VALUE!</v>
      </c>
      <c r="K55" s="1913" t="s">
        <v>1549</v>
      </c>
      <c r="L55" s="1914" t="s">
        <v>1550</v>
      </c>
      <c r="O55" s="1878" t="s">
        <v>1519</v>
      </c>
      <c r="P55" s="1879" t="s">
        <v>1520</v>
      </c>
      <c r="Q55" s="1880" t="s">
        <v>1521</v>
      </c>
      <c r="R55" s="1880" t="s">
        <v>1522</v>
      </c>
    </row>
    <row r="56" spans="1:18" s="1843" customFormat="1" ht="25.5" thickTop="1" thickBot="1">
      <c r="A56" s="1178">
        <v>2</v>
      </c>
      <c r="B56" s="1179" t="s">
        <v>1411</v>
      </c>
      <c r="C56" s="275">
        <f ca="1">C13</f>
        <v>8299</v>
      </c>
      <c r="D56" s="1915"/>
      <c r="E56" s="1916"/>
      <c r="F56" s="1908"/>
      <c r="I56" s="1917" t="s">
        <v>1551</v>
      </c>
      <c r="J56" s="1918" t="s">
        <v>3040</v>
      </c>
      <c r="K56" s="1888" t="s">
        <v>1552</v>
      </c>
      <c r="L56" s="1891" t="str">
        <f ca="1">IF(L48&lt;J51,"——",L48-J53)</f>
        <v>——</v>
      </c>
      <c r="O56" s="1885" t="s">
        <v>1039</v>
      </c>
      <c r="P56" s="1886" t="s">
        <v>1525</v>
      </c>
      <c r="Q56" s="1887">
        <f ca="1">C40+J29</f>
        <v>1947</v>
      </c>
      <c r="R56" s="1887" t="s">
        <v>1526</v>
      </c>
    </row>
    <row r="57" spans="1:18" s="1843" customFormat="1" ht="24.75" thickBot="1">
      <c r="A57" s="1919"/>
      <c r="B57" s="1171" t="s">
        <v>1475</v>
      </c>
      <c r="C57" s="281">
        <f ca="1">C29</f>
        <v>8299</v>
      </c>
      <c r="D57" s="1920"/>
      <c r="E57" s="1921"/>
      <c r="F57" s="1922"/>
      <c r="I57" s="1923" t="s">
        <v>1553</v>
      </c>
      <c r="J57" s="1924" t="str">
        <f ca="1">IF(OR(M47="住宅",J51&lt;L48,J56="是"),"——",J51-L48)</f>
        <v>——</v>
      </c>
      <c r="K57" s="1888" t="s">
        <v>1554</v>
      </c>
      <c r="L57" s="1891" t="str">
        <f ca="1">IF(L48&lt;J51,"——",IF(L55="比较法",L49,IF(L55="基准地价",L50,L51)))</f>
        <v>——</v>
      </c>
      <c r="O57" s="1885" t="s">
        <v>1040</v>
      </c>
      <c r="P57" s="1886" t="s">
        <v>1555</v>
      </c>
      <c r="Q57" s="1887">
        <f ca="1">L60</f>
        <v>0</v>
      </c>
      <c r="R57" s="1887" t="s">
        <v>1556</v>
      </c>
    </row>
    <row r="58" spans="1:18" s="1843" customFormat="1" ht="24.75" thickBot="1">
      <c r="A58" s="359" t="s">
        <v>1029</v>
      </c>
      <c r="B58" s="1179" t="s">
        <v>1421</v>
      </c>
      <c r="C58" s="360">
        <f ca="1">ROUND(C59+C64+C65+C66,0)</f>
        <v>835</v>
      </c>
      <c r="D58" s="1181" t="s">
        <v>1422</v>
      </c>
      <c r="E58" s="1182"/>
      <c r="F58" s="1183"/>
      <c r="I58" s="1923" t="s">
        <v>1557</v>
      </c>
      <c r="J58" s="1925" t="e">
        <f ca="1">IF(J55&lt;0.4,0.4,J55)</f>
        <v>#VALUE!</v>
      </c>
      <c r="K58" s="1901" t="s">
        <v>1558</v>
      </c>
      <c r="L58" s="1891">
        <f ca="1">ROUND(POWER(1+L52,L47-L48)*(POWER(1+L52,L48)-1)/(POWER(1+L52,L47)-1),4)</f>
        <v>0.98850000000000005</v>
      </c>
      <c r="O58" s="1895" t="s">
        <v>1041</v>
      </c>
      <c r="P58" s="1886" t="s">
        <v>1559</v>
      </c>
      <c r="Q58" s="1887">
        <f>IF(L55="比较法",L49,IF(L55="基准地价",L50,0))</f>
        <v>0</v>
      </c>
      <c r="R58" s="1887" t="s">
        <v>1526</v>
      </c>
    </row>
    <row r="59" spans="1:18" s="1843" customFormat="1" ht="24.75" thickBot="1">
      <c r="A59" s="1203" t="s">
        <v>1034</v>
      </c>
      <c r="B59" s="1171" t="s">
        <v>1426</v>
      </c>
      <c r="C59" s="24">
        <f ca="1">ROUND(IF(项目基本情况!B11="自然人",C48*F59,C60+C61+C62),1)</f>
        <v>698.2</v>
      </c>
      <c r="D59" s="1184" t="s">
        <v>1427</v>
      </c>
      <c r="E59" s="1185" t="s">
        <v>1428</v>
      </c>
      <c r="F59" s="367" t="str">
        <f ca="1">IF(项目基本情况!B11="企业","",IF(INDIRECT("'数据-取费表'!c"&amp;$G$1)="住宅",5%,IF(F49*F50*F51/12/(1+'数据-取费表'!C42)&gt;20000,12%,7%)))</f>
        <v/>
      </c>
      <c r="I59" s="1923" t="s">
        <v>1560</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f ca="1">ROUND(IF(D1="在建（套用方法）",M59,IF(D1="土地（套用方法）",N59,POWER(1+L52,L47-J51)*(POWER(1+L52,J51)-1)/(POWER(1+L52,L47)-1))),4)</f>
        <v>1.0339</v>
      </c>
      <c r="M59" s="1839">
        <f ca="1">ROUND(POWER(1+L52,L47-(J51+'数据-取费表'!B24))*(POWER(1+L52,(J51+'数据-取费表'!B24))-1)/(POWER(1+L52,L47)-1),4)</f>
        <v>1.0339</v>
      </c>
      <c r="N59" s="1839">
        <f ca="1">ROUND(POWER(1+L52,L47-(J51+'数据-取费表'!B20))*(POWER(1+L52,(J51+'数据-取费表'!B20))-1)/(POWER(1+L52,L47)-1),4)</f>
        <v>1.0369999999999999</v>
      </c>
      <c r="O59" s="1895" t="s">
        <v>1042</v>
      </c>
      <c r="P59" s="1886" t="s">
        <v>1561</v>
      </c>
      <c r="Q59" s="1898">
        <f>L52</f>
        <v>5.5E-2</v>
      </c>
      <c r="R59" s="1887"/>
    </row>
    <row r="60" spans="1:18" s="1843" customFormat="1" ht="16.5" thickBot="1">
      <c r="A60" s="1203" t="s">
        <v>1033</v>
      </c>
      <c r="B60" s="1171" t="s">
        <v>1430</v>
      </c>
      <c r="C60" s="24">
        <f ca="1">IF(项目基本情况!B11="自然人","——",ROUND(C48*F60/(1+'数据-取费表'!C42),2))</f>
        <v>0</v>
      </c>
      <c r="D60" s="1185" t="s">
        <v>1431</v>
      </c>
      <c r="E60" s="1171" t="s">
        <v>1419</v>
      </c>
      <c r="F60" s="376">
        <f t="shared" ref="F60:F66" si="0">F32</f>
        <v>5.5000000000000007E-2</v>
      </c>
      <c r="I60" s="1926" t="s">
        <v>1562</v>
      </c>
      <c r="J60" s="1927" t="str">
        <f ca="1">IF(OR(M47="住宅",J51&lt;L48,J56="是"),"0",ROUND(J59/(1+J52)^J53,0))</f>
        <v>0</v>
      </c>
      <c r="K60" s="1928" t="s">
        <v>1563</v>
      </c>
      <c r="L60" s="1927">
        <f ca="1">IF(OR(M47="住宅",L48&lt;J51),0,ROUND(L57*(L58/L59-1),0))</f>
        <v>0</v>
      </c>
      <c r="O60" s="1895" t="s">
        <v>1043</v>
      </c>
      <c r="P60" s="1886" t="s">
        <v>1564</v>
      </c>
      <c r="Q60" s="1887">
        <f ca="1">L58</f>
        <v>0.98850000000000005</v>
      </c>
      <c r="R60" s="1887" t="s">
        <v>1565</v>
      </c>
    </row>
    <row r="61" spans="1:18" s="1843" customFormat="1" ht="13.5" thickBot="1">
      <c r="A61" s="1203" t="s">
        <v>1489</v>
      </c>
      <c r="B61" s="1171" t="s">
        <v>1490</v>
      </c>
      <c r="C61" s="24">
        <f ca="1">IF(项目基本情况!B11="自然人","——",IF(D61="按租金收入计税",ROUND(C48*F61,2),IF(D61="按房产原值计税",ROUND(C57*F61*0.7,2),INDIRECT("'数据-取费表'!Aj"&amp;$G$1))))</f>
        <v>697.12</v>
      </c>
      <c r="D61" s="1829" t="s">
        <v>1435</v>
      </c>
      <c r="E61" s="1171" t="s">
        <v>1491</v>
      </c>
      <c r="F61" s="366">
        <f t="shared" si="0"/>
        <v>0.12</v>
      </c>
      <c r="I61" s="1929"/>
      <c r="J61" s="1929"/>
      <c r="K61" s="1929"/>
      <c r="L61" s="1929"/>
      <c r="O61" s="1895" t="s">
        <v>1044</v>
      </c>
      <c r="P61" s="1886" t="str">
        <f>K59</f>
        <v>续建工期及建筑物耐用年限下的土地年期修正系数Kn</v>
      </c>
      <c r="Q61" s="1887">
        <f ca="1">L59</f>
        <v>1.0339</v>
      </c>
      <c r="R61" s="1887" t="s">
        <v>1566</v>
      </c>
    </row>
    <row r="62" spans="1:18" s="1843" customFormat="1" ht="13.5" thickBot="1">
      <c r="A62" s="1203" t="s">
        <v>1492</v>
      </c>
      <c r="B62" s="1170" t="s">
        <v>1493</v>
      </c>
      <c r="C62" s="25">
        <f ca="1">IF(项目基本情况!B11="自然人","——",ROUND(F62*F63/10000,2))</f>
        <v>1.1100000000000001</v>
      </c>
      <c r="D62" s="1186" t="s">
        <v>1494</v>
      </c>
      <c r="E62" s="1171" t="s">
        <v>1495</v>
      </c>
      <c r="F62" s="370">
        <f t="shared" si="0"/>
        <v>1.5</v>
      </c>
      <c r="I62" s="1930" t="s">
        <v>1567</v>
      </c>
      <c r="J62" s="1931" t="s">
        <v>1568</v>
      </c>
      <c r="K62" s="1931" t="s">
        <v>1569</v>
      </c>
      <c r="L62" s="1931" t="s">
        <v>1570</v>
      </c>
      <c r="M62" s="1932" t="s">
        <v>1571</v>
      </c>
      <c r="O62" s="1885" t="s">
        <v>1045</v>
      </c>
      <c r="P62" s="1886" t="s">
        <v>1572</v>
      </c>
      <c r="Q62" s="1887">
        <f ca="1">Q56+Q57</f>
        <v>1947</v>
      </c>
      <c r="R62" s="1887" t="s">
        <v>1046</v>
      </c>
    </row>
    <row r="63" spans="1:18" s="1843" customFormat="1" ht="13.5" thickBot="1">
      <c r="A63" s="371"/>
      <c r="B63" s="1177"/>
      <c r="C63" s="29"/>
      <c r="D63" s="1187"/>
      <c r="E63" s="1171" t="s">
        <v>1496</v>
      </c>
      <c r="F63" s="347">
        <f t="shared" ca="1" si="0"/>
        <v>7368.41</v>
      </c>
      <c r="I63" s="1930" t="s">
        <v>1573</v>
      </c>
      <c r="J63" s="1931">
        <v>70</v>
      </c>
      <c r="K63" s="1931">
        <v>50</v>
      </c>
      <c r="L63" s="1931">
        <v>80</v>
      </c>
      <c r="M63" s="1933">
        <v>0.02</v>
      </c>
      <c r="O63" s="1870" t="s">
        <v>1574</v>
      </c>
      <c r="P63" s="1840"/>
      <c r="Q63" s="1840"/>
      <c r="R63" s="1840"/>
    </row>
    <row r="64" spans="1:18" s="1843" customFormat="1" ht="13.5" thickBot="1">
      <c r="A64" s="1203" t="s">
        <v>1497</v>
      </c>
      <c r="B64" s="1171" t="s">
        <v>1498</v>
      </c>
      <c r="C64" s="24">
        <f ca="1">ROUND(C57*F64,1)</f>
        <v>124.5</v>
      </c>
      <c r="D64" s="1185" t="s">
        <v>1499</v>
      </c>
      <c r="E64" s="1171" t="s">
        <v>1491</v>
      </c>
      <c r="F64" s="373">
        <f t="shared" ca="1" si="0"/>
        <v>1.4999999999999999E-2</v>
      </c>
      <c r="I64" s="1930" t="s">
        <v>1575</v>
      </c>
      <c r="J64" s="1931">
        <v>50</v>
      </c>
      <c r="K64" s="1931">
        <v>35</v>
      </c>
      <c r="L64" s="1931">
        <v>60</v>
      </c>
      <c r="M64" s="1932">
        <v>0</v>
      </c>
      <c r="O64" s="1878" t="s">
        <v>1519</v>
      </c>
      <c r="P64" s="1879" t="s">
        <v>1520</v>
      </c>
      <c r="Q64" s="1880" t="s">
        <v>1521</v>
      </c>
      <c r="R64" s="1880" t="s">
        <v>1522</v>
      </c>
    </row>
    <row r="65" spans="1:18" s="1843" customFormat="1" ht="13.5" thickBot="1">
      <c r="A65" s="1203" t="s">
        <v>1500</v>
      </c>
      <c r="B65" s="1171" t="s">
        <v>1450</v>
      </c>
      <c r="C65" s="24">
        <f ca="1">ROUND(C56*F65,1)</f>
        <v>12.4</v>
      </c>
      <c r="D65" s="1185" t="s">
        <v>1451</v>
      </c>
      <c r="E65" s="1171" t="s">
        <v>1452</v>
      </c>
      <c r="F65" s="375">
        <f t="shared" ca="1" si="0"/>
        <v>1.5E-3</v>
      </c>
      <c r="I65" s="1930" t="s">
        <v>1576</v>
      </c>
      <c r="J65" s="1931">
        <v>40</v>
      </c>
      <c r="K65" s="1931">
        <v>30</v>
      </c>
      <c r="L65" s="1931">
        <v>50</v>
      </c>
      <c r="M65" s="1933">
        <v>0.02</v>
      </c>
      <c r="O65" s="1885" t="s">
        <v>1039</v>
      </c>
      <c r="P65" s="1886" t="s">
        <v>1577</v>
      </c>
      <c r="Q65" s="1887">
        <f ca="1">C40+J29</f>
        <v>1947</v>
      </c>
      <c r="R65" s="1887" t="s">
        <v>1526</v>
      </c>
    </row>
    <row r="66" spans="1:18" s="1843" customFormat="1" ht="16.5" thickBot="1">
      <c r="A66" s="1203" t="s">
        <v>1501</v>
      </c>
      <c r="B66" s="1171" t="s">
        <v>1436</v>
      </c>
      <c r="C66" s="24">
        <f ca="1">ROUND(C48*F66,1)</f>
        <v>0</v>
      </c>
      <c r="D66" s="1185" t="s">
        <v>1502</v>
      </c>
      <c r="E66" s="1171" t="s">
        <v>1419</v>
      </c>
      <c r="F66" s="356">
        <f t="shared" ca="1" si="0"/>
        <v>0.01</v>
      </c>
      <c r="O66" s="1885" t="s">
        <v>1040</v>
      </c>
      <c r="P66" s="1886" t="s">
        <v>1555</v>
      </c>
      <c r="Q66" s="1887">
        <f ca="1">L60</f>
        <v>0</v>
      </c>
      <c r="R66" s="1887" t="s">
        <v>1578</v>
      </c>
    </row>
    <row r="67" spans="1:18" s="1843" customFormat="1" ht="16.5" thickBot="1">
      <c r="A67" s="1178" t="s">
        <v>1030</v>
      </c>
      <c r="B67" s="1188" t="s">
        <v>1460</v>
      </c>
      <c r="C67" s="360">
        <f ca="1">C48-C58</f>
        <v>-835</v>
      </c>
      <c r="D67" s="1184" t="s">
        <v>1461</v>
      </c>
      <c r="E67" s="1189"/>
      <c r="F67" s="1190"/>
      <c r="O67" s="1895" t="s">
        <v>1041</v>
      </c>
      <c r="P67" s="1886" t="s">
        <v>1559</v>
      </c>
      <c r="Q67" s="1934">
        <f ca="1">L51</f>
        <v>-11600</v>
      </c>
      <c r="R67" s="1887" t="s">
        <v>1579</v>
      </c>
    </row>
    <row r="68" spans="1:18" s="1843" customFormat="1" ht="16.5" thickBot="1">
      <c r="A68" s="1168" t="s">
        <v>1031</v>
      </c>
      <c r="B68" s="1169" t="s">
        <v>1482</v>
      </c>
      <c r="C68" s="345">
        <f ca="1">ROUND(C67*(1-((1+F70)/(1+F68))^F69)/(F68-F70),0)</f>
        <v>-14912</v>
      </c>
      <c r="D68" s="1186" t="s">
        <v>1466</v>
      </c>
      <c r="E68" s="1171" t="s">
        <v>1467</v>
      </c>
      <c r="F68" s="356">
        <f ca="1">F40</f>
        <v>0.05</v>
      </c>
      <c r="O68" s="1895" t="s">
        <v>1042</v>
      </c>
      <c r="P68" s="1935" t="s">
        <v>1580</v>
      </c>
      <c r="Q68" s="1887">
        <f ca="1">ROUND(Q69-Q70*Q71,0)</f>
        <v>-596</v>
      </c>
      <c r="R68" s="1887" t="s">
        <v>1050</v>
      </c>
    </row>
    <row r="69" spans="1:18" s="1843" customFormat="1" ht="13.5" thickBot="1">
      <c r="A69" s="1172"/>
      <c r="B69" s="1173"/>
      <c r="C69" s="350"/>
      <c r="D69" s="1191" t="s">
        <v>1470</v>
      </c>
      <c r="E69" s="1171" t="s">
        <v>1471</v>
      </c>
      <c r="F69" s="378">
        <f ca="1">F41</f>
        <v>45.79</v>
      </c>
      <c r="O69" s="1895" t="s">
        <v>1047</v>
      </c>
      <c r="P69" s="1935" t="s">
        <v>1581</v>
      </c>
      <c r="Q69" s="1887">
        <f ca="1">C39</f>
        <v>109</v>
      </c>
      <c r="R69" s="1887" t="s">
        <v>1526</v>
      </c>
    </row>
    <row r="70" spans="1:18" s="1843" customFormat="1" ht="13.5" thickBot="1">
      <c r="A70" s="1175"/>
      <c r="B70" s="1176"/>
      <c r="C70" s="354"/>
      <c r="D70" s="1187"/>
      <c r="E70" s="1171" t="s">
        <v>1474</v>
      </c>
      <c r="F70" s="1277"/>
      <c r="O70" s="1895" t="s">
        <v>1048</v>
      </c>
      <c r="P70" s="1935" t="s">
        <v>1582</v>
      </c>
      <c r="Q70" s="1887">
        <f ca="1">C13</f>
        <v>8299</v>
      </c>
      <c r="R70" s="1887" t="s">
        <v>1526</v>
      </c>
    </row>
    <row r="71" spans="1:18" s="1843" customFormat="1" ht="13.5" thickBot="1">
      <c r="A71" s="1192" t="s">
        <v>1032</v>
      </c>
      <c r="B71" s="1193" t="s">
        <v>1484</v>
      </c>
      <c r="C71" s="381">
        <f ca="1">ROUND(C68*10000/F71,0)</f>
        <v>-5556</v>
      </c>
      <c r="D71" s="1194" t="s">
        <v>1485</v>
      </c>
      <c r="E71" s="1195" t="s">
        <v>1486</v>
      </c>
      <c r="F71" s="384">
        <f ca="1">F43</f>
        <v>26841</v>
      </c>
      <c r="O71" s="1895" t="s">
        <v>1049</v>
      </c>
      <c r="P71" s="1935" t="s">
        <v>1583</v>
      </c>
      <c r="Q71" s="1898">
        <f ca="1">C76</f>
        <v>8.5000000000000006E-2</v>
      </c>
      <c r="R71" s="1887"/>
    </row>
    <row r="72" spans="1:18" s="1843" customFormat="1" ht="13.5" thickBot="1">
      <c r="B72" s="795"/>
      <c r="C72" s="795"/>
      <c r="O72" s="1895" t="s">
        <v>1043</v>
      </c>
      <c r="P72" s="1886" t="s">
        <v>1561</v>
      </c>
      <c r="Q72" s="1898">
        <f>L52</f>
        <v>5.5E-2</v>
      </c>
      <c r="R72" s="1887"/>
    </row>
    <row r="73" spans="1:18" ht="16.5" thickBot="1">
      <c r="A73" s="1843"/>
      <c r="B73" s="795"/>
      <c r="C73" s="795"/>
      <c r="D73" s="1843"/>
      <c r="E73" s="1843"/>
      <c r="F73" s="1843"/>
      <c r="O73" s="1895" t="s">
        <v>1044</v>
      </c>
      <c r="P73" s="1886" t="s">
        <v>1564</v>
      </c>
      <c r="Q73" s="1887">
        <f ca="1">L58</f>
        <v>0.98850000000000005</v>
      </c>
      <c r="R73" s="1887" t="s">
        <v>1565</v>
      </c>
    </row>
    <row r="74" spans="1:18" ht="13.5" thickBot="1">
      <c r="A74" s="1843"/>
      <c r="B74" s="316" t="s">
        <v>1584</v>
      </c>
      <c r="C74" s="1937"/>
      <c r="D74" s="1843"/>
      <c r="E74" s="1843"/>
      <c r="F74" s="1843"/>
      <c r="O74" s="1895" t="s">
        <v>1051</v>
      </c>
      <c r="P74" s="1886" t="str">
        <f>K59</f>
        <v>续建工期及建筑物耐用年限下的土地年期修正系数Kn</v>
      </c>
      <c r="Q74" s="1887">
        <f ca="1">L59</f>
        <v>1.0339</v>
      </c>
      <c r="R74" s="1887" t="s">
        <v>1566</v>
      </c>
    </row>
    <row r="75" spans="1:18" ht="13.5" thickBot="1">
      <c r="A75" s="1843"/>
      <c r="B75" s="385" t="s">
        <v>1503</v>
      </c>
      <c r="C75" s="386">
        <f ca="1">ROUND(C13*C76,0)</f>
        <v>705</v>
      </c>
      <c r="D75" s="1843"/>
      <c r="E75" s="1843"/>
      <c r="F75" s="1843"/>
      <c r="K75" s="1869"/>
      <c r="L75" s="1843"/>
      <c r="O75" s="1885" t="s">
        <v>1045</v>
      </c>
      <c r="P75" s="1886" t="s">
        <v>1546</v>
      </c>
      <c r="Q75" s="1887">
        <f ca="1">Q65+Q66</f>
        <v>1947</v>
      </c>
      <c r="R75" s="1887" t="s">
        <v>1046</v>
      </c>
    </row>
    <row r="76" spans="1:18">
      <c r="B76" s="387" t="s">
        <v>1504</v>
      </c>
      <c r="C76" s="388">
        <f ca="1">INDIRECT("'数据-取费表'!j"&amp;$G$1)</f>
        <v>8.5000000000000006E-2</v>
      </c>
      <c r="I76" s="1843"/>
      <c r="J76" s="1843"/>
      <c r="K76" s="1869"/>
      <c r="L76" s="1843"/>
    </row>
    <row r="77" spans="1:18">
      <c r="B77" s="389" t="s">
        <v>1505</v>
      </c>
      <c r="C77" s="390"/>
      <c r="I77" s="1843"/>
      <c r="J77" s="1843"/>
      <c r="K77" s="1869"/>
      <c r="L77" s="1843"/>
    </row>
    <row r="78" spans="1:18">
      <c r="B78" s="313" t="s">
        <v>1506</v>
      </c>
      <c r="C78" s="391"/>
    </row>
    <row r="79" spans="1:18">
      <c r="B79" s="385" t="s">
        <v>1507</v>
      </c>
      <c r="C79" s="317">
        <f ca="1">1-C80</f>
        <v>-5.468</v>
      </c>
    </row>
    <row r="80" spans="1:18">
      <c r="B80" s="385" t="s">
        <v>1508</v>
      </c>
      <c r="C80" s="317">
        <f ca="1">ROUND(C75/C39,3)</f>
        <v>6.468</v>
      </c>
    </row>
    <row r="81" spans="2:3">
      <c r="B81" s="313" t="s">
        <v>1509</v>
      </c>
      <c r="C81" s="281"/>
    </row>
    <row r="82" spans="2:3">
      <c r="B82" s="316" t="s">
        <v>1510</v>
      </c>
      <c r="C82" s="318">
        <f ca="1">1-C83</f>
        <v>-3.2619999999999996</v>
      </c>
    </row>
    <row r="83" spans="2:3">
      <c r="B83" s="316" t="s">
        <v>1511</v>
      </c>
      <c r="C83" s="317">
        <f ca="1">ROUND(C13/C40,3)</f>
        <v>4.2619999999999996</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1586</v>
      </c>
      <c r="B1" s="781"/>
      <c r="C1" s="1838"/>
      <c r="D1" s="1821"/>
      <c r="E1" s="1822" t="s">
        <v>1383</v>
      </c>
      <c r="F1" s="1285" t="b">
        <f>J53</f>
        <v>0</v>
      </c>
      <c r="G1" s="1837">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1587</v>
      </c>
      <c r="B2" s="1845" t="e">
        <f ca="1">ROUND(D2/10000,0)</f>
        <v>#DIV/0!</v>
      </c>
      <c r="C2" s="1846" t="s">
        <v>1588</v>
      </c>
      <c r="D2" s="1939" t="e">
        <f ca="1">C40+J29+L46</f>
        <v>#DIV/0!</v>
      </c>
      <c r="E2" s="1847" t="s">
        <v>1589</v>
      </c>
      <c r="F2" s="1848"/>
      <c r="G2" s="1849"/>
      <c r="H2" s="1841"/>
      <c r="I2" s="1841"/>
      <c r="J2" s="1841"/>
      <c r="K2" s="1842"/>
      <c r="L2" s="1841"/>
      <c r="M2" s="1841"/>
    </row>
    <row r="3" spans="1:37" ht="18" customHeight="1" thickBot="1">
      <c r="A3" s="1850" t="s">
        <v>1590</v>
      </c>
      <c r="B3" s="1851">
        <f ca="1">IF(ISERROR(D2/F43),0,ROUND(D2/F43,0))</f>
        <v>0</v>
      </c>
      <c r="C3" s="1846" t="s">
        <v>1591</v>
      </c>
      <c r="D3" s="1846"/>
      <c r="E3" s="1847"/>
      <c r="F3" s="1848"/>
      <c r="G3" s="1849"/>
      <c r="H3" s="743" t="s">
        <v>1585</v>
      </c>
      <c r="I3" s="1841"/>
      <c r="J3" s="1841"/>
      <c r="K3" s="1842"/>
      <c r="L3" s="1841"/>
      <c r="M3" s="1841"/>
    </row>
    <row r="4" spans="1:37" ht="18" customHeight="1">
      <c r="A4" s="339" t="s">
        <v>1592</v>
      </c>
      <c r="B4" s="340" t="s">
        <v>1593</v>
      </c>
      <c r="C4" s="340" t="s">
        <v>1594</v>
      </c>
      <c r="D4" s="340" t="s">
        <v>1595</v>
      </c>
      <c r="E4" s="341" t="s">
        <v>1596</v>
      </c>
      <c r="F4" s="342"/>
      <c r="G4" s="1852"/>
      <c r="H4" s="339" t="s">
        <v>1592</v>
      </c>
      <c r="I4" s="340" t="s">
        <v>1593</v>
      </c>
      <c r="J4" s="340" t="s">
        <v>1594</v>
      </c>
      <c r="K4" s="340" t="s">
        <v>1595</v>
      </c>
      <c r="L4" s="341" t="s">
        <v>1596</v>
      </c>
      <c r="M4" s="342"/>
    </row>
    <row r="5" spans="1:37" ht="18" customHeight="1">
      <c r="A5" s="343">
        <v>1</v>
      </c>
      <c r="B5" s="344" t="s">
        <v>1597</v>
      </c>
      <c r="C5" s="1294">
        <f ca="1">C6+C10+C12</f>
        <v>0</v>
      </c>
      <c r="D5" s="1823" t="s">
        <v>1598</v>
      </c>
      <c r="E5" s="1295"/>
      <c r="F5" s="1296"/>
      <c r="G5" s="1852"/>
      <c r="H5" s="343">
        <v>1</v>
      </c>
      <c r="I5" s="344" t="s">
        <v>1597</v>
      </c>
      <c r="J5" s="1294">
        <f ca="1">J6+J10+J12</f>
        <v>0</v>
      </c>
      <c r="K5" s="1823" t="s">
        <v>1598</v>
      </c>
      <c r="L5" s="1295"/>
      <c r="M5" s="1296"/>
    </row>
    <row r="6" spans="1:37" ht="18" customHeight="1">
      <c r="A6" s="1293" t="s">
        <v>1034</v>
      </c>
      <c r="B6" s="3192" t="s">
        <v>1399</v>
      </c>
      <c r="C6" s="1298">
        <f ca="1">ROUND(F6*F8*F7*(1-F9),0)</f>
        <v>0</v>
      </c>
      <c r="D6" s="163" t="s">
        <v>3009</v>
      </c>
      <c r="E6" s="346" t="s">
        <v>1401</v>
      </c>
      <c r="F6" s="347">
        <f ca="1">INDIRECT("'数据-取费表'!u"&amp;$G$1)</f>
        <v>0</v>
      </c>
      <c r="G6" s="1852"/>
      <c r="H6" s="1293" t="s">
        <v>1034</v>
      </c>
      <c r="I6" s="3192" t="s">
        <v>1399</v>
      </c>
      <c r="J6" s="345">
        <f ca="1">ROUND(M6*M8*M7*(1-M9),0)</f>
        <v>0</v>
      </c>
      <c r="K6" s="1835" t="s">
        <v>3012</v>
      </c>
      <c r="L6" s="346" t="s">
        <v>1401</v>
      </c>
      <c r="M6" s="347">
        <f ca="1">INDIRECT("'数据-取费表'!z"&amp;$G$1)</f>
        <v>0</v>
      </c>
    </row>
    <row r="7" spans="1:37" ht="18" customHeight="1">
      <c r="A7" s="1297"/>
      <c r="B7" s="3193"/>
      <c r="C7" s="1299"/>
      <c r="D7" s="351"/>
      <c r="E7" s="1300" t="s">
        <v>1402</v>
      </c>
      <c r="F7" s="347">
        <f ca="1">IF(INDIRECT("'数据-取费表'!ah"&amp;$G$1)="",INDIRECT("'数据-取费表'!k"&amp;$G$1),INDIRECT("'数据-取费表'!ah"&amp;$G$1))</f>
        <v>0</v>
      </c>
      <c r="G7" s="1852"/>
      <c r="H7" s="348"/>
      <c r="I7" s="3193"/>
      <c r="J7" s="350"/>
      <c r="K7" s="351"/>
      <c r="L7" s="346" t="s">
        <v>1402</v>
      </c>
      <c r="M7" s="347">
        <f ca="1">F7</f>
        <v>0</v>
      </c>
    </row>
    <row r="8" spans="1:37" ht="18" customHeight="1">
      <c r="A8" s="348"/>
      <c r="B8" s="3193"/>
      <c r="C8" s="350"/>
      <c r="D8" s="351"/>
      <c r="E8" s="346" t="s">
        <v>1403</v>
      </c>
      <c r="F8" s="347">
        <f ca="1">INDIRECT("'数据-取费表'!ai"&amp;$G$1)</f>
        <v>0</v>
      </c>
      <c r="G8" s="1852"/>
      <c r="H8" s="348"/>
      <c r="I8" s="3193"/>
      <c r="J8" s="350"/>
      <c r="K8" s="351"/>
      <c r="L8" s="346" t="s">
        <v>1403</v>
      </c>
      <c r="M8" s="347">
        <f ca="1">INDIRECT("'数据-取费表'!ai"&amp;$G$1)</f>
        <v>0</v>
      </c>
    </row>
    <row r="9" spans="1:37" ht="18" customHeight="1">
      <c r="A9" s="348"/>
      <c r="B9" s="3194"/>
      <c r="C9" s="350"/>
      <c r="D9" s="351"/>
      <c r="E9" s="346" t="s">
        <v>1404</v>
      </c>
      <c r="F9" s="356">
        <f ca="1">INDIRECT("'数据-取费表'!w"&amp;$G$1)</f>
        <v>0</v>
      </c>
      <c r="G9" s="1852"/>
      <c r="H9" s="348"/>
      <c r="I9" s="3194"/>
      <c r="J9" s="350"/>
      <c r="K9" s="351"/>
      <c r="L9" s="357" t="s">
        <v>1404</v>
      </c>
      <c r="M9" s="358">
        <f ca="1">INDIRECT("'数据-取费表'!ab"&amp;$G$1)</f>
        <v>0</v>
      </c>
    </row>
    <row r="10" spans="1:37" ht="18" customHeight="1">
      <c r="A10" s="1293" t="s">
        <v>1038</v>
      </c>
      <c r="B10" s="1824" t="s">
        <v>1405</v>
      </c>
      <c r="C10" s="360">
        <f ca="1">ROUND(IF(F10="押一",F6*F8*F7/12*F11,IF(F10="押二",F6*F8*F7/12*2*F11,IF(F10="押三",F6*F8*F7/12*3*F11,C11*F11))),0)</f>
        <v>0</v>
      </c>
      <c r="D10" s="1825" t="s">
        <v>3010</v>
      </c>
      <c r="E10" s="357" t="s">
        <v>1407</v>
      </c>
      <c r="F10" s="1368"/>
      <c r="G10" s="1852"/>
      <c r="H10" s="1293" t="s">
        <v>1038</v>
      </c>
      <c r="I10" s="1824" t="s">
        <v>1405</v>
      </c>
      <c r="J10" s="345">
        <f ca="1">ROUND(IF(M10="押一",M6*M8*M7/12*M11,IF(M10="押二",M6*M8*M7/12*2*M11,IF(M10="押三",M6*M8*M7/12*3*M11,J11*M11))),0)</f>
        <v>0</v>
      </c>
      <c r="K10" s="1836" t="s">
        <v>3011</v>
      </c>
      <c r="L10" s="357" t="s">
        <v>1407</v>
      </c>
      <c r="M10" s="1368"/>
    </row>
    <row r="11" spans="1:37" ht="18" customHeight="1">
      <c r="A11" s="352"/>
      <c r="B11" s="1826" t="s">
        <v>1599</v>
      </c>
      <c r="C11" s="1180"/>
      <c r="D11" s="351"/>
      <c r="E11" s="357" t="s">
        <v>1409</v>
      </c>
      <c r="F11" s="358">
        <f ca="1">'数据-取费表'!B39</f>
        <v>1.4999999999999999E-2</v>
      </c>
      <c r="G11" s="1852"/>
      <c r="H11" s="1301"/>
      <c r="I11" s="1826" t="s">
        <v>1600</v>
      </c>
      <c r="J11" s="1180"/>
      <c r="K11" s="747"/>
      <c r="L11" s="357" t="s">
        <v>1409</v>
      </c>
      <c r="M11" s="1058">
        <f ca="1">'数据-取费表'!B39</f>
        <v>1.4999999999999999E-2</v>
      </c>
    </row>
    <row r="12" spans="1:37" ht="18" customHeight="1" thickBot="1">
      <c r="A12" s="1335" t="s">
        <v>1074</v>
      </c>
      <c r="B12" s="1828" t="s">
        <v>1410</v>
      </c>
      <c r="C12" s="1336"/>
      <c r="D12" s="1337"/>
      <c r="E12" s="1342"/>
      <c r="F12" s="1338"/>
      <c r="G12" s="1852"/>
      <c r="H12" s="1335" t="s">
        <v>1074</v>
      </c>
      <c r="I12" s="1828" t="s">
        <v>1410</v>
      </c>
      <c r="J12" s="1336"/>
      <c r="K12" s="1350"/>
      <c r="L12" s="1342"/>
      <c r="M12" s="1351"/>
    </row>
    <row r="13" spans="1:37" ht="18" customHeight="1" thickTop="1">
      <c r="A13" s="1331">
        <v>2</v>
      </c>
      <c r="B13" s="1332" t="s">
        <v>1411</v>
      </c>
      <c r="C13" s="354">
        <f ca="1">ROUND(C29*F13,0)</f>
        <v>0</v>
      </c>
      <c r="D13" s="1333" t="s">
        <v>1412</v>
      </c>
      <c r="E13" s="1333" t="s">
        <v>1413</v>
      </c>
      <c r="F13" s="1334">
        <f ca="1">INDIRECT("'数据-取费表'!y"&amp;$G$1)</f>
        <v>0</v>
      </c>
      <c r="G13" s="1852"/>
      <c r="H13" s="1331">
        <v>2</v>
      </c>
      <c r="I13" s="1332" t="s">
        <v>1411</v>
      </c>
      <c r="J13" s="1292">
        <f ca="1">ROUND(J14*J15,0)</f>
        <v>0</v>
      </c>
      <c r="K13" s="1339" t="s">
        <v>1412</v>
      </c>
      <c r="L13" s="1853"/>
      <c r="M13" s="1854"/>
    </row>
    <row r="14" spans="1:37" ht="18" customHeight="1">
      <c r="A14" s="1203" t="s">
        <v>1033</v>
      </c>
      <c r="B14" s="346" t="s">
        <v>1414</v>
      </c>
      <c r="C14" s="362">
        <f ca="1">ROUND(INDIRECT("'数据-取费表'!l"&amp;$G$1)*F43+'数据-取费表'!L14*INDIRECT("'数据-取费表'!S"&amp;$G$1),0)</f>
        <v>0</v>
      </c>
      <c r="D14" s="1801" t="s">
        <v>1415</v>
      </c>
      <c r="E14" s="1795"/>
      <c r="F14" s="363"/>
      <c r="G14" s="1852"/>
      <c r="H14" s="1203" t="s">
        <v>1034</v>
      </c>
      <c r="I14" s="346" t="s">
        <v>1416</v>
      </c>
      <c r="J14" s="24">
        <f ca="1">C29</f>
        <v>0</v>
      </c>
      <c r="K14" s="15"/>
      <c r="L14" s="981"/>
      <c r="M14" s="982"/>
    </row>
    <row r="15" spans="1:37" s="1859" customFormat="1" ht="18" customHeight="1" thickBot="1">
      <c r="A15" s="1203" t="s">
        <v>1035</v>
      </c>
      <c r="B15" s="346" t="s">
        <v>1417</v>
      </c>
      <c r="C15" s="24">
        <f ca="1">ROUND(C14*F15,0)</f>
        <v>0</v>
      </c>
      <c r="D15" s="364" t="s">
        <v>1418</v>
      </c>
      <c r="E15" s="364" t="s">
        <v>1419</v>
      </c>
      <c r="F15" s="365">
        <f>'数据-取费表'!B33</f>
        <v>0.03</v>
      </c>
      <c r="G15" s="1855"/>
      <c r="H15" s="1341" t="s">
        <v>1038</v>
      </c>
      <c r="I15" s="1342" t="s">
        <v>1413</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1420</v>
      </c>
      <c r="C16" s="24">
        <f ca="1">ROUND(INDIRECT("'数据-取费表'!l"&amp;$G$1)*F43*F16,0)</f>
        <v>0</v>
      </c>
      <c r="D16" s="346" t="s">
        <v>1418</v>
      </c>
      <c r="E16" s="346" t="s">
        <v>1419</v>
      </c>
      <c r="F16" s="366">
        <f ca="1">IF(INDIRECT("'数据-取费表'!c"&amp;$G$1)="住宅",'数据-取费表'!B34,0)</f>
        <v>0</v>
      </c>
      <c r="G16" s="1852"/>
      <c r="H16" s="1331" t="s">
        <v>1029</v>
      </c>
      <c r="I16" s="1332" t="s">
        <v>1421</v>
      </c>
      <c r="J16" s="354">
        <f ca="1">ROUND(J17+J22+J23+J24,0)</f>
        <v>0</v>
      </c>
      <c r="K16" s="1339" t="s">
        <v>1422</v>
      </c>
      <c r="L16" s="1340"/>
      <c r="M16" s="1296"/>
    </row>
    <row r="17" spans="1:37" s="1859" customFormat="1" ht="18" customHeight="1">
      <c r="A17" s="1203" t="s">
        <v>1386</v>
      </c>
      <c r="B17" s="346" t="s">
        <v>1423</v>
      </c>
      <c r="C17" s="24">
        <f ca="1">ROUND(F17*(F43+INDIRECT("'数据-取费表'!S"&amp;$G$1)),0)</f>
        <v>0</v>
      </c>
      <c r="D17" s="346" t="s">
        <v>1424</v>
      </c>
      <c r="E17" s="346" t="s">
        <v>1425</v>
      </c>
      <c r="F17" s="26">
        <f>'数据-取费表'!B35</f>
        <v>200</v>
      </c>
      <c r="G17" s="1855"/>
      <c r="H17" s="1203" t="s">
        <v>1034</v>
      </c>
      <c r="I17" s="346" t="s">
        <v>1426</v>
      </c>
      <c r="J17" s="24">
        <f ca="1">ROUND(IF(项目基本情况!B11="自然人",J5*M17,J18+J19+J20),0)</f>
        <v>0</v>
      </c>
      <c r="K17" s="1801" t="s">
        <v>1427</v>
      </c>
      <c r="L17" s="1799" t="s">
        <v>1428</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1429</v>
      </c>
      <c r="C18" s="24">
        <f ca="1">ROUND(C14*F18,0)</f>
        <v>0</v>
      </c>
      <c r="D18" s="346" t="s">
        <v>1418</v>
      </c>
      <c r="E18" s="346" t="s">
        <v>1419</v>
      </c>
      <c r="F18" s="366">
        <f>'数据-取费表'!B36</f>
        <v>1.4999999999999999E-2</v>
      </c>
      <c r="G18" s="1855"/>
      <c r="H18" s="1203" t="s">
        <v>1033</v>
      </c>
      <c r="I18" s="346" t="s">
        <v>1430</v>
      </c>
      <c r="J18" s="24">
        <f ca="1">ROUND(J5*M18/(1+'数据-取费表'!C42),0)</f>
        <v>0</v>
      </c>
      <c r="K18" s="1799" t="s">
        <v>1431</v>
      </c>
      <c r="L18" s="346" t="s">
        <v>1419</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1034</v>
      </c>
      <c r="B19" s="346" t="s">
        <v>1432</v>
      </c>
      <c r="C19" s="24">
        <f ca="1">SUM(C14:C18)</f>
        <v>0</v>
      </c>
      <c r="D19" s="139" t="s">
        <v>1433</v>
      </c>
      <c r="E19" s="1819"/>
      <c r="F19" s="26"/>
      <c r="G19" s="1852"/>
      <c r="H19" s="1203" t="s">
        <v>1035</v>
      </c>
      <c r="I19" s="346" t="s">
        <v>1434</v>
      </c>
      <c r="J19" s="24">
        <f ca="1">IF(K19="按租金收入计税",ROUND(J5*M19,0),ROUND(C29*M19*0.7,0))</f>
        <v>0</v>
      </c>
      <c r="K19" s="1829" t="s">
        <v>1435</v>
      </c>
      <c r="L19" s="346" t="s">
        <v>1419</v>
      </c>
      <c r="M19" s="366">
        <f>IF(K19="按租金收入计税",'数据-取费表'!B51,'数据-取费表'!B50)</f>
        <v>1.2E-2</v>
      </c>
    </row>
    <row r="20" spans="1:37" s="1859" customFormat="1" ht="18" customHeight="1">
      <c r="A20" s="1203" t="s">
        <v>1038</v>
      </c>
      <c r="B20" s="346" t="s">
        <v>1436</v>
      </c>
      <c r="C20" s="24">
        <f ca="1">ROUND(C19*F20,0)</f>
        <v>0</v>
      </c>
      <c r="D20" s="368" t="s">
        <v>1437</v>
      </c>
      <c r="E20" s="346" t="s">
        <v>1419</v>
      </c>
      <c r="F20" s="366">
        <f>'数据-取费表'!B37</f>
        <v>0.01</v>
      </c>
      <c r="G20" s="1855"/>
      <c r="H20" s="1203" t="s">
        <v>1385</v>
      </c>
      <c r="I20" s="163" t="s">
        <v>1438</v>
      </c>
      <c r="J20" s="25">
        <f ca="1">ROUND(M20*M21,0)</f>
        <v>0</v>
      </c>
      <c r="K20" s="369" t="s">
        <v>1439</v>
      </c>
      <c r="L20" s="346" t="s">
        <v>1440</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1074</v>
      </c>
      <c r="B21" s="346" t="s">
        <v>1441</v>
      </c>
      <c r="C21" s="24" t="s">
        <v>1</v>
      </c>
      <c r="D21" s="368" t="s">
        <v>1442</v>
      </c>
      <c r="E21" s="346" t="s">
        <v>1443</v>
      </c>
      <c r="F21" s="366">
        <f>'数据-取费表'!B38</f>
        <v>0.01</v>
      </c>
      <c r="G21" s="1855"/>
      <c r="H21" s="371"/>
      <c r="I21" s="355"/>
      <c r="J21" s="29"/>
      <c r="K21" s="372"/>
      <c r="L21" s="346" t="s">
        <v>1444</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1445</v>
      </c>
      <c r="C22" s="24"/>
      <c r="D22" s="139" t="str">
        <f>IF(F23&lt;=1,"单利计息。","复利计息。")&amp;"建造成本、管理费用、销售费用产生的利息。"</f>
        <v>复利计息。建造成本、管理费用、销售费用产生的利息。</v>
      </c>
      <c r="E22" s="1819"/>
      <c r="F22" s="26"/>
      <c r="G22" s="1852"/>
      <c r="H22" s="1203" t="s">
        <v>1038</v>
      </c>
      <c r="I22" s="346" t="s">
        <v>1446</v>
      </c>
      <c r="J22" s="24">
        <f ca="1">ROUND(J14*M22,0)</f>
        <v>0</v>
      </c>
      <c r="K22" s="1799" t="s">
        <v>1447</v>
      </c>
      <c r="L22" s="346" t="s">
        <v>1419</v>
      </c>
      <c r="M22" s="373">
        <f ca="1">INDIRECT("'数据-取费表'!Ak"&amp;$G$1)</f>
        <v>0</v>
      </c>
    </row>
    <row r="23" spans="1:37" s="1859" customFormat="1" ht="18" customHeight="1">
      <c r="A23" s="1203" t="s">
        <v>1033</v>
      </c>
      <c r="B23" s="346" t="s">
        <v>1448</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1449</v>
      </c>
      <c r="F23" s="370">
        <f>'数据-取费表'!B20</f>
        <v>3</v>
      </c>
      <c r="G23" s="1855"/>
      <c r="H23" s="1203" t="s">
        <v>1074</v>
      </c>
      <c r="I23" s="346" t="s">
        <v>1450</v>
      </c>
      <c r="J23" s="24">
        <f ca="1">ROUND(J13*M23,0)</f>
        <v>0</v>
      </c>
      <c r="K23" s="1799" t="s">
        <v>1451</v>
      </c>
      <c r="L23" s="346" t="s">
        <v>1452</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1453</v>
      </c>
      <c r="B24" s="346" t="s">
        <v>1454</v>
      </c>
      <c r="C24" s="24">
        <f ca="1">ROUND(IF('数据-取费表'!B22&lt;=1,F21*F24*F23/2,F21*(POWER((1+F24),F23/2)-1)),4)</f>
        <v>6.9999999999999999E-4</v>
      </c>
      <c r="D24" s="374" t="str">
        <f>IF(F23&lt;=1,"销售费用×利率×(建设周期÷2)","销售费用×((1+利率)^(建设周期÷2)-1)")</f>
        <v>销售费用×((1+利率)^(建设周期÷2)-1)</v>
      </c>
      <c r="E24" s="346" t="s">
        <v>1455</v>
      </c>
      <c r="F24" s="376">
        <f ca="1">'数据-取费表'!B40</f>
        <v>4.7500000000000001E-2</v>
      </c>
      <c r="G24" s="1855"/>
      <c r="H24" s="1341" t="s">
        <v>1389</v>
      </c>
      <c r="I24" s="1342" t="s">
        <v>1436</v>
      </c>
      <c r="J24" s="1343">
        <f ca="1">ROUND(J5*M24,0)</f>
        <v>0</v>
      </c>
      <c r="K24" s="1344" t="s">
        <v>1456</v>
      </c>
      <c r="L24" s="1342" t="s">
        <v>1452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1457</v>
      </c>
      <c r="B25" s="346" t="s">
        <v>1458</v>
      </c>
      <c r="C25" s="24"/>
      <c r="D25" s="139" t="s">
        <v>1459</v>
      </c>
      <c r="E25" s="1819"/>
      <c r="F25" s="26"/>
      <c r="G25" s="1852"/>
      <c r="H25" s="1331" t="s">
        <v>1030</v>
      </c>
      <c r="I25" s="1346" t="s">
        <v>1460</v>
      </c>
      <c r="J25" s="354">
        <f ca="1">J5-J16</f>
        <v>0</v>
      </c>
      <c r="K25" s="1347" t="s">
        <v>1461</v>
      </c>
      <c r="L25" s="1348"/>
      <c r="M25" s="1349"/>
    </row>
    <row r="26" spans="1:37" ht="18" customHeight="1">
      <c r="A26" s="1203" t="s">
        <v>1033</v>
      </c>
      <c r="B26" s="346" t="s">
        <v>1462</v>
      </c>
      <c r="C26" s="24">
        <f ca="1">ROUND((C19+C20)*F26,0)</f>
        <v>0</v>
      </c>
      <c r="D26" s="368" t="s">
        <v>1463</v>
      </c>
      <c r="E26" s="357" t="s">
        <v>1464</v>
      </c>
      <c r="F26" s="356">
        <f ca="1">INDIRECT("'数据-取费表'!q"&amp;$G$1)</f>
        <v>0</v>
      </c>
      <c r="G26" s="1852"/>
      <c r="H26" s="343" t="s">
        <v>1031</v>
      </c>
      <c r="I26" s="344" t="s">
        <v>1465</v>
      </c>
      <c r="J26" s="345">
        <f ca="1">IF(J5&lt;&gt;0,ROUND(J25*(1-((1+M28)/(1+M26))^M27)/(M26-M28),0),0)</f>
        <v>0</v>
      </c>
      <c r="K26" s="369" t="s">
        <v>1466</v>
      </c>
      <c r="L26" s="346" t="s">
        <v>1467</v>
      </c>
      <c r="M26" s="356">
        <f ca="1">INDIRECT("'数据-取费表'!I"&amp;$G$1)</f>
        <v>0</v>
      </c>
    </row>
    <row r="27" spans="1:37" ht="18" customHeight="1">
      <c r="A27" s="1203" t="s">
        <v>1035</v>
      </c>
      <c r="B27" s="346" t="s">
        <v>1468</v>
      </c>
      <c r="C27" s="24">
        <f ca="1">ROUND(F21*F26,4)</f>
        <v>0</v>
      </c>
      <c r="D27" s="368" t="s">
        <v>1469</v>
      </c>
      <c r="E27" s="364"/>
      <c r="F27" s="365"/>
      <c r="G27" s="1852"/>
      <c r="H27" s="348"/>
      <c r="I27" s="349"/>
      <c r="J27" s="350"/>
      <c r="K27" s="377" t="s">
        <v>1470</v>
      </c>
      <c r="L27" s="346" t="s">
        <v>1471</v>
      </c>
      <c r="M27" s="378">
        <f ca="1">INDIRECT("'数据-取费表'!ag"&amp;$G$1)</f>
        <v>0</v>
      </c>
    </row>
    <row r="28" spans="1:37" s="1859" customFormat="1" ht="18" customHeight="1">
      <c r="A28" s="1203" t="s">
        <v>1036</v>
      </c>
      <c r="B28" s="346" t="s">
        <v>1472</v>
      </c>
      <c r="C28" s="24">
        <f>ROUND(F28/(1+'数据-取费表'!C42),4)</f>
        <v>5.2400000000000002E-2</v>
      </c>
      <c r="D28" s="368" t="s">
        <v>1473</v>
      </c>
      <c r="E28" s="346" t="s">
        <v>1419</v>
      </c>
      <c r="F28" s="366">
        <f>'数据-取费表'!B41</f>
        <v>5.5000000000000007E-2</v>
      </c>
      <c r="G28" s="1855"/>
      <c r="H28" s="352"/>
      <c r="I28" s="353"/>
      <c r="J28" s="354"/>
      <c r="K28" s="372"/>
      <c r="L28" s="346" t="s">
        <v>1474</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1037</v>
      </c>
      <c r="B29" s="1342" t="s">
        <v>1475</v>
      </c>
      <c r="C29" s="1343">
        <f ca="1">ROUND((C19+C20+C23+C26)/(1-F21-C24-C27-C28),0)</f>
        <v>0</v>
      </c>
      <c r="D29" s="1344"/>
      <c r="E29" s="1342"/>
      <c r="F29" s="1345"/>
      <c r="G29" s="1855"/>
      <c r="H29" s="379" t="s">
        <v>1032</v>
      </c>
      <c r="I29" s="380" t="s">
        <v>1476</v>
      </c>
      <c r="J29" s="381">
        <f ca="1">ROUND(J26/(1+F40)^F41,0)</f>
        <v>0</v>
      </c>
      <c r="K29" s="382" t="s">
        <v>1477</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1029</v>
      </c>
      <c r="B30" s="1332" t="s">
        <v>1421</v>
      </c>
      <c r="C30" s="354">
        <f ca="1">ROUND(C31+C36+C37+C38,0)</f>
        <v>0</v>
      </c>
      <c r="D30" s="1339" t="s">
        <v>1422</v>
      </c>
      <c r="E30" s="1340"/>
      <c r="F30" s="1296"/>
      <c r="G30" s="1852"/>
      <c r="H30" s="744"/>
      <c r="I30" s="745"/>
      <c r="J30" s="746"/>
      <c r="K30" s="747"/>
      <c r="L30" s="748"/>
      <c r="M30" s="749"/>
    </row>
    <row r="31" spans="1:37" ht="18" customHeight="1">
      <c r="A31" s="1203" t="s">
        <v>1034</v>
      </c>
      <c r="B31" s="346" t="s">
        <v>1426</v>
      </c>
      <c r="C31" s="24">
        <f ca="1">ROUND(IF(项目基本情况!B11="自然人",C5*F31,C32+C33+C34),0)</f>
        <v>0</v>
      </c>
      <c r="D31" s="1801" t="s">
        <v>1427</v>
      </c>
      <c r="E31" s="1799" t="s">
        <v>1478</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1033</v>
      </c>
      <c r="B32" s="346" t="s">
        <v>1430</v>
      </c>
      <c r="C32" s="24">
        <f ca="1">IF(项目基本情况!B11="自然人","——",ROUND(C5*F32/(1+'数据-取费表'!C42),0))</f>
        <v>0</v>
      </c>
      <c r="D32" s="1799" t="s">
        <v>1431</v>
      </c>
      <c r="E32" s="346" t="s">
        <v>1419</v>
      </c>
      <c r="F32" s="376">
        <f>'数据-取费表'!B41</f>
        <v>5.5000000000000007E-2</v>
      </c>
      <c r="G32" s="1852"/>
      <c r="H32" s="744"/>
      <c r="I32" s="745"/>
      <c r="J32" s="746"/>
      <c r="K32" s="747"/>
      <c r="L32" s="748"/>
      <c r="M32" s="749"/>
    </row>
    <row r="33" spans="1:18" ht="18" customHeight="1">
      <c r="A33" s="1203" t="s">
        <v>1035</v>
      </c>
      <c r="B33" s="346" t="s">
        <v>1434</v>
      </c>
      <c r="C33" s="24">
        <f ca="1">IF(项目基本情况!B11="自然人","——",IF(D33="按租金收入计税",ROUND(C5*F33,0),IF(D33="按房产原值计税",ROUND(C29*F33*0.7,0),INDIRECT("'数据-取费表'!Aj"&amp;$G$1))))</f>
        <v>0</v>
      </c>
      <c r="D33" s="1829" t="s">
        <v>1435</v>
      </c>
      <c r="E33" s="346" t="s">
        <v>1419</v>
      </c>
      <c r="F33" s="366">
        <f>IF(D33="按票据","——",IF(D33="按租金收入计税",'数据-取费表'!B51,'数据-取费表'!B50))</f>
        <v>1.2E-2</v>
      </c>
      <c r="G33" s="1852"/>
      <c r="H33" s="1860"/>
      <c r="I33" s="1861"/>
      <c r="J33" s="1862"/>
      <c r="K33" s="1863"/>
      <c r="L33" s="1860"/>
      <c r="M33" s="1860"/>
    </row>
    <row r="34" spans="1:18" ht="18" customHeight="1">
      <c r="A34" s="1293" t="s">
        <v>1385</v>
      </c>
      <c r="B34" s="163" t="s">
        <v>1438</v>
      </c>
      <c r="C34" s="25">
        <f ca="1">IF(项目基本情况!B11="自然人","——",ROUND(F34*F35,))</f>
        <v>0</v>
      </c>
      <c r="D34" s="369" t="s">
        <v>1439</v>
      </c>
      <c r="E34" s="346" t="s">
        <v>1440</v>
      </c>
      <c r="F34" s="370">
        <f>'数据-取费表'!B52</f>
        <v>1.5</v>
      </c>
      <c r="G34" s="1852"/>
      <c r="H34" s="744"/>
      <c r="I34" s="1861"/>
      <c r="J34" s="1862"/>
      <c r="K34" s="1864"/>
      <c r="L34" s="1865"/>
      <c r="M34" s="1865"/>
    </row>
    <row r="35" spans="1:18" ht="18" customHeight="1">
      <c r="A35" s="1355"/>
      <c r="B35" s="1353"/>
      <c r="C35" s="29"/>
      <c r="D35" s="372"/>
      <c r="E35" s="346" t="s">
        <v>1444</v>
      </c>
      <c r="F35" s="347">
        <f ca="1">INDIRECT("'数据-取费表'!r"&amp;$G$1)</f>
        <v>0</v>
      </c>
      <c r="G35" s="1852"/>
      <c r="H35" s="744"/>
      <c r="I35" s="1861"/>
      <c r="J35" s="1862"/>
      <c r="K35" s="1863"/>
      <c r="L35" s="1860"/>
      <c r="M35" s="1860"/>
    </row>
    <row r="36" spans="1:18" ht="18" customHeight="1">
      <c r="A36" s="1354" t="s">
        <v>1038</v>
      </c>
      <c r="B36" s="346" t="s">
        <v>1446</v>
      </c>
      <c r="C36" s="24">
        <f ca="1">ROUND(C29*F36,0)</f>
        <v>0</v>
      </c>
      <c r="D36" s="1799" t="s">
        <v>1479</v>
      </c>
      <c r="E36" s="346" t="s">
        <v>1419</v>
      </c>
      <c r="F36" s="373">
        <f ca="1">INDIRECT("'数据-取费表'!Ak"&amp;$G$1)</f>
        <v>0</v>
      </c>
      <c r="G36" s="1852"/>
      <c r="H36" s="1860"/>
      <c r="I36" s="1861"/>
      <c r="J36" s="1862"/>
      <c r="K36" s="750"/>
      <c r="L36" s="1860"/>
      <c r="M36" s="1860"/>
    </row>
    <row r="37" spans="1:18" ht="18" customHeight="1">
      <c r="A37" s="1203" t="s">
        <v>1074</v>
      </c>
      <c r="B37" s="346" t="s">
        <v>1450</v>
      </c>
      <c r="C37" s="24">
        <f ca="1">ROUND(C13*F37,0)</f>
        <v>0</v>
      </c>
      <c r="D37" s="1799" t="s">
        <v>1451</v>
      </c>
      <c r="E37" s="346" t="s">
        <v>1452</v>
      </c>
      <c r="F37" s="375">
        <f ca="1">INDIRECT("'数据-取费表'!Al"&amp;$G$1)</f>
        <v>0</v>
      </c>
      <c r="G37" s="1852"/>
      <c r="H37" s="1860"/>
      <c r="I37" s="1861"/>
      <c r="J37" s="1862"/>
      <c r="K37" s="750"/>
      <c r="L37" s="1860"/>
      <c r="M37" s="1860"/>
    </row>
    <row r="38" spans="1:18" ht="18" customHeight="1" thickBot="1">
      <c r="A38" s="1341" t="s">
        <v>1389</v>
      </c>
      <c r="B38" s="1342" t="s">
        <v>1436</v>
      </c>
      <c r="C38" s="1343">
        <f ca="1">ROUND(C5*F38,1)</f>
        <v>0</v>
      </c>
      <c r="D38" s="1344" t="s">
        <v>1456</v>
      </c>
      <c r="E38" s="1342" t="s">
        <v>1452</v>
      </c>
      <c r="F38" s="1338">
        <f ca="1">INDIRECT("'数据-取费表'!Am"&amp;$G$1)</f>
        <v>0</v>
      </c>
      <c r="G38" s="1852"/>
      <c r="H38" s="1860"/>
      <c r="I38" s="1861"/>
      <c r="J38" s="1862"/>
      <c r="K38" s="1866"/>
      <c r="L38" s="1860"/>
      <c r="M38" s="1860"/>
    </row>
    <row r="39" spans="1:18" ht="24.6" customHeight="1" thickTop="1">
      <c r="A39" s="1331" t="s">
        <v>1030</v>
      </c>
      <c r="B39" s="1346" t="s">
        <v>1480</v>
      </c>
      <c r="C39" s="354">
        <f ca="1">C5-C30</f>
        <v>0</v>
      </c>
      <c r="D39" s="1347" t="s">
        <v>1481</v>
      </c>
      <c r="E39" s="1348"/>
      <c r="F39" s="1349"/>
      <c r="G39" s="1852"/>
      <c r="H39" s="1860"/>
      <c r="I39" s="1861"/>
      <c r="J39" s="1862"/>
      <c r="K39" s="1866"/>
      <c r="L39" s="1860"/>
      <c r="M39" s="1860"/>
    </row>
    <row r="40" spans="1:18" ht="18" customHeight="1">
      <c r="A40" s="343" t="s">
        <v>1031</v>
      </c>
      <c r="B40" s="344" t="s">
        <v>1482</v>
      </c>
      <c r="C40" s="345" t="e">
        <f ca="1">ROUND(C39*(1-((1+F42)/(1+F40))^F41)/(F40-F42),0)</f>
        <v>#DIV/0!</v>
      </c>
      <c r="D40" s="369" t="s">
        <v>1466</v>
      </c>
      <c r="E40" s="346" t="s">
        <v>1467</v>
      </c>
      <c r="F40" s="356">
        <f ca="1">INDIRECT("'数据-取费表'!I"&amp;$G$1)</f>
        <v>0</v>
      </c>
      <c r="G40" s="1852"/>
      <c r="H40" s="1840"/>
      <c r="I40" s="1861"/>
      <c r="J40" s="1862"/>
      <c r="K40" s="1866"/>
      <c r="L40" s="1840"/>
      <c r="M40" s="1840"/>
    </row>
    <row r="41" spans="1:18" ht="18" customHeight="1">
      <c r="A41" s="348"/>
      <c r="B41" s="349"/>
      <c r="C41" s="350"/>
      <c r="D41" s="377" t="s">
        <v>1483</v>
      </c>
      <c r="E41" s="346" t="s">
        <v>1471</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1474</v>
      </c>
      <c r="F42" s="356">
        <f ca="1">INDIRECT("'数据-取费表'!v"&amp;$G$1)</f>
        <v>0</v>
      </c>
      <c r="G42" s="1852"/>
      <c r="H42" s="731"/>
      <c r="I42" s="1861"/>
      <c r="J42" s="1862"/>
      <c r="K42" s="750"/>
      <c r="L42" s="731"/>
      <c r="M42" s="731"/>
    </row>
    <row r="43" spans="1:18" ht="18" customHeight="1" thickBot="1">
      <c r="A43" s="379" t="s">
        <v>1032</v>
      </c>
      <c r="B43" s="380" t="s">
        <v>1484</v>
      </c>
      <c r="C43" s="381" t="e">
        <f ca="1">ROUND(C40/F43,0)</f>
        <v>#DIV/0!</v>
      </c>
      <c r="D43" s="382" t="s">
        <v>1485</v>
      </c>
      <c r="E43" s="383" t="s">
        <v>1486</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1601</v>
      </c>
      <c r="E45" s="1867"/>
      <c r="F45" s="1867"/>
      <c r="O45" s="1870" t="s">
        <v>1516</v>
      </c>
      <c r="P45" s="1840"/>
      <c r="Q45" s="1840"/>
      <c r="R45" s="1840"/>
    </row>
    <row r="46" spans="1:18" s="1843" customFormat="1" ht="13.5" thickBot="1">
      <c r="A46" s="1871" t="s">
        <v>1517</v>
      </c>
      <c r="C46" s="1872" t="e">
        <f ca="1">ROUND(C45/10000,0)</f>
        <v>#DIV/0!</v>
      </c>
      <c r="D46" s="1873" t="str">
        <f>C2</f>
        <v>万元</v>
      </c>
      <c r="I46" s="1874" t="s">
        <v>1518</v>
      </c>
      <c r="J46" s="1875"/>
      <c r="K46" s="1876"/>
      <c r="L46" s="1877" t="e">
        <f ca="1">IF(M47="住宅",0,IF(L48&gt;J51,L60,J60))</f>
        <v>#DIV/0!</v>
      </c>
      <c r="O46" s="1878" t="s">
        <v>1519</v>
      </c>
      <c r="P46" s="1879" t="s">
        <v>1520</v>
      </c>
      <c r="Q46" s="1880" t="s">
        <v>1521</v>
      </c>
      <c r="R46" s="1880" t="s">
        <v>1522</v>
      </c>
    </row>
    <row r="47" spans="1:18" s="1843" customFormat="1" ht="13.5" thickBot="1">
      <c r="A47" s="1167" t="s">
        <v>1392</v>
      </c>
      <c r="B47" s="1199" t="s">
        <v>1393</v>
      </c>
      <c r="C47" s="1199" t="s">
        <v>1394</v>
      </c>
      <c r="D47" s="1199" t="s">
        <v>1395</v>
      </c>
      <c r="E47" s="1281" t="s">
        <v>1396</v>
      </c>
      <c r="F47" s="1282"/>
      <c r="G47" s="791"/>
      <c r="I47" s="1881" t="s">
        <v>1523</v>
      </c>
      <c r="J47" s="1882"/>
      <c r="K47" s="1883" t="s">
        <v>1524</v>
      </c>
      <c r="L47" s="1884">
        <f ca="1">INDIRECT("'数据-取费表'!d"&amp;$G$1)</f>
        <v>0</v>
      </c>
      <c r="M47" s="1839" t="str">
        <f>IF(ISNUMBER(FIND("住宅",C1)),"住宅","非住宅")</f>
        <v>非住宅</v>
      </c>
      <c r="O47" s="1885" t="s">
        <v>1039</v>
      </c>
      <c r="P47" s="1886" t="s">
        <v>1525</v>
      </c>
      <c r="Q47" s="1887" t="e">
        <f ca="1">C40+J29</f>
        <v>#DIV/0!</v>
      </c>
      <c r="R47" s="1887" t="s">
        <v>1526</v>
      </c>
    </row>
    <row r="48" spans="1:18" s="1843" customFormat="1" ht="28.5" thickBot="1">
      <c r="A48" s="1362" t="s">
        <v>1134</v>
      </c>
      <c r="B48" s="344" t="s">
        <v>1397</v>
      </c>
      <c r="C48" s="1818">
        <f ca="1">C49+C53+C55</f>
        <v>0</v>
      </c>
      <c r="D48" s="1364"/>
      <c r="E48" s="1365"/>
      <c r="F48" s="1183"/>
      <c r="G48" s="791"/>
      <c r="H48" s="792"/>
      <c r="I48" s="1888" t="s">
        <v>1527</v>
      </c>
      <c r="J48" s="1889"/>
      <c r="K48" s="1890" t="s">
        <v>1528</v>
      </c>
      <c r="L48" s="1891">
        <f ca="1">INDIRECT("'数据-取费表'!f"&amp;$G$1)</f>
        <v>0</v>
      </c>
      <c r="O48" s="1885" t="s">
        <v>1040</v>
      </c>
      <c r="P48" s="1886" t="s">
        <v>1529</v>
      </c>
      <c r="Q48" s="1887" t="e">
        <f ca="1">J60</f>
        <v>#DIV/0!</v>
      </c>
      <c r="R48" s="1887" t="s">
        <v>1530</v>
      </c>
    </row>
    <row r="49" spans="1:18" s="1843" customFormat="1" ht="13.5" thickBot="1">
      <c r="A49" s="1196" t="s">
        <v>1135</v>
      </c>
      <c r="B49" s="1830" t="s">
        <v>1487</v>
      </c>
      <c r="C49" s="1366">
        <f ca="1">ROUND(F49*F51*F50*(1-F52),0)</f>
        <v>0</v>
      </c>
      <c r="D49" s="1278" t="s">
        <v>1400</v>
      </c>
      <c r="E49" s="1831" t="s">
        <v>1488</v>
      </c>
      <c r="F49" s="1283"/>
      <c r="G49" s="1892"/>
      <c r="H49" s="792"/>
      <c r="I49" s="1888" t="s">
        <v>1531</v>
      </c>
      <c r="J49" s="1893"/>
      <c r="K49" s="1890" t="s">
        <v>1532</v>
      </c>
      <c r="L49" s="1894"/>
      <c r="O49" s="1895" t="s">
        <v>1041</v>
      </c>
      <c r="P49" s="1886" t="s">
        <v>1533</v>
      </c>
      <c r="Q49" s="1887">
        <f ca="1">C29</f>
        <v>0</v>
      </c>
      <c r="R49" s="1887" t="s">
        <v>1526</v>
      </c>
    </row>
    <row r="50" spans="1:18" s="1843" customFormat="1" ht="13.5" thickBot="1">
      <c r="A50" s="1197"/>
      <c r="B50" s="1200"/>
      <c r="C50" s="1201"/>
      <c r="D50" s="1174"/>
      <c r="E50" s="1279" t="s">
        <v>1402</v>
      </c>
      <c r="F50" s="1280">
        <f ca="1">F7</f>
        <v>0</v>
      </c>
      <c r="H50" s="792"/>
      <c r="I50" s="1888" t="s">
        <v>1534</v>
      </c>
      <c r="J50" s="1896">
        <f>SUMPRODUCT((I63:I65=J47)*(J62:L62=J48)*(J63:L65))</f>
        <v>0</v>
      </c>
      <c r="K50" s="1890" t="s">
        <v>1535</v>
      </c>
      <c r="L50" s="1894"/>
      <c r="M50" s="1897"/>
      <c r="O50" s="1895" t="s">
        <v>1042</v>
      </c>
      <c r="P50" s="1886" t="s">
        <v>1536</v>
      </c>
      <c r="Q50" s="1898" t="e">
        <f ca="1">J58</f>
        <v>#DIV/0!</v>
      </c>
      <c r="R50" s="1887"/>
    </row>
    <row r="51" spans="1:18" s="1843" customFormat="1" ht="13.5" thickBot="1">
      <c r="A51" s="1198"/>
      <c r="B51" s="1200"/>
      <c r="C51" s="1201"/>
      <c r="D51" s="1174"/>
      <c r="E51" s="1202" t="s">
        <v>1403</v>
      </c>
      <c r="F51" s="347">
        <f ca="1">F8</f>
        <v>0</v>
      </c>
      <c r="I51" s="1899" t="s">
        <v>1537</v>
      </c>
      <c r="J51" s="1900">
        <f>IF(J49="",J50,J49+J50-YEAR('数据-取费表'!B2))</f>
        <v>0</v>
      </c>
      <c r="K51" s="1901" t="s">
        <v>1538</v>
      </c>
      <c r="L51" s="1902">
        <f ca="1">ROUND(-PV(INDIRECT("'数据-取费表'!h"&amp;$G$1),L48,(C39-C13*C76),0),0)</f>
        <v>0</v>
      </c>
      <c r="M51" s="1903"/>
      <c r="O51" s="1895" t="s">
        <v>1043</v>
      </c>
      <c r="P51" s="1886" t="s">
        <v>1539</v>
      </c>
      <c r="Q51" s="1898">
        <f>J52</f>
        <v>0</v>
      </c>
      <c r="R51" s="1887"/>
    </row>
    <row r="52" spans="1:18" s="1843" customFormat="1" ht="13.5" thickBot="1">
      <c r="A52" s="1198"/>
      <c r="B52" s="1200"/>
      <c r="C52" s="1201"/>
      <c r="D52" s="1174"/>
      <c r="E52" s="1202" t="s">
        <v>1404</v>
      </c>
      <c r="F52" s="1277"/>
      <c r="I52" s="1904" t="s">
        <v>1540</v>
      </c>
      <c r="J52" s="1905"/>
      <c r="K52" s="1904" t="s">
        <v>1541</v>
      </c>
      <c r="L52" s="1905"/>
      <c r="O52" s="1895" t="s">
        <v>1044</v>
      </c>
      <c r="P52" s="1886" t="s">
        <v>1542</v>
      </c>
      <c r="Q52" s="1887" t="b">
        <f>J53</f>
        <v>0</v>
      </c>
      <c r="R52" s="1887" t="s">
        <v>1543</v>
      </c>
    </row>
    <row r="53" spans="1:18" s="1843" customFormat="1" ht="30.75" customHeight="1" thickBot="1">
      <c r="A53" s="1363" t="s">
        <v>1136</v>
      </c>
      <c r="B53" s="368" t="s">
        <v>1405</v>
      </c>
      <c r="C53" s="360">
        <f ca="1">ROUND(IF(F53="押一",F49*F51*F50/12*F11,IF(F53="押二",F49*F51*F50/12*2*F11,IF(F53="押三",F49*F51*F50/12*3*F11,C54*F11))),0)</f>
        <v>0</v>
      </c>
      <c r="D53" s="1825" t="s">
        <v>1406</v>
      </c>
      <c r="E53" s="357" t="s">
        <v>1407</v>
      </c>
      <c r="F53" s="1368"/>
      <c r="I53" s="1906" t="s">
        <v>1544</v>
      </c>
      <c r="J53" s="1907" t="b">
        <f>IF(M47="住宅",J51,IF(D1="——",MIN(J51,L48),IF(D1="在建（套用方法）",MIN(J51,L48-'数据-取费表'!B24),IF(D1="土地（套用方法）",MIN(J51,L48-'数据-取费表'!B20)))))</f>
        <v>0</v>
      </c>
      <c r="K53" s="3190" t="s">
        <v>1545</v>
      </c>
      <c r="L53" s="3191"/>
      <c r="O53" s="1885" t="s">
        <v>1045</v>
      </c>
      <c r="P53" s="1886" t="s">
        <v>1546</v>
      </c>
      <c r="Q53" s="1887" t="e">
        <f ca="1">Q47+Q48</f>
        <v>#DIV/0!</v>
      </c>
      <c r="R53" s="1887" t="s">
        <v>1046</v>
      </c>
    </row>
    <row r="54" spans="1:18" s="1843" customFormat="1" ht="13.5" thickBot="1">
      <c r="A54" s="1196"/>
      <c r="B54" s="1942" t="s">
        <v>1600</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1547</v>
      </c>
      <c r="P54" s="1840"/>
      <c r="Q54" s="1840"/>
      <c r="R54" s="1840"/>
    </row>
    <row r="55" spans="1:18" s="1843" customFormat="1" ht="13.5" thickBot="1">
      <c r="A55" s="1335" t="s">
        <v>1074</v>
      </c>
      <c r="B55" s="1828" t="s">
        <v>1410</v>
      </c>
      <c r="C55" s="1336"/>
      <c r="D55" s="1825"/>
      <c r="E55" s="1833"/>
      <c r="F55" s="1908"/>
      <c r="I55" s="1911" t="s">
        <v>1548</v>
      </c>
      <c r="J55" s="1912" t="e">
        <f ca="1">ROUND(IF(J47="钢混",J57/J50,1-(1-2%)*(J50-J57)/J50),3)</f>
        <v>#DIV/0!</v>
      </c>
      <c r="K55" s="1913" t="s">
        <v>1549</v>
      </c>
      <c r="L55" s="1914"/>
      <c r="O55" s="1878" t="s">
        <v>1519</v>
      </c>
      <c r="P55" s="1879" t="s">
        <v>1520</v>
      </c>
      <c r="Q55" s="1880" t="s">
        <v>1521</v>
      </c>
      <c r="R55" s="1880" t="s">
        <v>1522</v>
      </c>
    </row>
    <row r="56" spans="1:18" s="1843" customFormat="1" ht="36" customHeight="1" thickTop="1" thickBot="1">
      <c r="A56" s="1178">
        <v>2</v>
      </c>
      <c r="B56" s="1179" t="s">
        <v>1411</v>
      </c>
      <c r="C56" s="275">
        <f ca="1">C13</f>
        <v>0</v>
      </c>
      <c r="D56" s="1915"/>
      <c r="E56" s="1916"/>
      <c r="F56" s="1908"/>
      <c r="I56" s="1917" t="s">
        <v>1551</v>
      </c>
      <c r="J56" s="1918"/>
      <c r="K56" s="1888" t="s">
        <v>1552</v>
      </c>
      <c r="L56" s="1891">
        <f ca="1">IF(L48&lt;J51,"——",L48-J51)</f>
        <v>0</v>
      </c>
      <c r="O56" s="1885" t="s">
        <v>1039</v>
      </c>
      <c r="P56" s="1886" t="s">
        <v>1525</v>
      </c>
      <c r="Q56" s="1887" t="e">
        <f ca="1">C40+J29</f>
        <v>#DIV/0!</v>
      </c>
      <c r="R56" s="1887" t="s">
        <v>1526</v>
      </c>
    </row>
    <row r="57" spans="1:18" s="1843" customFormat="1" ht="24.75" thickBot="1">
      <c r="A57" s="1919"/>
      <c r="B57" s="1171" t="s">
        <v>1475</v>
      </c>
      <c r="C57" s="281">
        <f ca="1">C29</f>
        <v>0</v>
      </c>
      <c r="D57" s="1920"/>
      <c r="E57" s="1921"/>
      <c r="F57" s="1922"/>
      <c r="I57" s="1923" t="s">
        <v>1553</v>
      </c>
      <c r="J57" s="1924">
        <f ca="1">IF(OR(M47="住宅",J51&lt;L48,J56="是"),"——",J51-L48)</f>
        <v>0</v>
      </c>
      <c r="K57" s="1888" t="s">
        <v>1602</v>
      </c>
      <c r="L57" s="1891">
        <f ca="1">IF(L48&lt;J51,"——",IF(L55="比较法",L49,IF(L55="基准地价",L50,L51)))</f>
        <v>0</v>
      </c>
      <c r="O57" s="1885" t="s">
        <v>1040</v>
      </c>
      <c r="P57" s="1886" t="s">
        <v>1603</v>
      </c>
      <c r="Q57" s="1887" t="e">
        <f ca="1">L60</f>
        <v>#DIV/0!</v>
      </c>
      <c r="R57" s="1887" t="s">
        <v>1604</v>
      </c>
    </row>
    <row r="58" spans="1:18" s="1843" customFormat="1" ht="24.75" thickBot="1">
      <c r="A58" s="359" t="s">
        <v>1029</v>
      </c>
      <c r="B58" s="1179" t="s">
        <v>1421</v>
      </c>
      <c r="C58" s="360">
        <f ca="1">ROUND(C59+C64+C65+C66,0)</f>
        <v>0</v>
      </c>
      <c r="D58" s="1181" t="s">
        <v>1422</v>
      </c>
      <c r="E58" s="1182"/>
      <c r="F58" s="1183"/>
      <c r="I58" s="1923" t="s">
        <v>1557</v>
      </c>
      <c r="J58" s="1925" t="e">
        <f ca="1">IF(J55&lt;0.4,0.4,J55)</f>
        <v>#DIV/0!</v>
      </c>
      <c r="K58" s="1901" t="s">
        <v>1605</v>
      </c>
      <c r="L58" s="1891" t="e">
        <f ca="1">ROUND(POWER(1+L52,L47-L48)*(POWER(1+L52,L48)-1)/(POWER(1+L52,L47)-1),4)</f>
        <v>#DIV/0!</v>
      </c>
      <c r="O58" s="1895" t="s">
        <v>1041</v>
      </c>
      <c r="P58" s="1886" t="s">
        <v>1559</v>
      </c>
      <c r="Q58" s="1887">
        <f>IF(L55="比较法",L49,IF(L55="基准地价",L50,0))</f>
        <v>0</v>
      </c>
      <c r="R58" s="1887" t="s">
        <v>1526</v>
      </c>
    </row>
    <row r="59" spans="1:18" s="1843" customFormat="1" ht="24.75" thickBot="1">
      <c r="A59" s="1203" t="s">
        <v>1034</v>
      </c>
      <c r="B59" s="1171" t="s">
        <v>1426</v>
      </c>
      <c r="C59" s="24">
        <f ca="1">ROUND(IF(项目基本情况!B11="自然人",C48*F59,C60+C61+C62),0)</f>
        <v>0</v>
      </c>
      <c r="D59" s="1184" t="s">
        <v>1427</v>
      </c>
      <c r="E59" s="1185" t="s">
        <v>1428</v>
      </c>
      <c r="F59" s="367" t="str">
        <f ca="1">IF(项目基本情况!B11="企业","",IF(INDIRECT("'数据-取费表'!c"&amp;$G$1)="住宅",5%,IF(F49*F50*F51/12/(1+'数据-取费表'!C42)&gt;20000,12%,7%)))</f>
        <v/>
      </c>
      <c r="I59" s="1923" t="s">
        <v>1560</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1042</v>
      </c>
      <c r="P59" s="1886" t="s">
        <v>1561</v>
      </c>
      <c r="Q59" s="1898">
        <f>L52</f>
        <v>0</v>
      </c>
      <c r="R59" s="1887"/>
    </row>
    <row r="60" spans="1:18" s="1843" customFormat="1" ht="16.5" thickBot="1">
      <c r="A60" s="1203" t="s">
        <v>1033</v>
      </c>
      <c r="B60" s="1171" t="s">
        <v>1430</v>
      </c>
      <c r="C60" s="24">
        <f ca="1">IF(项目基本情况!B11="自然人","——",ROUND(C48*F60/(1+'数据-取费表'!C42),0))</f>
        <v>0</v>
      </c>
      <c r="D60" s="1185" t="s">
        <v>1431</v>
      </c>
      <c r="E60" s="1171" t="s">
        <v>1419</v>
      </c>
      <c r="F60" s="376">
        <f t="shared" ref="F60:F66" si="0">F32</f>
        <v>5.5000000000000007E-2</v>
      </c>
      <c r="I60" s="1926" t="s">
        <v>1562</v>
      </c>
      <c r="J60" s="1927" t="e">
        <f ca="1">IF(OR(M47="住宅",J51&lt;L48,J56="是"),"0",ROUND(J59/(1+J52)^J53,0))</f>
        <v>#DIV/0!</v>
      </c>
      <c r="K60" s="1928" t="s">
        <v>1563</v>
      </c>
      <c r="L60" s="1927" t="e">
        <f ca="1">IF(OR(M47="住宅",L48&lt;J51),0,ROUND(L57*(L58/L59-1),0))</f>
        <v>#DIV/0!</v>
      </c>
      <c r="O60" s="1895" t="s">
        <v>1043</v>
      </c>
      <c r="P60" s="1886" t="s">
        <v>1564</v>
      </c>
      <c r="Q60" s="1887" t="e">
        <f ca="1">L58</f>
        <v>#DIV/0!</v>
      </c>
      <c r="R60" s="1887" t="s">
        <v>1565</v>
      </c>
    </row>
    <row r="61" spans="1:18" s="1843" customFormat="1" ht="13.5" thickBot="1">
      <c r="A61" s="1203" t="s">
        <v>1489</v>
      </c>
      <c r="B61" s="1171" t="s">
        <v>1490</v>
      </c>
      <c r="C61" s="24">
        <f ca="1">IF(项目基本情况!B11="自然人","——",IF(D61="按租金收入计税",ROUND(C48*F61,0),IF(D61="按房产原值计税",ROUND(C57*F61*0.7,0),INDIRECT("'数据-取费表'!Aj"&amp;$G$1))))</f>
        <v>0</v>
      </c>
      <c r="D61" s="1829" t="s">
        <v>1435</v>
      </c>
      <c r="E61" s="1171" t="s">
        <v>1491</v>
      </c>
      <c r="F61" s="366">
        <f t="shared" si="0"/>
        <v>1.2E-2</v>
      </c>
      <c r="I61" s="1929"/>
      <c r="J61" s="1929"/>
      <c r="K61" s="1929"/>
      <c r="L61" s="1929"/>
      <c r="O61" s="1895" t="s">
        <v>1044</v>
      </c>
      <c r="P61" s="1886" t="str">
        <f>K59</f>
        <v>建设期及建筑物耐用年限下的土地年期修正系数Kn</v>
      </c>
      <c r="Q61" s="1887" t="e">
        <f ca="1">L59</f>
        <v>#DIV/0!</v>
      </c>
      <c r="R61" s="1887" t="s">
        <v>1566</v>
      </c>
    </row>
    <row r="62" spans="1:18" s="1843" customFormat="1" ht="13.5" thickBot="1">
      <c r="A62" s="1203" t="s">
        <v>1492</v>
      </c>
      <c r="B62" s="1170" t="s">
        <v>1493</v>
      </c>
      <c r="C62" s="25">
        <f ca="1">IF(项目基本情况!B11="自然人","——",ROUND(F62*F63,0))</f>
        <v>0</v>
      </c>
      <c r="D62" s="1186" t="s">
        <v>1494</v>
      </c>
      <c r="E62" s="1171" t="s">
        <v>1495</v>
      </c>
      <c r="F62" s="370">
        <f t="shared" si="0"/>
        <v>1.5</v>
      </c>
      <c r="I62" s="1930" t="s">
        <v>1567</v>
      </c>
      <c r="J62" s="1931" t="s">
        <v>1568</v>
      </c>
      <c r="K62" s="1931" t="s">
        <v>1569</v>
      </c>
      <c r="L62" s="1931" t="s">
        <v>1570</v>
      </c>
      <c r="M62" s="1932" t="s">
        <v>1571</v>
      </c>
      <c r="O62" s="1885" t="s">
        <v>1045</v>
      </c>
      <c r="P62" s="1886" t="s">
        <v>1572</v>
      </c>
      <c r="Q62" s="1887" t="e">
        <f ca="1">Q56+Q57</f>
        <v>#DIV/0!</v>
      </c>
      <c r="R62" s="1887" t="s">
        <v>1046</v>
      </c>
    </row>
    <row r="63" spans="1:18" s="1843" customFormat="1" ht="13.5" thickBot="1">
      <c r="A63" s="371"/>
      <c r="B63" s="1177"/>
      <c r="C63" s="29"/>
      <c r="D63" s="1187"/>
      <c r="E63" s="1171" t="s">
        <v>1496</v>
      </c>
      <c r="F63" s="347">
        <f t="shared" ca="1" si="0"/>
        <v>0</v>
      </c>
      <c r="I63" s="1930" t="s">
        <v>1573</v>
      </c>
      <c r="J63" s="1931">
        <v>70</v>
      </c>
      <c r="K63" s="1931">
        <v>50</v>
      </c>
      <c r="L63" s="1931">
        <v>80</v>
      </c>
      <c r="M63" s="1933">
        <v>0.02</v>
      </c>
      <c r="O63" s="1870" t="s">
        <v>1574</v>
      </c>
      <c r="P63" s="1840"/>
      <c r="Q63" s="1840"/>
      <c r="R63" s="1840"/>
    </row>
    <row r="64" spans="1:18" s="1843" customFormat="1" ht="13.5" thickBot="1">
      <c r="A64" s="1203" t="s">
        <v>1497</v>
      </c>
      <c r="B64" s="1171" t="s">
        <v>1498</v>
      </c>
      <c r="C64" s="24">
        <f ca="1">ROUND(C57*F64,0)</f>
        <v>0</v>
      </c>
      <c r="D64" s="1185" t="s">
        <v>1499</v>
      </c>
      <c r="E64" s="1171" t="s">
        <v>1491</v>
      </c>
      <c r="F64" s="373">
        <f t="shared" ca="1" si="0"/>
        <v>0</v>
      </c>
      <c r="I64" s="1930" t="s">
        <v>1575</v>
      </c>
      <c r="J64" s="1931">
        <v>50</v>
      </c>
      <c r="K64" s="1931">
        <v>35</v>
      </c>
      <c r="L64" s="1931">
        <v>60</v>
      </c>
      <c r="M64" s="1932">
        <v>0</v>
      </c>
      <c r="O64" s="1878" t="s">
        <v>1519</v>
      </c>
      <c r="P64" s="1879" t="s">
        <v>1520</v>
      </c>
      <c r="Q64" s="1880" t="s">
        <v>1521</v>
      </c>
      <c r="R64" s="1880" t="s">
        <v>1522</v>
      </c>
    </row>
    <row r="65" spans="1:18" s="1843" customFormat="1" ht="13.5" thickBot="1">
      <c r="A65" s="1203" t="s">
        <v>1500</v>
      </c>
      <c r="B65" s="1171" t="s">
        <v>1450</v>
      </c>
      <c r="C65" s="24">
        <f ca="1">ROUND(C56*F65,0)</f>
        <v>0</v>
      </c>
      <c r="D65" s="1185" t="s">
        <v>1451</v>
      </c>
      <c r="E65" s="1171" t="s">
        <v>1452</v>
      </c>
      <c r="F65" s="375">
        <f t="shared" ca="1" si="0"/>
        <v>0</v>
      </c>
      <c r="I65" s="1930" t="s">
        <v>1576</v>
      </c>
      <c r="J65" s="1931">
        <v>40</v>
      </c>
      <c r="K65" s="1931">
        <v>30</v>
      </c>
      <c r="L65" s="1931">
        <v>50</v>
      </c>
      <c r="M65" s="1933">
        <v>0.02</v>
      </c>
      <c r="O65" s="1885" t="s">
        <v>1039</v>
      </c>
      <c r="P65" s="1886" t="s">
        <v>1577</v>
      </c>
      <c r="Q65" s="1887" t="e">
        <f ca="1">C40+J29</f>
        <v>#DIV/0!</v>
      </c>
      <c r="R65" s="1887" t="s">
        <v>1526</v>
      </c>
    </row>
    <row r="66" spans="1:18" s="1843" customFormat="1" ht="16.5" thickBot="1">
      <c r="A66" s="1203" t="s">
        <v>1501</v>
      </c>
      <c r="B66" s="1171" t="s">
        <v>1436</v>
      </c>
      <c r="C66" s="24">
        <f ca="1">ROUND(C48*F66,0)</f>
        <v>0</v>
      </c>
      <c r="D66" s="1185" t="s">
        <v>1502</v>
      </c>
      <c r="E66" s="1171" t="s">
        <v>1419</v>
      </c>
      <c r="F66" s="356">
        <f t="shared" ca="1" si="0"/>
        <v>0</v>
      </c>
      <c r="O66" s="1885" t="s">
        <v>1040</v>
      </c>
      <c r="P66" s="1886" t="s">
        <v>1555</v>
      </c>
      <c r="Q66" s="1887" t="e">
        <f ca="1">L60</f>
        <v>#DIV/0!</v>
      </c>
      <c r="R66" s="1887" t="s">
        <v>1578</v>
      </c>
    </row>
    <row r="67" spans="1:18" s="1843" customFormat="1" ht="16.5" thickBot="1">
      <c r="A67" s="1178" t="s">
        <v>1030</v>
      </c>
      <c r="B67" s="1188" t="s">
        <v>1460</v>
      </c>
      <c r="C67" s="360">
        <f ca="1">C48-C58</f>
        <v>0</v>
      </c>
      <c r="D67" s="1184" t="s">
        <v>1461</v>
      </c>
      <c r="E67" s="1189"/>
      <c r="F67" s="1190"/>
      <c r="O67" s="1895" t="s">
        <v>1041</v>
      </c>
      <c r="P67" s="1886" t="s">
        <v>1559</v>
      </c>
      <c r="Q67" s="1934">
        <f ca="1">L51</f>
        <v>0</v>
      </c>
      <c r="R67" s="1887" t="s">
        <v>1579</v>
      </c>
    </row>
    <row r="68" spans="1:18" s="1843" customFormat="1" ht="16.5" thickBot="1">
      <c r="A68" s="1168" t="s">
        <v>1031</v>
      </c>
      <c r="B68" s="1169" t="s">
        <v>1482</v>
      </c>
      <c r="C68" s="345" t="e">
        <f ca="1">ROUND(C67*(1-((1+F70)/(1+F68))^F69)/(F68-F70),0)</f>
        <v>#DIV/0!</v>
      </c>
      <c r="D68" s="1186" t="s">
        <v>1466</v>
      </c>
      <c r="E68" s="1171" t="s">
        <v>1467</v>
      </c>
      <c r="F68" s="356">
        <f ca="1">F40</f>
        <v>0</v>
      </c>
      <c r="O68" s="1895" t="s">
        <v>1042</v>
      </c>
      <c r="P68" s="1935" t="s">
        <v>1580</v>
      </c>
      <c r="Q68" s="1887">
        <f ca="1">ROUND(Q69-Q70*Q71,0)</f>
        <v>0</v>
      </c>
      <c r="R68" s="1887" t="s">
        <v>1050</v>
      </c>
    </row>
    <row r="69" spans="1:18" s="1843" customFormat="1" ht="13.5" thickBot="1">
      <c r="A69" s="1172"/>
      <c r="B69" s="1173"/>
      <c r="C69" s="350"/>
      <c r="D69" s="1191" t="s">
        <v>1470</v>
      </c>
      <c r="E69" s="1171" t="s">
        <v>1471</v>
      </c>
      <c r="F69" s="378">
        <f ca="1">F41</f>
        <v>0</v>
      </c>
      <c r="O69" s="1895" t="s">
        <v>1047</v>
      </c>
      <c r="P69" s="1935" t="s">
        <v>1581</v>
      </c>
      <c r="Q69" s="1887">
        <f ca="1">C39</f>
        <v>0</v>
      </c>
      <c r="R69" s="1887" t="s">
        <v>1526</v>
      </c>
    </row>
    <row r="70" spans="1:18" s="1843" customFormat="1" ht="13.5" thickBot="1">
      <c r="A70" s="1175"/>
      <c r="B70" s="1176"/>
      <c r="C70" s="354"/>
      <c r="D70" s="1187"/>
      <c r="E70" s="1171" t="s">
        <v>1474</v>
      </c>
      <c r="F70" s="1277">
        <f ca="1">F42</f>
        <v>0</v>
      </c>
      <c r="O70" s="1895" t="s">
        <v>1048</v>
      </c>
      <c r="P70" s="1935" t="s">
        <v>1582</v>
      </c>
      <c r="Q70" s="1887">
        <f ca="1">C13</f>
        <v>0</v>
      </c>
      <c r="R70" s="1887" t="s">
        <v>1526</v>
      </c>
    </row>
    <row r="71" spans="1:18" s="1843" customFormat="1" ht="13.5" thickBot="1">
      <c r="A71" s="1192" t="s">
        <v>1032</v>
      </c>
      <c r="B71" s="1193" t="s">
        <v>1484</v>
      </c>
      <c r="C71" s="381" t="e">
        <f ca="1">ROUND(C68/F71,0)</f>
        <v>#DIV/0!</v>
      </c>
      <c r="D71" s="1194" t="s">
        <v>1485</v>
      </c>
      <c r="E71" s="1195" t="s">
        <v>1486</v>
      </c>
      <c r="F71" s="384">
        <f ca="1">F43</f>
        <v>0</v>
      </c>
      <c r="O71" s="1895" t="s">
        <v>1049</v>
      </c>
      <c r="P71" s="1935" t="s">
        <v>1583</v>
      </c>
      <c r="Q71" s="1898">
        <f ca="1">C76</f>
        <v>0</v>
      </c>
      <c r="R71" s="1887"/>
    </row>
    <row r="72" spans="1:18" s="1843" customFormat="1" ht="13.5" thickBot="1">
      <c r="B72" s="795"/>
      <c r="C72" s="795"/>
      <c r="O72" s="1895" t="s">
        <v>1043</v>
      </c>
      <c r="P72" s="1886" t="s">
        <v>1561</v>
      </c>
      <c r="Q72" s="1898">
        <f>L52</f>
        <v>0</v>
      </c>
      <c r="R72" s="1887"/>
    </row>
    <row r="73" spans="1:18" ht="16.5" thickBot="1">
      <c r="A73" s="1843"/>
      <c r="B73" s="795"/>
      <c r="C73" s="795"/>
      <c r="D73" s="1843"/>
      <c r="E73" s="1843"/>
      <c r="F73" s="1843"/>
      <c r="O73" s="1895" t="s">
        <v>1044</v>
      </c>
      <c r="P73" s="1886" t="s">
        <v>1564</v>
      </c>
      <c r="Q73" s="1887" t="e">
        <f ca="1">L58</f>
        <v>#DIV/0!</v>
      </c>
      <c r="R73" s="1887" t="s">
        <v>1565</v>
      </c>
    </row>
    <row r="74" spans="1:18" ht="13.5" thickBot="1">
      <c r="A74" s="1843"/>
      <c r="B74" s="316" t="s">
        <v>1584</v>
      </c>
      <c r="C74" s="1937"/>
      <c r="D74" s="1843"/>
      <c r="E74" s="1843"/>
      <c r="F74" s="1843"/>
      <c r="O74" s="1895" t="s">
        <v>1051</v>
      </c>
      <c r="P74" s="1886" t="str">
        <f>K59</f>
        <v>建设期及建筑物耐用年限下的土地年期修正系数Kn</v>
      </c>
      <c r="Q74" s="1887" t="e">
        <f ca="1">L59</f>
        <v>#DIV/0!</v>
      </c>
      <c r="R74" s="1887" t="s">
        <v>1566</v>
      </c>
    </row>
    <row r="75" spans="1:18" ht="13.5" thickBot="1">
      <c r="A75" s="1843"/>
      <c r="B75" s="385" t="s">
        <v>1503</v>
      </c>
      <c r="C75" s="386">
        <f ca="1">ROUND(C13*C76,0)</f>
        <v>0</v>
      </c>
      <c r="D75" s="1843"/>
      <c r="E75" s="1843"/>
      <c r="F75" s="1843"/>
      <c r="K75" s="1869"/>
      <c r="L75" s="1843"/>
      <c r="O75" s="1885" t="s">
        <v>1045</v>
      </c>
      <c r="P75" s="1886" t="s">
        <v>1546</v>
      </c>
      <c r="Q75" s="1887" t="e">
        <f ca="1">Q65+Q66</f>
        <v>#DIV/0!</v>
      </c>
      <c r="R75" s="1887" t="s">
        <v>1046</v>
      </c>
    </row>
    <row r="76" spans="1:18">
      <c r="B76" s="387" t="s">
        <v>1504</v>
      </c>
      <c r="C76" s="388">
        <f ca="1">INDIRECT("'数据-取费表'!j"&amp;$G$1)</f>
        <v>0</v>
      </c>
      <c r="I76" s="1843"/>
      <c r="J76" s="1843"/>
      <c r="K76" s="1869"/>
      <c r="L76" s="1843"/>
    </row>
    <row r="77" spans="1:18">
      <c r="B77" s="389" t="s">
        <v>1505</v>
      </c>
      <c r="C77" s="390"/>
      <c r="I77" s="1843"/>
      <c r="J77" s="1843"/>
      <c r="K77" s="1869"/>
      <c r="L77" s="1843"/>
    </row>
    <row r="78" spans="1:18">
      <c r="B78" s="313" t="s">
        <v>1506</v>
      </c>
      <c r="C78" s="391"/>
    </row>
    <row r="79" spans="1:18">
      <c r="B79" s="385" t="s">
        <v>1507</v>
      </c>
      <c r="C79" s="317" t="e">
        <f ca="1">1-C80</f>
        <v>#DIV/0!</v>
      </c>
    </row>
    <row r="80" spans="1:18">
      <c r="B80" s="385" t="s">
        <v>1508</v>
      </c>
      <c r="C80" s="317" t="e">
        <f ca="1">ROUND(C75/C39,3)</f>
        <v>#DIV/0!</v>
      </c>
    </row>
    <row r="81" spans="2:3">
      <c r="B81" s="313" t="s">
        <v>1509</v>
      </c>
      <c r="C81" s="281"/>
    </row>
    <row r="82" spans="2:3">
      <c r="B82" s="316" t="s">
        <v>1510</v>
      </c>
      <c r="C82" s="318" t="e">
        <f ca="1">1-C83</f>
        <v>#DIV/0!</v>
      </c>
    </row>
    <row r="83" spans="2:3">
      <c r="B83" s="316" t="s">
        <v>1511</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2508</v>
      </c>
      <c r="B1" s="2562"/>
      <c r="C1" s="2562"/>
      <c r="D1" s="2562"/>
      <c r="E1" s="2563"/>
    </row>
    <row r="2" spans="1:6" ht="15.75">
      <c r="A2" s="2564" t="s">
        <v>2312</v>
      </c>
      <c r="B2" s="2565">
        <f ca="1">SUMIF(B6:B13,"&lt;&gt;#ref!",B6:B13)</f>
        <v>112092</v>
      </c>
      <c r="C2" s="2566" t="s">
        <v>2501</v>
      </c>
      <c r="D2" s="2567" t="s">
        <v>2502</v>
      </c>
      <c r="E2" s="2568">
        <f>SUM(E6:E13)</f>
        <v>214758.00000000003</v>
      </c>
    </row>
    <row r="3" spans="1:6" ht="15.75">
      <c r="A3" s="2564" t="s">
        <v>1391</v>
      </c>
      <c r="B3" s="2565">
        <f ca="1">ROUND(B2*10000/E2,0)</f>
        <v>5219</v>
      </c>
      <c r="C3" s="2566" t="s">
        <v>2509</v>
      </c>
      <c r="D3" s="2569"/>
      <c r="E3" s="2570"/>
    </row>
    <row r="4" spans="1:6" ht="15.75">
      <c r="A4" s="2571"/>
      <c r="B4" s="2569"/>
      <c r="C4" s="2569"/>
      <c r="D4" s="2569"/>
      <c r="E4" s="2570"/>
    </row>
    <row r="5" spans="1:6" ht="15">
      <c r="A5" s="2572" t="s">
        <v>2503</v>
      </c>
      <c r="B5" s="3195" t="s">
        <v>2504</v>
      </c>
      <c r="C5" s="3195"/>
      <c r="D5" s="2573"/>
      <c r="E5" s="2574" t="s">
        <v>2505</v>
      </c>
      <c r="F5" s="2575" t="s">
        <v>2506</v>
      </c>
    </row>
    <row r="6" spans="1:6">
      <c r="A6" s="2576" t="str">
        <f>'数据-取费表'!AN6</f>
        <v>收益法-公租房</v>
      </c>
      <c r="B6" s="2575">
        <f ca="1">IF(F6="是",'数据-取费表'!AO6,0)</f>
        <v>83062</v>
      </c>
      <c r="C6" s="2566" t="s">
        <v>2501</v>
      </c>
      <c r="D6" s="2569"/>
      <c r="E6" s="2577">
        <f>IF(OR(A6=0,F6="否"),0,'数据-取费表'!K6+'数据-取费表'!S6)</f>
        <v>155619.45000000001</v>
      </c>
      <c r="F6" s="2578" t="s">
        <v>2507</v>
      </c>
    </row>
    <row r="7" spans="1:6">
      <c r="A7" s="2576" t="str">
        <f>'数据-取费表'!AN7</f>
        <v>收益法-商业</v>
      </c>
      <c r="B7" s="2575">
        <f ca="1">IF(F7="是",'数据-取费表'!AO7,0)</f>
        <v>5566</v>
      </c>
      <c r="C7" s="2566" t="s">
        <v>2501</v>
      </c>
      <c r="D7" s="2569"/>
      <c r="E7" s="2577">
        <f>IF(OR(A7=0,F7="否"),0,'数据-取费表'!K7+'数据-取费表'!S7)</f>
        <v>4621.92</v>
      </c>
      <c r="F7" s="2578" t="s">
        <v>2507</v>
      </c>
    </row>
    <row r="8" spans="1:6">
      <c r="A8" s="2576" t="str">
        <f>'数据-取费表'!AN8</f>
        <v>收益法-办公</v>
      </c>
      <c r="B8" s="2575">
        <f ca="1">IF(F8="是",'数据-取费表'!AO8,0)</f>
        <v>21517</v>
      </c>
      <c r="C8" s="2566" t="s">
        <v>2501</v>
      </c>
      <c r="D8" s="2569"/>
      <c r="E8" s="2577">
        <f>IF(OR(A8=0,F8="否"),0,'数据-取费表'!K8+'数据-取费表'!S8)</f>
        <v>24020.81</v>
      </c>
      <c r="F8" s="2578" t="s">
        <v>2507</v>
      </c>
    </row>
    <row r="9" spans="1:6">
      <c r="A9" s="2576" t="str">
        <f>'数据-取费表'!AN9</f>
        <v>收益法-地下车库</v>
      </c>
      <c r="B9" s="2575">
        <f ca="1">IF(F9="是",'数据-取费表'!AO9,0)</f>
        <v>1947</v>
      </c>
      <c r="C9" s="2566" t="s">
        <v>2501</v>
      </c>
      <c r="D9" s="2569"/>
      <c r="E9" s="2577">
        <f>IF(OR(A9=0,F9="否"),0,'数据-取费表'!K9+'数据-取费表'!S9)</f>
        <v>30495.82</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6" t="s">
        <v>1075</v>
      </c>
      <c r="B1" s="3197"/>
      <c r="C1" s="3198"/>
      <c r="D1" s="3199">
        <f>SUM(I10,I15,I20,I21,I23)</f>
        <v>0</v>
      </c>
      <c r="E1" s="3199"/>
      <c r="F1" s="3199"/>
      <c r="G1" s="3199"/>
      <c r="H1" s="3199"/>
      <c r="I1" s="3200"/>
    </row>
    <row r="2" spans="1:9">
      <c r="A2" s="3201" t="s">
        <v>1076</v>
      </c>
      <c r="B2" s="3202" t="s">
        <v>1077</v>
      </c>
      <c r="C2" s="3202"/>
      <c r="D2" s="1303" t="s">
        <v>1078</v>
      </c>
      <c r="E2" s="1303" t="s">
        <v>1079</v>
      </c>
      <c r="F2" s="1303" t="s">
        <v>1080</v>
      </c>
      <c r="G2" s="1303" t="s">
        <v>1081</v>
      </c>
      <c r="H2" s="1303" t="s">
        <v>1082</v>
      </c>
      <c r="I2" s="1304" t="s">
        <v>1083</v>
      </c>
    </row>
    <row r="3" spans="1:9">
      <c r="A3" s="3201"/>
      <c r="B3" s="3202" t="s">
        <v>1084</v>
      </c>
      <c r="C3" s="3202"/>
      <c r="D3" s="1305"/>
      <c r="E3" s="1303"/>
      <c r="F3" s="1306"/>
      <c r="G3" s="1306"/>
      <c r="H3" s="1307"/>
      <c r="I3" s="1308">
        <f>ROUND(D3*E3*F3*G3*H3/10000,0)</f>
        <v>0</v>
      </c>
    </row>
    <row r="4" spans="1:9">
      <c r="A4" s="3201"/>
      <c r="B4" s="3202" t="s">
        <v>1085</v>
      </c>
      <c r="C4" s="3202"/>
      <c r="D4" s="1305"/>
      <c r="E4" s="1303"/>
      <c r="F4" s="1306"/>
      <c r="G4" s="1306"/>
      <c r="H4" s="1307"/>
      <c r="I4" s="1308">
        <f t="shared" ref="I4:I9" si="0">ROUND(D4*E4*F4*G4*H4/10000,0)</f>
        <v>0</v>
      </c>
    </row>
    <row r="5" spans="1:9">
      <c r="A5" s="3201"/>
      <c r="B5" s="3202" t="s">
        <v>1086</v>
      </c>
      <c r="C5" s="3202"/>
      <c r="D5" s="1305"/>
      <c r="E5" s="1303"/>
      <c r="F5" s="1306"/>
      <c r="G5" s="1306"/>
      <c r="H5" s="1307"/>
      <c r="I5" s="1308">
        <f t="shared" si="0"/>
        <v>0</v>
      </c>
    </row>
    <row r="6" spans="1:9">
      <c r="A6" s="3201"/>
      <c r="B6" s="3202" t="s">
        <v>1087</v>
      </c>
      <c r="C6" s="3202"/>
      <c r="D6" s="1305"/>
      <c r="E6" s="1303"/>
      <c r="F6" s="1306"/>
      <c r="G6" s="1306"/>
      <c r="H6" s="1307"/>
      <c r="I6" s="1308">
        <f t="shared" si="0"/>
        <v>0</v>
      </c>
    </row>
    <row r="7" spans="1:9">
      <c r="A7" s="3201"/>
      <c r="B7" s="3202" t="s">
        <v>1088</v>
      </c>
      <c r="C7" s="3202"/>
      <c r="D7" s="1305"/>
      <c r="E7" s="1303"/>
      <c r="F7" s="1306"/>
      <c r="G7" s="1306"/>
      <c r="H7" s="1307"/>
      <c r="I7" s="1308">
        <f t="shared" si="0"/>
        <v>0</v>
      </c>
    </row>
    <row r="8" spans="1:9">
      <c r="A8" s="3201"/>
      <c r="B8" s="3202" t="s">
        <v>1089</v>
      </c>
      <c r="C8" s="3202"/>
      <c r="D8" s="1305"/>
      <c r="E8" s="1303"/>
      <c r="F8" s="1306"/>
      <c r="G8" s="1306"/>
      <c r="H8" s="1307"/>
      <c r="I8" s="1308">
        <f t="shared" si="0"/>
        <v>0</v>
      </c>
    </row>
    <row r="9" spans="1:9">
      <c r="A9" s="3201"/>
      <c r="B9" s="3202" t="s">
        <v>1090</v>
      </c>
      <c r="C9" s="3202"/>
      <c r="D9" s="1305"/>
      <c r="E9" s="1303"/>
      <c r="F9" s="1306"/>
      <c r="G9" s="1306"/>
      <c r="H9" s="1307"/>
      <c r="I9" s="1308">
        <f t="shared" si="0"/>
        <v>0</v>
      </c>
    </row>
    <row r="10" spans="1:9">
      <c r="A10" s="3201"/>
      <c r="B10" s="3203" t="s">
        <v>1091</v>
      </c>
      <c r="C10" s="3203"/>
      <c r="D10" s="1309"/>
      <c r="E10" s="1309" t="e">
        <f>ROUND(D1*10000/D10/H9,0)</f>
        <v>#DIV/0!</v>
      </c>
      <c r="F10" s="1310"/>
      <c r="G10" s="1310"/>
      <c r="H10" s="1311"/>
      <c r="I10" s="1312">
        <f>SUM(I3:I9)</f>
        <v>0</v>
      </c>
    </row>
    <row r="11" spans="1:9" ht="14.25">
      <c r="A11" s="3201" t="s">
        <v>1092</v>
      </c>
      <c r="B11" s="3202" t="s">
        <v>1093</v>
      </c>
      <c r="C11" s="3202"/>
      <c r="D11" s="1305" t="s">
        <v>1094</v>
      </c>
      <c r="E11" s="1305" t="s">
        <v>1095</v>
      </c>
      <c r="F11" s="1306" t="s">
        <v>1096</v>
      </c>
      <c r="G11" s="1306" t="s">
        <v>1082</v>
      </c>
      <c r="H11" s="1313" t="s">
        <v>1097</v>
      </c>
      <c r="I11" s="1304" t="s">
        <v>1083</v>
      </c>
    </row>
    <row r="12" spans="1:9">
      <c r="A12" s="3201"/>
      <c r="B12" s="3202" t="s">
        <v>1098</v>
      </c>
      <c r="C12" s="3202"/>
      <c r="D12" s="1305"/>
      <c r="E12" s="1305"/>
      <c r="F12" s="1306"/>
      <c r="G12" s="1307"/>
      <c r="H12" s="1314"/>
      <c r="I12" s="1304">
        <f>ROUND(D12*E12*F12*G12/10000,0)</f>
        <v>0</v>
      </c>
    </row>
    <row r="13" spans="1:9">
      <c r="A13" s="3201"/>
      <c r="B13" s="3202" t="s">
        <v>1099</v>
      </c>
      <c r="C13" s="3202"/>
      <c r="D13" s="1305"/>
      <c r="E13" s="1305"/>
      <c r="F13" s="1306"/>
      <c r="G13" s="1307"/>
      <c r="H13" s="1314"/>
      <c r="I13" s="1304">
        <f>ROUND(D13*E13*F13*G13/10000,0)</f>
        <v>0</v>
      </c>
    </row>
    <row r="14" spans="1:9">
      <c r="A14" s="3201"/>
      <c r="B14" s="3202" t="s">
        <v>1100</v>
      </c>
      <c r="C14" s="3202"/>
      <c r="D14" s="1305"/>
      <c r="E14" s="1305"/>
      <c r="F14" s="1306"/>
      <c r="G14" s="1307"/>
      <c r="H14" s="1314"/>
      <c r="I14" s="1304">
        <f>ROUND(D14*E14*F14*G14/10000,0)</f>
        <v>0</v>
      </c>
    </row>
    <row r="15" spans="1:9">
      <c r="A15" s="3201"/>
      <c r="B15" s="3203" t="s">
        <v>1091</v>
      </c>
      <c r="C15" s="3203"/>
      <c r="D15" s="1309"/>
      <c r="E15" s="1309">
        <f>SUM(E12:E14)</f>
        <v>0</v>
      </c>
      <c r="F15" s="1310"/>
      <c r="G15" s="1307"/>
      <c r="H15" s="1314"/>
      <c r="I15" s="1315">
        <f>SUM(I12:I14)</f>
        <v>0</v>
      </c>
    </row>
    <row r="16" spans="1:9" ht="24">
      <c r="A16" s="3201" t="s">
        <v>1101</v>
      </c>
      <c r="B16" s="3202" t="s">
        <v>1102</v>
      </c>
      <c r="C16" s="3202"/>
      <c r="D16" s="1305" t="s">
        <v>1078</v>
      </c>
      <c r="E16" s="1316" t="s">
        <v>1103</v>
      </c>
      <c r="F16" s="1306" t="s">
        <v>1104</v>
      </c>
      <c r="G16" s="1307" t="s">
        <v>1082</v>
      </c>
      <c r="H16" s="1313" t="s">
        <v>1097</v>
      </c>
      <c r="I16" s="1304" t="s">
        <v>1083</v>
      </c>
    </row>
    <row r="17" spans="1:9" ht="14.25">
      <c r="A17" s="3201"/>
      <c r="B17" s="3202" t="s">
        <v>1105</v>
      </c>
      <c r="C17" s="3202"/>
      <c r="D17" s="1305"/>
      <c r="E17" s="1305"/>
      <c r="F17" s="1306"/>
      <c r="G17" s="1307"/>
      <c r="H17" s="1317"/>
      <c r="I17" s="1318">
        <f>ROUND(D17*E17*F17*G17/10000,0)</f>
        <v>0</v>
      </c>
    </row>
    <row r="18" spans="1:9" ht="14.25">
      <c r="A18" s="3201"/>
      <c r="B18" s="3202" t="s">
        <v>1106</v>
      </c>
      <c r="C18" s="3202"/>
      <c r="D18" s="1305"/>
      <c r="E18" s="1305"/>
      <c r="F18" s="1306"/>
      <c r="G18" s="1307"/>
      <c r="H18" s="1317"/>
      <c r="I18" s="1318">
        <f>ROUND(D18*E18*F18*G18/10000,0)</f>
        <v>0</v>
      </c>
    </row>
    <row r="19" spans="1:9" ht="14.25">
      <c r="A19" s="3201"/>
      <c r="B19" s="3202" t="s">
        <v>1107</v>
      </c>
      <c r="C19" s="3202"/>
      <c r="D19" s="1305"/>
      <c r="E19" s="1305"/>
      <c r="F19" s="1306"/>
      <c r="G19" s="1307"/>
      <c r="H19" s="1317"/>
      <c r="I19" s="1318">
        <f>ROUND(D19*E19*F19*G19/10000,0)</f>
        <v>0</v>
      </c>
    </row>
    <row r="20" spans="1:9">
      <c r="A20" s="3201"/>
      <c r="B20" s="3203" t="s">
        <v>1091</v>
      </c>
      <c r="C20" s="3203"/>
      <c r="D20" s="1309">
        <f>SUM(D17:D19)</f>
        <v>0</v>
      </c>
      <c r="E20" s="1309"/>
      <c r="F20" s="1310"/>
      <c r="G20" s="1307"/>
      <c r="H20" s="1314"/>
      <c r="I20" s="1315">
        <f>SUM(I17:I19)</f>
        <v>0</v>
      </c>
    </row>
    <row r="21" spans="1:9">
      <c r="A21" s="3201" t="s">
        <v>1108</v>
      </c>
      <c r="B21" s="3205"/>
      <c r="C21" s="3205"/>
      <c r="D21" s="3205"/>
      <c r="E21" s="3205"/>
      <c r="F21" s="3205"/>
      <c r="G21" s="3205"/>
      <c r="H21" s="1766">
        <v>0.1</v>
      </c>
      <c r="I21" s="1312">
        <f>ROUND(I10*H21,0)</f>
        <v>0</v>
      </c>
    </row>
    <row r="22" spans="1:9" ht="14.25">
      <c r="A22" s="3206" t="s">
        <v>1109</v>
      </c>
      <c r="B22" s="3207"/>
      <c r="C22" s="3208"/>
      <c r="D22" s="1319" t="s">
        <v>1110</v>
      </c>
      <c r="E22" s="1319" t="s">
        <v>1111</v>
      </c>
      <c r="F22" s="1320" t="s">
        <v>1112</v>
      </c>
      <c r="G22" s="1320" t="s">
        <v>1113</v>
      </c>
      <c r="H22" s="1313" t="s">
        <v>1114</v>
      </c>
      <c r="I22" s="1304" t="s">
        <v>1115</v>
      </c>
    </row>
    <row r="23" spans="1:9" ht="14.25" thickBot="1">
      <c r="A23" s="3209"/>
      <c r="B23" s="3210"/>
      <c r="C23" s="3211"/>
      <c r="D23" s="1321"/>
      <c r="E23" s="1321"/>
      <c r="F23" s="1321"/>
      <c r="G23" s="1322"/>
      <c r="H23" s="1323"/>
      <c r="I23" s="1324">
        <f>ROUND(E23*D23*F23*(1-G23)/10000,0)</f>
        <v>0</v>
      </c>
    </row>
    <row r="26" spans="1:9">
      <c r="A26" s="1325" t="s">
        <v>1116</v>
      </c>
      <c r="B26" s="1325"/>
      <c r="C26" s="1325"/>
      <c r="D26" s="1325"/>
      <c r="E26" s="3212">
        <f>C27-C30-C31-C32</f>
        <v>0</v>
      </c>
      <c r="F26" s="3212"/>
      <c r="G26" s="3212"/>
      <c r="H26" s="1738" t="s">
        <v>1336</v>
      </c>
    </row>
    <row r="27" spans="1:9">
      <c r="A27" s="1326">
        <v>1</v>
      </c>
      <c r="B27" s="1327" t="s">
        <v>1117</v>
      </c>
      <c r="C27" s="1327">
        <f>C28+C29</f>
        <v>0</v>
      </c>
      <c r="D27" s="1327"/>
      <c r="E27" s="3213"/>
      <c r="F27" s="3213"/>
      <c r="G27" s="3213"/>
    </row>
    <row r="28" spans="1:9">
      <c r="A28" s="1328" t="s">
        <v>1118</v>
      </c>
      <c r="B28" s="1327" t="s">
        <v>1119</v>
      </c>
      <c r="C28" s="1327"/>
      <c r="D28" s="1327"/>
      <c r="E28" s="3213"/>
      <c r="F28" s="3213"/>
      <c r="G28" s="3213"/>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04"/>
      <c r="F32" s="3204"/>
      <c r="G32" s="3204"/>
    </row>
    <row r="33" spans="1:7" hidden="1">
      <c r="A33" s="3214" t="s">
        <v>1128</v>
      </c>
      <c r="B33" s="3215"/>
      <c r="C33" s="3215"/>
      <c r="D33" s="3216"/>
      <c r="E33" s="3212"/>
      <c r="F33" s="3212"/>
      <c r="G33" s="3212"/>
    </row>
    <row r="34" spans="1:7" hidden="1">
      <c r="A34" s="1330">
        <v>1</v>
      </c>
      <c r="B34" s="1327" t="s">
        <v>1129</v>
      </c>
      <c r="C34" s="1327"/>
      <c r="D34" s="1327"/>
      <c r="E34" s="3213"/>
      <c r="F34" s="3213"/>
      <c r="G34" s="3213"/>
    </row>
    <row r="35" spans="1:7" hidden="1">
      <c r="A35" s="1330">
        <v>2</v>
      </c>
      <c r="B35" s="1327" t="s">
        <v>1130</v>
      </c>
      <c r="C35" s="1327"/>
      <c r="D35" s="1327"/>
      <c r="E35" s="3213"/>
      <c r="F35" s="3213"/>
      <c r="G35" s="3213"/>
    </row>
    <row r="36" spans="1:7" hidden="1">
      <c r="A36" s="1330">
        <v>3</v>
      </c>
      <c r="B36" s="1327" t="s">
        <v>1131</v>
      </c>
      <c r="C36" s="1327"/>
      <c r="D36" s="1327"/>
      <c r="E36" s="3213"/>
      <c r="F36" s="3213"/>
      <c r="G36" s="3213"/>
    </row>
    <row r="37" spans="1:7" hidden="1">
      <c r="A37" s="1330">
        <v>4</v>
      </c>
      <c r="B37" s="1327" t="s">
        <v>1132</v>
      </c>
      <c r="C37" s="1327"/>
      <c r="D37" s="1327"/>
      <c r="E37" s="3213"/>
      <c r="F37" s="3213"/>
      <c r="G37" s="3213"/>
    </row>
    <row r="38" spans="1:7" hidden="1">
      <c r="A38" s="3214" t="s">
        <v>1133</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2" t="s">
        <v>2511</v>
      </c>
      <c r="C1" s="1635" t="s">
        <v>2512</v>
      </c>
      <c r="D1" s="1622"/>
      <c r="E1" s="2583"/>
      <c r="F1" s="2584" t="s">
        <v>2513</v>
      </c>
      <c r="G1" s="1632" t="s">
        <v>2514</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6"/>
      <c r="D2" s="1367" t="e">
        <f ca="1">SUMIF(INDIRECT("'"&amp;F2&amp;"'"&amp;"!A:A"),"承租人权益价值",INDIRECT("'"&amp;F2&amp;"'"&amp;"!c:c"))</f>
        <v>#REF!</v>
      </c>
      <c r="E2" s="2587" t="s">
        <v>2515</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1391</v>
      </c>
      <c r="B3" s="398" t="e">
        <f ca="1">IF(C2="——",C49,ROUND(B2*10000/D3,0))</f>
        <v>#DIV/0!</v>
      </c>
      <c r="C3" s="399" t="s">
        <v>2516</v>
      </c>
      <c r="D3" s="398">
        <f>IF(D1="",'数据-汇总表'!E3,SUMIF('数据-汇总表'!$C19:$C33,D1,'数据-汇总表'!$E19:$E33))</f>
        <v>222493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2517</v>
      </c>
      <c r="B4" s="401"/>
      <c r="C4" s="3165" t="s">
        <v>2518</v>
      </c>
      <c r="D4" s="3166"/>
      <c r="E4" s="3167" t="s">
        <v>2519</v>
      </c>
      <c r="F4" s="3168"/>
      <c r="G4" s="3165" t="s">
        <v>2520</v>
      </c>
      <c r="H4" s="3166"/>
      <c r="I4" s="3165" t="s">
        <v>2521</v>
      </c>
      <c r="J4" s="3166"/>
      <c r="K4" s="2596" t="s">
        <v>2522</v>
      </c>
      <c r="L4" s="1132"/>
      <c r="M4" s="1133"/>
      <c r="N4" s="1133"/>
      <c r="O4" s="1133"/>
      <c r="P4" s="3169" t="s">
        <v>2523</v>
      </c>
      <c r="Q4" s="3170"/>
      <c r="R4" s="3152" t="s">
        <v>2519</v>
      </c>
      <c r="S4" s="3153"/>
      <c r="T4" s="3152" t="s">
        <v>2520</v>
      </c>
      <c r="U4" s="3153"/>
      <c r="V4" s="3177" t="s">
        <v>2521</v>
      </c>
      <c r="W4" s="3177"/>
      <c r="X4" s="1814"/>
      <c r="Y4" s="3152" t="s">
        <v>2523</v>
      </c>
      <c r="Z4" s="3153"/>
      <c r="AA4" s="3147" t="s">
        <v>2519</v>
      </c>
      <c r="AB4" s="3147" t="s">
        <v>2520</v>
      </c>
      <c r="AC4" s="3147" t="s">
        <v>2521</v>
      </c>
    </row>
    <row r="5" spans="1:29" ht="15">
      <c r="A5" s="403"/>
      <c r="B5" s="404"/>
      <c r="C5" s="3218" t="s">
        <v>2524</v>
      </c>
      <c r="D5" s="3159"/>
      <c r="E5" s="3217" t="s">
        <v>2525</v>
      </c>
      <c r="F5" s="3157"/>
      <c r="G5" s="3218" t="s">
        <v>2526</v>
      </c>
      <c r="H5" s="3159"/>
      <c r="I5" s="3218" t="s">
        <v>2527</v>
      </c>
      <c r="J5" s="3159"/>
      <c r="K5" s="2597"/>
      <c r="L5" s="1132"/>
      <c r="M5" s="1133"/>
      <c r="N5" s="1133"/>
      <c r="O5" s="1133"/>
      <c r="P5" s="3171"/>
      <c r="Q5" s="3172"/>
      <c r="R5" s="3154"/>
      <c r="S5" s="3155"/>
      <c r="T5" s="3154"/>
      <c r="U5" s="3155"/>
      <c r="V5" s="3177"/>
      <c r="W5" s="3177"/>
      <c r="X5" s="1814"/>
      <c r="Y5" s="3154"/>
      <c r="Z5" s="3155"/>
      <c r="AA5" s="3148"/>
      <c r="AB5" s="3148"/>
      <c r="AC5" s="3148"/>
    </row>
    <row r="6" spans="1:29" ht="15.75" thickBot="1">
      <c r="A6" s="405"/>
      <c r="B6" s="406"/>
      <c r="C6" s="3160" t="s">
        <v>2528</v>
      </c>
      <c r="D6" s="3161"/>
      <c r="E6" s="3162" t="s">
        <v>2528</v>
      </c>
      <c r="F6" s="3163"/>
      <c r="G6" s="3160" t="s">
        <v>2528</v>
      </c>
      <c r="H6" s="3161"/>
      <c r="I6" s="3160" t="s">
        <v>2528</v>
      </c>
      <c r="J6" s="3161"/>
      <c r="K6" s="2597" t="s">
        <v>2529</v>
      </c>
      <c r="L6" s="1132"/>
      <c r="M6" s="1133"/>
      <c r="N6" s="1133"/>
      <c r="O6" s="1133"/>
      <c r="P6" s="3173"/>
      <c r="Q6" s="3174"/>
      <c r="R6" s="3154"/>
      <c r="S6" s="3155"/>
      <c r="T6" s="3175"/>
      <c r="U6" s="3176"/>
      <c r="V6" s="3177"/>
      <c r="W6" s="3177"/>
      <c r="X6" s="1814"/>
      <c r="Y6" s="3175"/>
      <c r="Z6" s="3176"/>
      <c r="AA6" s="3149"/>
      <c r="AB6" s="3149"/>
      <c r="AC6" s="3149"/>
    </row>
    <row r="7" spans="1:29" s="116" customFormat="1" ht="15.75" thickBot="1">
      <c r="A7" s="407" t="s">
        <v>2530</v>
      </c>
      <c r="B7" s="408"/>
      <c r="C7" s="409">
        <f>'数据-取费表'!B2</f>
        <v>42990</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150" t="s">
        <v>2531</v>
      </c>
      <c r="Q7" s="3178"/>
      <c r="R7" s="769" t="s">
        <v>23</v>
      </c>
      <c r="S7" s="770">
        <f t="shared" ref="S7:S15" si="0">F7</f>
        <v>0</v>
      </c>
      <c r="T7" s="769" t="s">
        <v>23</v>
      </c>
      <c r="U7" s="770">
        <f t="shared" ref="U7:U15" si="1">H7</f>
        <v>0</v>
      </c>
      <c r="V7" s="769" t="s">
        <v>23</v>
      </c>
      <c r="W7" s="770">
        <f t="shared" ref="W7:W15" si="2">J7</f>
        <v>0</v>
      </c>
      <c r="X7" s="771"/>
      <c r="Y7" s="3150" t="s">
        <v>2531</v>
      </c>
      <c r="Z7" s="3151"/>
      <c r="AA7" s="772" t="e">
        <f>D7/F7</f>
        <v>#DIV/0!</v>
      </c>
      <c r="AB7" s="772" t="e">
        <f>D7/H7</f>
        <v>#DIV/0!</v>
      </c>
      <c r="AC7" s="772" t="e">
        <f>D7/J7</f>
        <v>#DIV/0!</v>
      </c>
    </row>
    <row r="8" spans="1:29" s="116" customFormat="1" ht="15.75" thickBot="1">
      <c r="A8" s="407" t="s">
        <v>2532</v>
      </c>
      <c r="B8" s="408"/>
      <c r="C8" s="413" t="s">
        <v>2533</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150" t="s">
        <v>2534</v>
      </c>
      <c r="Q8" s="3151"/>
      <c r="R8" s="769" t="s">
        <v>23</v>
      </c>
      <c r="S8" s="770">
        <f t="shared" si="0"/>
        <v>0</v>
      </c>
      <c r="T8" s="769" t="s">
        <v>23</v>
      </c>
      <c r="U8" s="770">
        <f t="shared" si="1"/>
        <v>0</v>
      </c>
      <c r="V8" s="769" t="s">
        <v>23</v>
      </c>
      <c r="W8" s="770">
        <f t="shared" si="2"/>
        <v>0</v>
      </c>
      <c r="X8" s="771"/>
      <c r="Y8" s="3150" t="s">
        <v>2534</v>
      </c>
      <c r="Z8" s="3151"/>
      <c r="AA8" s="772" t="e">
        <f t="shared" ref="AA8:AA19" si="3">D8/F8</f>
        <v>#DIV/0!</v>
      </c>
      <c r="AB8" s="772" t="e">
        <f t="shared" ref="AB8:AB19" si="4">D8/H8</f>
        <v>#DIV/0!</v>
      </c>
      <c r="AC8" s="772" t="e">
        <f t="shared" ref="AC8:AC19" si="5">D8/J8</f>
        <v>#DIV/0!</v>
      </c>
    </row>
    <row r="9" spans="1:29" s="116" customFormat="1">
      <c r="A9" s="414" t="s">
        <v>2535</v>
      </c>
      <c r="B9" s="71" t="s">
        <v>2536</v>
      </c>
      <c r="C9" s="415"/>
      <c r="D9" s="134">
        <v>100</v>
      </c>
      <c r="E9" s="416"/>
      <c r="F9" s="417">
        <f>SUMIF(63:63,E9,64:64)-SUMIF(63:63,C9,64:64)+100</f>
        <v>100</v>
      </c>
      <c r="G9" s="418"/>
      <c r="H9" s="134">
        <f>SUMIF(63:63,G9,64:64)-SUMIF(63:63,C9,64:64)+100</f>
        <v>100</v>
      </c>
      <c r="I9" s="418"/>
      <c r="J9" s="134">
        <f>SUMIF(63:63,I9,64:64)-SUMIF(63:63,C9,64:64)+100</f>
        <v>100</v>
      </c>
      <c r="K9" s="2598"/>
      <c r="L9" s="1134"/>
      <c r="M9" s="1135"/>
      <c r="N9" s="1135"/>
      <c r="O9" s="1135"/>
      <c r="P9" s="3188"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88"/>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2540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88"/>
      <c r="Q11" s="1796" t="str">
        <f t="shared" si="6"/>
        <v>容积率</v>
      </c>
      <c r="R11" s="769" t="s">
        <v>21</v>
      </c>
      <c r="S11" s="770" t="e">
        <f t="shared" si="0"/>
        <v>#N/A</v>
      </c>
      <c r="T11" s="769" t="s">
        <v>21</v>
      </c>
      <c r="U11" s="770" t="e">
        <f t="shared" si="1"/>
        <v>#N/A</v>
      </c>
      <c r="V11" s="769" t="s">
        <v>21</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88"/>
      <c r="Q12" s="1796">
        <f t="shared" si="6"/>
        <v>111</v>
      </c>
      <c r="R12" s="769" t="s">
        <v>21</v>
      </c>
      <c r="S12" s="770">
        <f t="shared" si="0"/>
        <v>100</v>
      </c>
      <c r="T12" s="769" t="s">
        <v>21</v>
      </c>
      <c r="U12" s="770">
        <f t="shared" si="1"/>
        <v>100</v>
      </c>
      <c r="V12" s="769" t="s">
        <v>21</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88"/>
      <c r="Q13" s="1796">
        <f t="shared" si="6"/>
        <v>111</v>
      </c>
      <c r="R13" s="769" t="s">
        <v>21</v>
      </c>
      <c r="S13" s="770">
        <f t="shared" si="0"/>
        <v>100</v>
      </c>
      <c r="T13" s="769" t="s">
        <v>21</v>
      </c>
      <c r="U13" s="770">
        <f t="shared" si="1"/>
        <v>100</v>
      </c>
      <c r="V13" s="769" t="s">
        <v>21</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88"/>
      <c r="Q14" s="1796">
        <f t="shared" si="6"/>
        <v>111</v>
      </c>
      <c r="R14" s="769" t="s">
        <v>21</v>
      </c>
      <c r="S14" s="770">
        <f t="shared" si="0"/>
        <v>100</v>
      </c>
      <c r="T14" s="769" t="s">
        <v>21</v>
      </c>
      <c r="U14" s="770">
        <f t="shared" si="1"/>
        <v>100</v>
      </c>
      <c r="V14" s="769" t="s">
        <v>21</v>
      </c>
      <c r="W14" s="770">
        <f t="shared" si="2"/>
        <v>100</v>
      </c>
      <c r="X14" s="771"/>
      <c r="Y14" s="3025"/>
      <c r="Z14" s="55">
        <f t="shared" si="7"/>
        <v>111</v>
      </c>
      <c r="AA14" s="772">
        <f t="shared" si="3"/>
        <v>1</v>
      </c>
      <c r="AB14" s="772">
        <f t="shared" si="4"/>
        <v>1</v>
      </c>
      <c r="AC14" s="772">
        <f t="shared" si="5"/>
        <v>1</v>
      </c>
    </row>
    <row r="15" spans="1:29" ht="99.75">
      <c r="A15" s="439" t="s">
        <v>2541</v>
      </c>
      <c r="B15" s="69" t="s">
        <v>2071</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5" t="s">
        <v>2542</v>
      </c>
      <c r="Q15" s="1811" t="str">
        <f t="shared" si="6"/>
        <v>居住社区成熟度</v>
      </c>
      <c r="R15" s="773" t="s">
        <v>21</v>
      </c>
      <c r="S15" s="774">
        <f t="shared" si="0"/>
        <v>100</v>
      </c>
      <c r="T15" s="773" t="s">
        <v>21</v>
      </c>
      <c r="U15" s="774">
        <f t="shared" si="1"/>
        <v>100</v>
      </c>
      <c r="V15" s="773" t="s">
        <v>21</v>
      </c>
      <c r="W15" s="774">
        <f t="shared" si="2"/>
        <v>100</v>
      </c>
      <c r="X15" s="1814"/>
      <c r="Y15" s="3179" t="s">
        <v>2542</v>
      </c>
      <c r="Z15" s="1815" t="str">
        <f t="shared" si="7"/>
        <v>居住社区成熟度</v>
      </c>
      <c r="AA15" s="1812">
        <f t="shared" si="3"/>
        <v>1</v>
      </c>
      <c r="AB15" s="1812">
        <f t="shared" si="4"/>
        <v>1</v>
      </c>
      <c r="AC15" s="1812">
        <f t="shared" si="5"/>
        <v>1</v>
      </c>
    </row>
    <row r="16" spans="1:29" ht="15">
      <c r="A16" s="427"/>
      <c r="B16" s="445"/>
      <c r="C16" s="446"/>
      <c r="D16" s="447"/>
      <c r="E16" s="2604"/>
      <c r="F16" s="447"/>
      <c r="G16" s="2605"/>
      <c r="H16" s="449"/>
      <c r="I16" s="2605"/>
      <c r="J16" s="447"/>
      <c r="K16" s="2606"/>
      <c r="L16" s="1142"/>
      <c r="M16" s="1133"/>
      <c r="N16" s="1133"/>
      <c r="O16" s="1133"/>
      <c r="P16" s="3226"/>
      <c r="Q16" s="1811"/>
      <c r="R16" s="773"/>
      <c r="S16" s="774"/>
      <c r="T16" s="773"/>
      <c r="U16" s="774"/>
      <c r="V16" s="773"/>
      <c r="W16" s="774"/>
      <c r="X16" s="1814"/>
      <c r="Y16" s="3180"/>
      <c r="Z16" s="1815"/>
      <c r="AA16" s="1812">
        <v>1</v>
      </c>
      <c r="AB16" s="1812">
        <v>1</v>
      </c>
      <c r="AC16" s="1812">
        <v>1</v>
      </c>
    </row>
    <row r="17" spans="1:29" ht="85.5">
      <c r="A17" s="427"/>
      <c r="B17" s="450" t="s">
        <v>2083</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26"/>
      <c r="Q17" s="1811" t="str">
        <f>B17</f>
        <v>交通便捷度</v>
      </c>
      <c r="R17" s="773" t="s">
        <v>21</v>
      </c>
      <c r="S17" s="774">
        <f>F17</f>
        <v>100</v>
      </c>
      <c r="T17" s="773" t="s">
        <v>21</v>
      </c>
      <c r="U17" s="774">
        <f>H17</f>
        <v>100</v>
      </c>
      <c r="V17" s="773" t="s">
        <v>21</v>
      </c>
      <c r="W17" s="774">
        <f>J17</f>
        <v>100</v>
      </c>
      <c r="X17" s="1814"/>
      <c r="Y17" s="3180"/>
      <c r="Z17" s="1815" t="str">
        <f>Q17</f>
        <v>交通便捷度</v>
      </c>
      <c r="AA17" s="1812">
        <f t="shared" si="3"/>
        <v>1</v>
      </c>
      <c r="AB17" s="1812">
        <f t="shared" si="4"/>
        <v>1</v>
      </c>
      <c r="AC17" s="1812">
        <f t="shared" si="5"/>
        <v>1</v>
      </c>
    </row>
    <row r="18" spans="1:29" ht="15">
      <c r="A18" s="427"/>
      <c r="B18" s="455"/>
      <c r="C18" s="2608"/>
      <c r="D18" s="449"/>
      <c r="E18" s="2609"/>
      <c r="F18" s="449"/>
      <c r="G18" s="2610"/>
      <c r="H18" s="447"/>
      <c r="I18" s="2610"/>
      <c r="J18" s="447"/>
      <c r="K18" s="2606"/>
      <c r="L18" s="1142"/>
      <c r="M18" s="1133"/>
      <c r="N18" s="1133"/>
      <c r="O18" s="1133"/>
      <c r="P18" s="3226"/>
      <c r="Q18" s="1811"/>
      <c r="R18" s="773"/>
      <c r="S18" s="774"/>
      <c r="T18" s="773"/>
      <c r="U18" s="774"/>
      <c r="V18" s="773"/>
      <c r="W18" s="774"/>
      <c r="X18" s="1814"/>
      <c r="Y18" s="3180"/>
      <c r="Z18" s="1815"/>
      <c r="AA18" s="1812">
        <v>1</v>
      </c>
      <c r="AB18" s="1812">
        <v>1</v>
      </c>
      <c r="AC18" s="1812">
        <v>1</v>
      </c>
    </row>
    <row r="19" spans="1:29" ht="42.75">
      <c r="A19" s="427"/>
      <c r="B19" s="450" t="s">
        <v>2081</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26"/>
      <c r="Q19" s="1811" t="str">
        <f>B19</f>
        <v>公共配套设施</v>
      </c>
      <c r="R19" s="773" t="s">
        <v>21</v>
      </c>
      <c r="S19" s="774">
        <f>F19</f>
        <v>100</v>
      </c>
      <c r="T19" s="773" t="s">
        <v>21</v>
      </c>
      <c r="U19" s="774">
        <f>H19</f>
        <v>100</v>
      </c>
      <c r="V19" s="773" t="s">
        <v>21</v>
      </c>
      <c r="W19" s="774">
        <f>J19</f>
        <v>100</v>
      </c>
      <c r="X19" s="1814"/>
      <c r="Y19" s="3180"/>
      <c r="Z19" s="1815" t="str">
        <f>Q19</f>
        <v>公共配套设施</v>
      </c>
      <c r="AA19" s="1812">
        <f t="shared" si="3"/>
        <v>1</v>
      </c>
      <c r="AB19" s="1812">
        <f t="shared" si="4"/>
        <v>1</v>
      </c>
      <c r="AC19" s="1812">
        <f t="shared" si="5"/>
        <v>1</v>
      </c>
    </row>
    <row r="20" spans="1:29" ht="15">
      <c r="A20" s="427"/>
      <c r="B20" s="455"/>
      <c r="C20" s="446"/>
      <c r="D20" s="447"/>
      <c r="E20" s="2604"/>
      <c r="F20" s="447"/>
      <c r="G20" s="2605"/>
      <c r="H20" s="447"/>
      <c r="I20" s="2605"/>
      <c r="J20" s="447"/>
      <c r="K20" s="2606"/>
      <c r="L20" s="1142"/>
      <c r="M20" s="1133"/>
      <c r="N20" s="1133"/>
      <c r="O20" s="1133"/>
      <c r="P20" s="3226"/>
      <c r="Q20" s="1811"/>
      <c r="R20" s="773"/>
      <c r="S20" s="774"/>
      <c r="T20" s="773"/>
      <c r="U20" s="774"/>
      <c r="V20" s="773"/>
      <c r="W20" s="774"/>
      <c r="X20" s="1814"/>
      <c r="Y20" s="3180"/>
      <c r="Z20" s="1815"/>
      <c r="AA20" s="1812">
        <v>1</v>
      </c>
      <c r="AB20" s="1812">
        <v>1</v>
      </c>
      <c r="AC20" s="1812">
        <v>1</v>
      </c>
    </row>
    <row r="21" spans="1:29" ht="28.5">
      <c r="A21" s="427"/>
      <c r="B21" s="1386" t="s">
        <v>2084</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6"/>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7"/>
      <c r="B22" s="1386"/>
      <c r="C22" s="2608"/>
      <c r="D22" s="447"/>
      <c r="E22" s="446"/>
      <c r="F22" s="447"/>
      <c r="G22" s="2611"/>
      <c r="H22" s="447"/>
      <c r="I22" s="446"/>
      <c r="J22" s="447"/>
      <c r="K22" s="2612"/>
      <c r="L22" s="1142"/>
      <c r="M22" s="1133"/>
      <c r="N22" s="1133"/>
      <c r="O22" s="1133"/>
      <c r="P22" s="3226"/>
      <c r="Q22" s="1811"/>
      <c r="R22" s="773"/>
      <c r="S22" s="774"/>
      <c r="T22" s="773"/>
      <c r="U22" s="774"/>
      <c r="V22" s="773"/>
      <c r="W22" s="774"/>
      <c r="X22" s="1814"/>
      <c r="Y22" s="3180"/>
      <c r="Z22" s="1815"/>
      <c r="AA22" s="1812">
        <v>1</v>
      </c>
      <c r="AB22" s="1812">
        <v>1</v>
      </c>
      <c r="AC22" s="1812">
        <v>1</v>
      </c>
    </row>
    <row r="23" spans="1:29" ht="57">
      <c r="A23" s="427"/>
      <c r="B23" s="450" t="s">
        <v>2088</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6"/>
      <c r="Q23" s="1811" t="str">
        <f>B23</f>
        <v>自然及人文环境</v>
      </c>
      <c r="R23" s="773" t="s">
        <v>21</v>
      </c>
      <c r="S23" s="774">
        <f>F23</f>
        <v>100</v>
      </c>
      <c r="T23" s="773" t="s">
        <v>21</v>
      </c>
      <c r="U23" s="774">
        <f>H23</f>
        <v>100</v>
      </c>
      <c r="V23" s="773" t="s">
        <v>21</v>
      </c>
      <c r="W23" s="774">
        <f>J23</f>
        <v>100</v>
      </c>
      <c r="X23" s="1814"/>
      <c r="Y23" s="3180"/>
      <c r="Z23" s="1815" t="str">
        <f>Q23</f>
        <v>自然及人文环境</v>
      </c>
      <c r="AA23" s="1812">
        <f>D23/F23</f>
        <v>1</v>
      </c>
      <c r="AB23" s="1812">
        <f>D23/H23</f>
        <v>1</v>
      </c>
      <c r="AC23" s="1812">
        <f>D23/J23</f>
        <v>1</v>
      </c>
    </row>
    <row r="24" spans="1:29" ht="15">
      <c r="A24" s="427"/>
      <c r="B24" s="455"/>
      <c r="C24" s="446"/>
      <c r="D24" s="447"/>
      <c r="E24" s="2604"/>
      <c r="F24" s="447"/>
      <c r="G24" s="2605"/>
      <c r="H24" s="447"/>
      <c r="I24" s="2605"/>
      <c r="J24" s="447"/>
      <c r="K24" s="2606"/>
      <c r="L24" s="1142"/>
      <c r="M24" s="1133"/>
      <c r="N24" s="1133"/>
      <c r="O24" s="1133"/>
      <c r="P24" s="3226"/>
      <c r="Q24" s="1811"/>
      <c r="R24" s="773"/>
      <c r="S24" s="774"/>
      <c r="T24" s="773"/>
      <c r="U24" s="774"/>
      <c r="V24" s="773"/>
      <c r="W24" s="774"/>
      <c r="X24" s="1814"/>
      <c r="Y24" s="3180"/>
      <c r="Z24" s="1815"/>
      <c r="AA24" s="1812">
        <v>1</v>
      </c>
      <c r="AB24" s="1812">
        <v>1</v>
      </c>
      <c r="AC24" s="1812">
        <v>1</v>
      </c>
    </row>
    <row r="25" spans="1:29" ht="15">
      <c r="A25" s="427"/>
      <c r="B25" s="421" t="s">
        <v>2543</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26"/>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0"/>
      <c r="Z25" s="1815" t="str">
        <f>Q25</f>
        <v>楼层-1</v>
      </c>
      <c r="AA25" s="1812">
        <f t="shared" ref="AA25:AA46" si="15">D25/F25</f>
        <v>1</v>
      </c>
      <c r="AB25" s="1812">
        <f t="shared" ref="AB25:AB46" si="16">D25/H25</f>
        <v>1</v>
      </c>
      <c r="AC25" s="1812">
        <f t="shared" ref="AC25:AC46" si="17">D25/J25</f>
        <v>1</v>
      </c>
    </row>
    <row r="26" spans="1:29" ht="15">
      <c r="A26" s="427"/>
      <c r="B26" s="421" t="s">
        <v>2544</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26"/>
      <c r="Q26" s="1811" t="str">
        <f t="shared" si="11"/>
        <v>朝向</v>
      </c>
      <c r="R26" s="773" t="s">
        <v>21</v>
      </c>
      <c r="S26" s="774">
        <f t="shared" si="12"/>
        <v>100</v>
      </c>
      <c r="T26" s="773" t="s">
        <v>21</v>
      </c>
      <c r="U26" s="774">
        <f t="shared" si="13"/>
        <v>100</v>
      </c>
      <c r="V26" s="773" t="s">
        <v>21</v>
      </c>
      <c r="W26" s="774">
        <f t="shared" si="14"/>
        <v>100</v>
      </c>
      <c r="X26" s="1814"/>
      <c r="Y26" s="3180"/>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26"/>
      <c r="Q27" s="1796">
        <f t="shared" si="11"/>
        <v>111</v>
      </c>
      <c r="R27" s="769" t="s">
        <v>21</v>
      </c>
      <c r="S27" s="770">
        <f t="shared" si="12"/>
        <v>100</v>
      </c>
      <c r="T27" s="769" t="s">
        <v>21</v>
      </c>
      <c r="U27" s="770">
        <f t="shared" si="13"/>
        <v>100</v>
      </c>
      <c r="V27" s="769" t="s">
        <v>21</v>
      </c>
      <c r="W27" s="770">
        <f t="shared" si="14"/>
        <v>100</v>
      </c>
      <c r="X27" s="771"/>
      <c r="Y27" s="3180"/>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26"/>
      <c r="Q28" s="1811">
        <f t="shared" si="11"/>
        <v>111</v>
      </c>
      <c r="R28" s="773" t="s">
        <v>21</v>
      </c>
      <c r="S28" s="774">
        <f t="shared" si="12"/>
        <v>100</v>
      </c>
      <c r="T28" s="773" t="s">
        <v>21</v>
      </c>
      <c r="U28" s="774">
        <f t="shared" si="13"/>
        <v>100</v>
      </c>
      <c r="V28" s="773" t="s">
        <v>21</v>
      </c>
      <c r="W28" s="774">
        <f t="shared" si="14"/>
        <v>100</v>
      </c>
      <c r="X28" s="1814"/>
      <c r="Y28" s="3180"/>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26"/>
      <c r="Q29" s="1811">
        <f t="shared" si="11"/>
        <v>111</v>
      </c>
      <c r="R29" s="773" t="s">
        <v>21</v>
      </c>
      <c r="S29" s="774">
        <f t="shared" si="12"/>
        <v>100</v>
      </c>
      <c r="T29" s="773" t="s">
        <v>21</v>
      </c>
      <c r="U29" s="774">
        <f t="shared" si="13"/>
        <v>100</v>
      </c>
      <c r="V29" s="773" t="s">
        <v>21</v>
      </c>
      <c r="W29" s="774">
        <f t="shared" si="14"/>
        <v>100</v>
      </c>
      <c r="X29" s="1814"/>
      <c r="Y29" s="3180"/>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26"/>
      <c r="Q30" s="1811">
        <f t="shared" si="11"/>
        <v>111</v>
      </c>
      <c r="R30" s="773" t="s">
        <v>21</v>
      </c>
      <c r="S30" s="774">
        <f t="shared" si="12"/>
        <v>100</v>
      </c>
      <c r="T30" s="773" t="s">
        <v>21</v>
      </c>
      <c r="U30" s="774">
        <f t="shared" si="13"/>
        <v>100</v>
      </c>
      <c r="V30" s="773" t="s">
        <v>21</v>
      </c>
      <c r="W30" s="774">
        <f t="shared" si="14"/>
        <v>100</v>
      </c>
      <c r="X30" s="1814"/>
      <c r="Y30" s="3180"/>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26"/>
      <c r="Q31" s="1811">
        <f t="shared" si="11"/>
        <v>111</v>
      </c>
      <c r="R31" s="773" t="s">
        <v>21</v>
      </c>
      <c r="S31" s="774">
        <f t="shared" si="12"/>
        <v>100</v>
      </c>
      <c r="T31" s="773" t="s">
        <v>21</v>
      </c>
      <c r="U31" s="774">
        <f t="shared" si="13"/>
        <v>100</v>
      </c>
      <c r="V31" s="773" t="s">
        <v>21</v>
      </c>
      <c r="W31" s="774">
        <f t="shared" si="14"/>
        <v>100</v>
      </c>
      <c r="X31" s="1814"/>
      <c r="Y31" s="3180"/>
      <c r="Z31" s="1815">
        <f t="shared" si="18"/>
        <v>111</v>
      </c>
      <c r="AA31" s="1812">
        <f t="shared" si="15"/>
        <v>1</v>
      </c>
      <c r="AB31" s="1812">
        <f t="shared" si="16"/>
        <v>1</v>
      </c>
      <c r="AC31" s="1812">
        <f t="shared" si="17"/>
        <v>1</v>
      </c>
    </row>
    <row r="32" spans="1:29" ht="15">
      <c r="A32" s="439" t="s">
        <v>2545</v>
      </c>
      <c r="B32" s="71" t="s">
        <v>2546</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221" t="s">
        <v>2547</v>
      </c>
      <c r="Q32" s="1811" t="str">
        <f t="shared" si="11"/>
        <v>建筑类型</v>
      </c>
      <c r="R32" s="773" t="s">
        <v>21</v>
      </c>
      <c r="S32" s="774">
        <f t="shared" si="12"/>
        <v>100</v>
      </c>
      <c r="T32" s="773" t="s">
        <v>21</v>
      </c>
      <c r="U32" s="774">
        <f t="shared" si="13"/>
        <v>100</v>
      </c>
      <c r="V32" s="773" t="s">
        <v>21</v>
      </c>
      <c r="W32" s="774">
        <f t="shared" si="14"/>
        <v>100</v>
      </c>
      <c r="X32" s="1814"/>
      <c r="Y32" s="3182" t="s">
        <v>2547</v>
      </c>
      <c r="Z32" s="1815" t="str">
        <f t="shared" si="18"/>
        <v>建筑类型</v>
      </c>
      <c r="AA32" s="1812">
        <f t="shared" si="15"/>
        <v>1</v>
      </c>
      <c r="AB32" s="1812">
        <f t="shared" si="16"/>
        <v>1</v>
      </c>
      <c r="AC32" s="1812">
        <f t="shared" si="17"/>
        <v>1</v>
      </c>
    </row>
    <row r="33" spans="1:29" s="470" customFormat="1" ht="15">
      <c r="A33" s="467"/>
      <c r="B33" s="421" t="s">
        <v>2548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40"/>
      <c r="M33" s="1143"/>
      <c r="N33" s="1143"/>
      <c r="O33" s="1143"/>
      <c r="P33" s="3222"/>
      <c r="Q33" s="775" t="str">
        <f t="shared" si="11"/>
        <v>项目建筑规模</v>
      </c>
      <c r="R33" s="776" t="s">
        <v>21</v>
      </c>
      <c r="S33" s="777" t="e">
        <f t="shared" si="12"/>
        <v>#N/A</v>
      </c>
      <c r="T33" s="776" t="s">
        <v>21</v>
      </c>
      <c r="U33" s="777" t="e">
        <f t="shared" si="13"/>
        <v>#N/A</v>
      </c>
      <c r="V33" s="776" t="s">
        <v>21</v>
      </c>
      <c r="W33" s="777" t="e">
        <f t="shared" si="14"/>
        <v>#N/A</v>
      </c>
      <c r="X33" s="778"/>
      <c r="Y33" s="3182"/>
      <c r="Z33" s="779" t="str">
        <f t="shared" si="18"/>
        <v>项目建筑规模</v>
      </c>
      <c r="AA33" s="1812" t="e">
        <f t="shared" si="15"/>
        <v>#N/A</v>
      </c>
      <c r="AB33" s="1812" t="e">
        <f t="shared" si="16"/>
        <v>#N/A</v>
      </c>
      <c r="AC33" s="1812" t="e">
        <f t="shared" si="17"/>
        <v>#N/A</v>
      </c>
    </row>
    <row r="34" spans="1:29" ht="15">
      <c r="A34" s="471"/>
      <c r="B34" s="421" t="s">
        <v>2549</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222"/>
      <c r="Q34" s="1811" t="str">
        <f t="shared" si="11"/>
        <v>建筑结构</v>
      </c>
      <c r="R34" s="773" t="s">
        <v>21</v>
      </c>
      <c r="S34" s="774">
        <f t="shared" si="12"/>
        <v>100</v>
      </c>
      <c r="T34" s="773" t="s">
        <v>21</v>
      </c>
      <c r="U34" s="774">
        <f t="shared" si="13"/>
        <v>100</v>
      </c>
      <c r="V34" s="773" t="s">
        <v>21</v>
      </c>
      <c r="W34" s="774">
        <f t="shared" si="14"/>
        <v>100</v>
      </c>
      <c r="X34" s="1814"/>
      <c r="Y34" s="3182"/>
      <c r="Z34" s="1815" t="str">
        <f t="shared" si="18"/>
        <v>建筑结构</v>
      </c>
      <c r="AA34" s="1812">
        <f t="shared" si="15"/>
        <v>1</v>
      </c>
      <c r="AB34" s="1812">
        <f t="shared" si="16"/>
        <v>1</v>
      </c>
      <c r="AC34" s="1812">
        <f t="shared" si="17"/>
        <v>1</v>
      </c>
    </row>
    <row r="35" spans="1:29" ht="15">
      <c r="A35" s="471"/>
      <c r="B35" s="421" t="s">
        <v>2550</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222"/>
      <c r="Q35" s="1811" t="str">
        <f t="shared" si="11"/>
        <v>建筑品质</v>
      </c>
      <c r="R35" s="773" t="s">
        <v>21</v>
      </c>
      <c r="S35" s="774">
        <f t="shared" si="12"/>
        <v>100</v>
      </c>
      <c r="T35" s="773" t="s">
        <v>21</v>
      </c>
      <c r="U35" s="774">
        <f t="shared" si="13"/>
        <v>100</v>
      </c>
      <c r="V35" s="773" t="s">
        <v>21</v>
      </c>
      <c r="W35" s="774">
        <f t="shared" si="14"/>
        <v>100</v>
      </c>
      <c r="X35" s="1814"/>
      <c r="Y35" s="3182"/>
      <c r="Z35" s="1815" t="str">
        <f t="shared" si="18"/>
        <v>建筑品质</v>
      </c>
      <c r="AA35" s="1812">
        <f t="shared" si="15"/>
        <v>1</v>
      </c>
      <c r="AB35" s="1812">
        <f t="shared" si="16"/>
        <v>1</v>
      </c>
      <c r="AC35" s="1812">
        <f t="shared" si="17"/>
        <v>1</v>
      </c>
    </row>
    <row r="36" spans="1:29" ht="15">
      <c r="A36" s="471"/>
      <c r="B36" s="421" t="s">
        <v>2551</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222"/>
      <c r="Q36" s="1811" t="str">
        <f t="shared" si="11"/>
        <v>公共部分装修</v>
      </c>
      <c r="R36" s="773" t="s">
        <v>21</v>
      </c>
      <c r="S36" s="774">
        <f t="shared" si="12"/>
        <v>100</v>
      </c>
      <c r="T36" s="773" t="s">
        <v>21</v>
      </c>
      <c r="U36" s="774">
        <f t="shared" si="13"/>
        <v>100</v>
      </c>
      <c r="V36" s="773" t="s">
        <v>21</v>
      </c>
      <c r="W36" s="774">
        <f t="shared" si="14"/>
        <v>100</v>
      </c>
      <c r="X36" s="1814"/>
      <c r="Y36" s="3182"/>
      <c r="Z36" s="1815" t="str">
        <f t="shared" si="18"/>
        <v>公共部分装修</v>
      </c>
      <c r="AA36" s="1812">
        <f t="shared" si="15"/>
        <v>1</v>
      </c>
      <c r="AB36" s="1812">
        <f t="shared" si="16"/>
        <v>1</v>
      </c>
      <c r="AC36" s="1812">
        <f t="shared" si="17"/>
        <v>1</v>
      </c>
    </row>
    <row r="37" spans="1:29" s="116" customFormat="1" ht="15">
      <c r="A37" s="472"/>
      <c r="B37" s="421" t="s">
        <v>2552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2"/>
      <c r="Q37" s="1796" t="str">
        <f t="shared" si="11"/>
        <v>成新度</v>
      </c>
      <c r="R37" s="769" t="s">
        <v>21</v>
      </c>
      <c r="S37" s="770" t="e">
        <f t="shared" si="12"/>
        <v>#N/A</v>
      </c>
      <c r="T37" s="769" t="s">
        <v>21</v>
      </c>
      <c r="U37" s="770" t="e">
        <f t="shared" si="13"/>
        <v>#N/A</v>
      </c>
      <c r="V37" s="769" t="s">
        <v>21</v>
      </c>
      <c r="W37" s="770" t="e">
        <f t="shared" si="14"/>
        <v>#N/A</v>
      </c>
      <c r="X37" s="771"/>
      <c r="Y37" s="3182"/>
      <c r="Z37" s="55" t="str">
        <f t="shared" si="18"/>
        <v>成新度</v>
      </c>
      <c r="AA37" s="772" t="e">
        <f t="shared" si="15"/>
        <v>#N/A</v>
      </c>
      <c r="AB37" s="772" t="e">
        <f t="shared" si="16"/>
        <v>#N/A</v>
      </c>
      <c r="AC37" s="772" t="e">
        <f t="shared" si="17"/>
        <v>#N/A</v>
      </c>
    </row>
    <row r="38" spans="1:29" ht="15">
      <c r="A38" s="471"/>
      <c r="B38" s="421" t="s">
        <v>2553</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222" t="s">
        <v>2547</v>
      </c>
      <c r="Q38" s="1811" t="str">
        <f t="shared" si="11"/>
        <v>物业管理</v>
      </c>
      <c r="R38" s="773" t="s">
        <v>21</v>
      </c>
      <c r="S38" s="774">
        <f t="shared" si="12"/>
        <v>100</v>
      </c>
      <c r="T38" s="773" t="s">
        <v>21</v>
      </c>
      <c r="U38" s="774">
        <f t="shared" si="13"/>
        <v>100</v>
      </c>
      <c r="V38" s="773" t="s">
        <v>21</v>
      </c>
      <c r="W38" s="774">
        <f t="shared" si="14"/>
        <v>100</v>
      </c>
      <c r="X38" s="1814"/>
      <c r="Y38" s="3182" t="s">
        <v>2547</v>
      </c>
      <c r="Z38" s="1815" t="str">
        <f t="shared" si="18"/>
        <v>物业管理</v>
      </c>
      <c r="AA38" s="1812">
        <f t="shared" si="15"/>
        <v>1</v>
      </c>
      <c r="AB38" s="1812">
        <f t="shared" si="16"/>
        <v>1</v>
      </c>
      <c r="AC38" s="1812">
        <f t="shared" si="17"/>
        <v>1</v>
      </c>
    </row>
    <row r="39" spans="1:29" ht="15">
      <c r="A39" s="471"/>
      <c r="B39" s="421" t="s">
        <v>2554</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222"/>
      <c r="Q39" s="1811" t="str">
        <f t="shared" si="11"/>
        <v>市政基础设施</v>
      </c>
      <c r="R39" s="773" t="s">
        <v>21</v>
      </c>
      <c r="S39" s="774">
        <f t="shared" si="12"/>
        <v>100</v>
      </c>
      <c r="T39" s="773" t="s">
        <v>21</v>
      </c>
      <c r="U39" s="774">
        <f t="shared" si="13"/>
        <v>100</v>
      </c>
      <c r="V39" s="773" t="s">
        <v>21</v>
      </c>
      <c r="W39" s="774">
        <f t="shared" si="14"/>
        <v>100</v>
      </c>
      <c r="X39" s="1814"/>
      <c r="Y39" s="3182"/>
      <c r="Z39" s="1815" t="str">
        <f t="shared" si="18"/>
        <v>市政基础设施</v>
      </c>
      <c r="AA39" s="1812">
        <f t="shared" si="15"/>
        <v>1</v>
      </c>
      <c r="AB39" s="1812">
        <f t="shared" si="16"/>
        <v>1</v>
      </c>
      <c r="AC39" s="1812">
        <f t="shared" si="17"/>
        <v>1</v>
      </c>
    </row>
    <row r="40" spans="1:29" ht="15">
      <c r="A40" s="471"/>
      <c r="B40" s="421" t="s">
        <v>2555</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222"/>
      <c r="Q40" s="1811" t="str">
        <f t="shared" si="11"/>
        <v>房型</v>
      </c>
      <c r="R40" s="773" t="s">
        <v>21</v>
      </c>
      <c r="S40" s="774">
        <f t="shared" si="12"/>
        <v>100</v>
      </c>
      <c r="T40" s="773" t="s">
        <v>21</v>
      </c>
      <c r="U40" s="774">
        <f t="shared" si="13"/>
        <v>100</v>
      </c>
      <c r="V40" s="773" t="s">
        <v>21</v>
      </c>
      <c r="W40" s="774">
        <f t="shared" si="14"/>
        <v>100</v>
      </c>
      <c r="X40" s="1814"/>
      <c r="Y40" s="3182"/>
      <c r="Z40" s="1815" t="str">
        <f t="shared" si="18"/>
        <v>房型</v>
      </c>
      <c r="AA40" s="1812">
        <f t="shared" si="15"/>
        <v>1</v>
      </c>
      <c r="AB40" s="1812">
        <f t="shared" si="16"/>
        <v>1</v>
      </c>
      <c r="AC40" s="1812">
        <f t="shared" si="17"/>
        <v>1</v>
      </c>
    </row>
    <row r="41" spans="1:29" s="470" customFormat="1" ht="28.5">
      <c r="A41" s="467"/>
      <c r="B41" s="421" t="s">
        <v>2556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40"/>
      <c r="M41" s="1143"/>
      <c r="N41" s="1143"/>
      <c r="O41" s="1143"/>
      <c r="P41" s="3222"/>
      <c r="Q41" s="775" t="str">
        <f t="shared" si="11"/>
        <v>单套/主力户型建筑面积</v>
      </c>
      <c r="R41" s="776" t="s">
        <v>21</v>
      </c>
      <c r="S41" s="777">
        <f t="shared" si="12"/>
        <v>100</v>
      </c>
      <c r="T41" s="776" t="s">
        <v>21</v>
      </c>
      <c r="U41" s="777">
        <f t="shared" si="13"/>
        <v>100</v>
      </c>
      <c r="V41" s="776" t="s">
        <v>21</v>
      </c>
      <c r="W41" s="777">
        <f t="shared" si="14"/>
        <v>100</v>
      </c>
      <c r="X41" s="778"/>
      <c r="Y41" s="3182"/>
      <c r="Z41" s="779" t="str">
        <f t="shared" si="18"/>
        <v>单套/主力户型建筑面积</v>
      </c>
      <c r="AA41" s="1812">
        <f t="shared" si="15"/>
        <v>1</v>
      </c>
      <c r="AB41" s="1812">
        <f t="shared" si="16"/>
        <v>1</v>
      </c>
      <c r="AC41" s="1812">
        <f t="shared" si="17"/>
        <v>1</v>
      </c>
    </row>
    <row r="42" spans="1:29" ht="15">
      <c r="A42" s="471"/>
      <c r="B42" s="421" t="s">
        <v>2557</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222"/>
      <c r="Q42" s="1811" t="str">
        <f t="shared" si="11"/>
        <v>内部装修</v>
      </c>
      <c r="R42" s="773" t="s">
        <v>21</v>
      </c>
      <c r="S42" s="774">
        <f t="shared" si="12"/>
        <v>100</v>
      </c>
      <c r="T42" s="773" t="s">
        <v>21</v>
      </c>
      <c r="U42" s="774">
        <f t="shared" si="13"/>
        <v>100</v>
      </c>
      <c r="V42" s="773" t="s">
        <v>21</v>
      </c>
      <c r="W42" s="774">
        <f t="shared" si="14"/>
        <v>100</v>
      </c>
      <c r="X42" s="1814"/>
      <c r="Y42" s="3182"/>
      <c r="Z42" s="1815" t="str">
        <f t="shared" si="18"/>
        <v>内部装修</v>
      </c>
      <c r="AA42" s="1812">
        <f t="shared" si="15"/>
        <v>1</v>
      </c>
      <c r="AB42" s="1812">
        <f t="shared" si="16"/>
        <v>1</v>
      </c>
      <c r="AC42" s="1812">
        <f t="shared" si="17"/>
        <v>1</v>
      </c>
    </row>
    <row r="43" spans="1:29" ht="15">
      <c r="A43" s="471"/>
      <c r="B43" s="421" t="s">
        <v>2558</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222"/>
      <c r="Q43" s="1811" t="str">
        <f t="shared" si="11"/>
        <v>内部装修维护情况</v>
      </c>
      <c r="R43" s="773" t="s">
        <v>21</v>
      </c>
      <c r="S43" s="774">
        <f t="shared" si="12"/>
        <v>100</v>
      </c>
      <c r="T43" s="773" t="s">
        <v>21</v>
      </c>
      <c r="U43" s="774">
        <f t="shared" si="13"/>
        <v>100</v>
      </c>
      <c r="V43" s="773" t="s">
        <v>21</v>
      </c>
      <c r="W43" s="774">
        <f t="shared" si="14"/>
        <v>100</v>
      </c>
      <c r="X43" s="1814"/>
      <c r="Y43" s="3182"/>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22"/>
      <c r="Q44" s="1796">
        <f t="shared" si="11"/>
        <v>111</v>
      </c>
      <c r="R44" s="769" t="s">
        <v>21</v>
      </c>
      <c r="S44" s="770">
        <f t="shared" si="12"/>
        <v>100</v>
      </c>
      <c r="T44" s="769" t="s">
        <v>21</v>
      </c>
      <c r="U44" s="770">
        <f t="shared" si="13"/>
        <v>100</v>
      </c>
      <c r="V44" s="769" t="s">
        <v>21</v>
      </c>
      <c r="W44" s="770">
        <f t="shared" si="14"/>
        <v>100</v>
      </c>
      <c r="X44" s="771"/>
      <c r="Y44" s="318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2"/>
      <c r="Q45" s="1811">
        <f t="shared" si="11"/>
        <v>111</v>
      </c>
      <c r="R45" s="773" t="s">
        <v>21</v>
      </c>
      <c r="S45" s="774">
        <f t="shared" si="12"/>
        <v>100</v>
      </c>
      <c r="T45" s="773" t="s">
        <v>21</v>
      </c>
      <c r="U45" s="774">
        <f t="shared" si="13"/>
        <v>100</v>
      </c>
      <c r="V45" s="773" t="s">
        <v>21</v>
      </c>
      <c r="W45" s="774">
        <f t="shared" si="14"/>
        <v>100</v>
      </c>
      <c r="X45" s="1814"/>
      <c r="Y45" s="3182"/>
      <c r="Z45" s="1815">
        <f t="shared" si="18"/>
        <v>111</v>
      </c>
      <c r="AA45" s="1812">
        <f t="shared" si="15"/>
        <v>1</v>
      </c>
      <c r="AB45" s="1812">
        <f t="shared" si="16"/>
        <v>1</v>
      </c>
      <c r="AC45" s="1812">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3"/>
      <c r="Q46" s="1811">
        <f t="shared" si="11"/>
        <v>111</v>
      </c>
      <c r="R46" s="773" t="s">
        <v>20</v>
      </c>
      <c r="S46" s="774">
        <f t="shared" si="12"/>
        <v>100</v>
      </c>
      <c r="T46" s="773" t="s">
        <v>20</v>
      </c>
      <c r="U46" s="774">
        <f t="shared" si="13"/>
        <v>100</v>
      </c>
      <c r="V46" s="773" t="s">
        <v>20</v>
      </c>
      <c r="W46" s="774">
        <f t="shared" si="14"/>
        <v>100</v>
      </c>
      <c r="X46" s="1814"/>
      <c r="Y46" s="3224"/>
      <c r="Z46" s="1815">
        <f t="shared" si="18"/>
        <v>111</v>
      </c>
      <c r="AA46" s="1812">
        <f t="shared" si="15"/>
        <v>1</v>
      </c>
      <c r="AB46" s="1812">
        <f t="shared" si="16"/>
        <v>1</v>
      </c>
      <c r="AC46" s="1812">
        <f t="shared" si="17"/>
        <v>1</v>
      </c>
    </row>
    <row r="47" spans="1:29" ht="15">
      <c r="A47" s="478" t="s">
        <v>2559</v>
      </c>
      <c r="B47" s="479"/>
      <c r="C47" s="1409" t="s">
        <v>19</v>
      </c>
      <c r="D47" s="1410"/>
      <c r="E47" s="1411"/>
      <c r="F47" s="1412"/>
      <c r="G47" s="1413"/>
      <c r="H47" s="1414"/>
      <c r="I47" s="1411"/>
      <c r="J47" s="1414"/>
      <c r="K47" s="2621"/>
      <c r="L47" s="1145"/>
      <c r="M47" s="1146"/>
      <c r="N47" s="1133"/>
      <c r="O47" s="1146"/>
      <c r="P47" s="3164" t="str">
        <f>A47</f>
        <v>成交单价（元/平方米）</v>
      </c>
      <c r="Q47" s="3164"/>
      <c r="R47" s="3220">
        <f>E47</f>
        <v>0</v>
      </c>
      <c r="S47" s="3220"/>
      <c r="T47" s="3220">
        <f>G47</f>
        <v>0</v>
      </c>
      <c r="U47" s="3220"/>
      <c r="V47" s="3220">
        <f>I47</f>
        <v>0</v>
      </c>
      <c r="W47" s="3220"/>
      <c r="X47" s="758"/>
      <c r="Y47" s="780"/>
      <c r="Z47" s="758"/>
      <c r="AA47" s="758"/>
      <c r="AB47" s="758"/>
      <c r="AC47" s="758"/>
    </row>
    <row r="48" spans="1:29" ht="15.75" thickBot="1">
      <c r="A48" s="485" t="s">
        <v>2560</v>
      </c>
      <c r="B48" s="486"/>
      <c r="C48" s="1415" t="e">
        <f>R49</f>
        <v>#DIV/0!</v>
      </c>
      <c r="D48" s="1416"/>
      <c r="E48" s="1417" t="e">
        <f>R48</f>
        <v>#DIV/0!</v>
      </c>
      <c r="F48" s="1417"/>
      <c r="G48" s="1415" t="e">
        <f>T48</f>
        <v>#DIV/0!</v>
      </c>
      <c r="H48" s="1416"/>
      <c r="I48" s="1417" t="e">
        <f>V48</f>
        <v>#DIV/0!</v>
      </c>
      <c r="J48" s="1416"/>
      <c r="K48" s="2622"/>
      <c r="L48" s="1145"/>
      <c r="M48" s="1146"/>
      <c r="N48" s="1146"/>
      <c r="O48" s="1146"/>
      <c r="P48" s="3164" t="str">
        <f>A48</f>
        <v>比较价值（元/平方米）</v>
      </c>
      <c r="Q48" s="3164"/>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2561</v>
      </c>
      <c r="B49" s="492"/>
      <c r="C49" s="1418" t="e">
        <f>R49</f>
        <v>#DIV/0!</v>
      </c>
      <c r="D49" s="1419"/>
      <c r="E49" s="1419"/>
      <c r="F49" s="1419"/>
      <c r="G49" s="1419"/>
      <c r="H49" s="1419"/>
      <c r="I49" s="1419"/>
      <c r="J49" s="1419"/>
      <c r="K49" s="2623"/>
      <c r="L49" s="1145"/>
      <c r="M49" s="1146"/>
      <c r="N49" s="1146"/>
      <c r="O49" s="1146"/>
      <c r="P49" s="3184" t="str">
        <f>A49</f>
        <v>估价对象XX用房的比较价值（楼面单价，元/平方米）</v>
      </c>
      <c r="Q49" s="3185"/>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2565</v>
      </c>
      <c r="B57" s="758"/>
      <c r="C57" s="763"/>
      <c r="D57" s="763"/>
      <c r="E57" s="763"/>
      <c r="F57" s="764"/>
      <c r="G57" s="764"/>
      <c r="H57" s="763"/>
      <c r="I57" s="763"/>
      <c r="J57" s="763"/>
      <c r="K57" s="1162"/>
      <c r="L57" s="1163"/>
      <c r="M57" s="1161"/>
      <c r="N57" s="1161"/>
      <c r="O57" s="1161"/>
      <c r="P57" s="2626"/>
      <c r="Q57" s="503"/>
    </row>
    <row r="58" spans="1:29" s="507" customFormat="1" ht="15">
      <c r="A58" s="504" t="s">
        <v>2566</v>
      </c>
      <c r="B58" s="505"/>
      <c r="C58" s="1577" t="str">
        <f>YEAR(C7)&amp;"-"&amp;MONTH(C7)</f>
        <v>2017-9</v>
      </c>
      <c r="D58" s="1576">
        <f>EDATE(C58,-1)</f>
        <v>42948</v>
      </c>
      <c r="E58" s="1576">
        <f>EDATE(D58,-1)</f>
        <v>42917</v>
      </c>
      <c r="F58" s="1576">
        <f t="shared" ref="F58:O58" si="19">EDATE(E58,-1)</f>
        <v>42887</v>
      </c>
      <c r="G58" s="1576">
        <f t="shared" si="19"/>
        <v>42856</v>
      </c>
      <c r="H58" s="1576">
        <f t="shared" si="19"/>
        <v>42826</v>
      </c>
      <c r="I58" s="1576">
        <f t="shared" si="19"/>
        <v>42795</v>
      </c>
      <c r="J58" s="1576">
        <f t="shared" si="19"/>
        <v>42767</v>
      </c>
      <c r="K58" s="1576">
        <f t="shared" si="19"/>
        <v>42736</v>
      </c>
      <c r="L58" s="1576">
        <f t="shared" si="19"/>
        <v>42705</v>
      </c>
      <c r="M58" s="1576">
        <f t="shared" si="19"/>
        <v>42675</v>
      </c>
      <c r="N58" s="1576">
        <f t="shared" si="19"/>
        <v>42644</v>
      </c>
      <c r="O58" s="1576">
        <f t="shared" si="19"/>
        <v>42614</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2567</v>
      </c>
      <c r="B60" s="515"/>
      <c r="C60" s="516"/>
      <c r="D60" s="517"/>
      <c r="E60" s="517"/>
      <c r="F60" s="517"/>
      <c r="G60" s="517"/>
      <c r="H60" s="517"/>
      <c r="I60" s="517"/>
      <c r="J60" s="517"/>
      <c r="K60" s="517"/>
      <c r="L60" s="517"/>
      <c r="M60" s="518"/>
      <c r="N60" s="517"/>
      <c r="O60" s="518"/>
      <c r="P60" s="2628"/>
      <c r="Q60" s="503"/>
    </row>
    <row r="61" spans="1:29" s="116" customFormat="1" ht="15">
      <c r="A61" s="520" t="s">
        <v>2568</v>
      </c>
      <c r="B61" s="509"/>
      <c r="C61" s="521" t="s">
        <v>2569</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2570</v>
      </c>
      <c r="B63" s="527" t="s">
        <v>2536</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2540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2084</v>
      </c>
      <c r="C82" s="538" t="s">
        <v>2586</v>
      </c>
      <c r="D82" s="538" t="s">
        <v>2587</v>
      </c>
      <c r="E82" s="538" t="s">
        <v>2588</v>
      </c>
      <c r="F82" s="538" t="s">
        <v>2589</v>
      </c>
      <c r="G82" s="538" t="s">
        <v>2590</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2592</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2593</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2545</v>
      </c>
      <c r="B100" s="527" t="s">
        <v>2594</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2595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2596</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2597</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2598</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1981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2599</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2600</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2601</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2556</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2602</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5" t="s">
        <v>2607</v>
      </c>
      <c r="D138" s="145" t="s">
        <v>2608</v>
      </c>
      <c r="E138" s="2645" t="s">
        <v>2609</v>
      </c>
      <c r="F138" s="2646" t="s">
        <v>2610</v>
      </c>
      <c r="G138" s="145" t="s">
        <v>2608</v>
      </c>
      <c r="H138" s="146" t="s">
        <v>2609</v>
      </c>
      <c r="I138" s="2647"/>
      <c r="J138" s="145" t="s">
        <v>2611</v>
      </c>
      <c r="K138" s="146" t="s">
        <v>2612</v>
      </c>
    </row>
    <row r="139" spans="1:17" ht="15">
      <c r="B139" s="1086">
        <v>6</v>
      </c>
      <c r="C139" s="1087">
        <v>96</v>
      </c>
      <c r="D139" s="2648" t="s">
        <v>2613</v>
      </c>
      <c r="E139" s="1088">
        <v>100</v>
      </c>
      <c r="F139" s="1089">
        <v>102.5</v>
      </c>
      <c r="G139" s="2648" t="s">
        <v>2613</v>
      </c>
      <c r="H139" s="1090">
        <v>105</v>
      </c>
      <c r="I139" s="2649" t="s">
        <v>2614</v>
      </c>
      <c r="J139" s="1087">
        <v>20</v>
      </c>
      <c r="K139" s="1091">
        <f>C145/(J139-2)</f>
        <v>4.0555555555555553E-3</v>
      </c>
    </row>
    <row r="140" spans="1:17" ht="15">
      <c r="B140" s="1092">
        <v>5</v>
      </c>
      <c r="C140" s="1093">
        <v>100</v>
      </c>
      <c r="D140" s="1093"/>
      <c r="E140" s="1094"/>
      <c r="F140" s="1095">
        <v>102</v>
      </c>
      <c r="G140" s="1093"/>
      <c r="H140" s="1096"/>
      <c r="I140" s="2650" t="s">
        <v>2615</v>
      </c>
      <c r="J140" s="314">
        <f>ROUNDUP((J139-1)/2,0)</f>
        <v>10</v>
      </c>
      <c r="K140" s="1097">
        <v>100</v>
      </c>
    </row>
    <row r="141" spans="1:17" ht="15">
      <c r="B141" s="1092">
        <v>4</v>
      </c>
      <c r="C141" s="1093">
        <v>102</v>
      </c>
      <c r="D141" s="1093"/>
      <c r="E141" s="1094"/>
      <c r="F141" s="1095">
        <v>101.5</v>
      </c>
      <c r="G141" s="1093"/>
      <c r="H141" s="1096"/>
      <c r="I141" s="2650" t="s">
        <v>2616</v>
      </c>
      <c r="J141" s="314">
        <v>1</v>
      </c>
      <c r="K141" s="1098">
        <f>ROUND(100+(J141-J140)*K139*100,1)</f>
        <v>96.4</v>
      </c>
    </row>
    <row r="142" spans="1:17" ht="15">
      <c r="B142" s="1092">
        <v>3</v>
      </c>
      <c r="C142" s="1093">
        <v>103</v>
      </c>
      <c r="D142" s="1093"/>
      <c r="E142" s="1094"/>
      <c r="F142" s="1095">
        <v>101</v>
      </c>
      <c r="G142" s="1093"/>
      <c r="H142" s="1096"/>
      <c r="I142" s="2650" t="s">
        <v>2617</v>
      </c>
      <c r="J142" s="314">
        <f>J139</f>
        <v>20</v>
      </c>
      <c r="K142" s="1099">
        <v>95</v>
      </c>
    </row>
    <row r="143" spans="1:17" ht="15">
      <c r="B143" s="1092">
        <v>2</v>
      </c>
      <c r="C143" s="1093">
        <v>100</v>
      </c>
      <c r="D143" s="1093"/>
      <c r="E143" s="1094"/>
      <c r="F143" s="1095">
        <v>100.5</v>
      </c>
      <c r="G143" s="1093"/>
      <c r="H143" s="1096"/>
      <c r="I143" s="2650" t="s">
        <v>2618</v>
      </c>
      <c r="J143" s="1093">
        <v>15</v>
      </c>
      <c r="K143" s="1098">
        <f>ROUND(100+(J143-J140)*K139*100,1)</f>
        <v>102</v>
      </c>
    </row>
    <row r="144" spans="1:17" ht="15">
      <c r="B144" s="1092">
        <v>1</v>
      </c>
      <c r="C144" s="1093">
        <v>98</v>
      </c>
      <c r="D144" s="2651" t="s">
        <v>2619</v>
      </c>
      <c r="E144" s="1094">
        <v>102</v>
      </c>
      <c r="F144" s="1100">
        <v>100</v>
      </c>
      <c r="G144" s="2651" t="s">
        <v>2619</v>
      </c>
      <c r="H144" s="1096">
        <v>105</v>
      </c>
      <c r="I144" s="2650" t="s">
        <v>2618</v>
      </c>
      <c r="J144" s="1093">
        <v>18</v>
      </c>
      <c r="K144" s="1098">
        <f>ROUND(100+(J144-J140)*K139*100,1)</f>
        <v>103.2</v>
      </c>
    </row>
    <row r="145" spans="2:11" ht="15.75" thickBot="1">
      <c r="B145" s="2652" t="s">
        <v>2620</v>
      </c>
      <c r="C145" s="1101">
        <f>ROUND(MAX(C139:C144)/MIN(C139:C144)-1,3)</f>
        <v>7.2999999999999995E-2</v>
      </c>
      <c r="D145" s="1102"/>
      <c r="E145" s="1102"/>
      <c r="F145" s="2653" t="s">
        <v>2621</v>
      </c>
      <c r="G145" s="2654"/>
      <c r="H145" s="2655"/>
      <c r="I145" s="2656" t="s">
        <v>2618</v>
      </c>
      <c r="J145" s="1103">
        <v>8</v>
      </c>
      <c r="K145" s="1104">
        <f>ROUND(100+(J145-J140)*K139*100,1)</f>
        <v>99.2</v>
      </c>
    </row>
    <row r="147" spans="2:11">
      <c r="B147" s="2637" t="s">
        <v>2622</v>
      </c>
    </row>
    <row r="148" spans="2:11">
      <c r="B148" s="2637"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2" t="s">
        <v>2624</v>
      </c>
      <c r="C1" s="1635" t="s">
        <v>2512</v>
      </c>
      <c r="D1" s="1622"/>
      <c r="E1" s="2657"/>
      <c r="F1" s="2584"/>
      <c r="G1" s="1632" t="s">
        <v>2625</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2314</v>
      </c>
      <c r="B3" s="608" t="e">
        <f ca="1">IF(C2="——",C49,ROUND(B2*10000/D3,0))</f>
        <v>#DIV/0!</v>
      </c>
      <c r="C3" s="399" t="s">
        <v>2626</v>
      </c>
      <c r="D3" s="398">
        <f>IF(D1="",'数据-汇总表'!E3,SUMIF('数据-汇总表'!$C19:$C33,D1,'数据-汇总表'!$E19:$E33))</f>
        <v>222493</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77" t="s">
        <v>2630</v>
      </c>
      <c r="AC4" s="3147" t="s">
        <v>2631</v>
      </c>
    </row>
    <row r="5" spans="1:29" ht="15">
      <c r="A5" s="403"/>
      <c r="B5" s="404"/>
      <c r="C5" s="3218" t="s">
        <v>2524</v>
      </c>
      <c r="D5" s="3159"/>
      <c r="E5" s="3217" t="s">
        <v>2525</v>
      </c>
      <c r="F5" s="3157"/>
      <c r="G5" s="3218" t="s">
        <v>2526</v>
      </c>
      <c r="H5" s="3159"/>
      <c r="I5" s="3218" t="s">
        <v>2527</v>
      </c>
      <c r="J5" s="3159"/>
      <c r="K5" s="609"/>
      <c r="L5" s="1132"/>
      <c r="M5" s="1133"/>
      <c r="N5" s="1133"/>
      <c r="O5" s="1133"/>
      <c r="P5" s="3171"/>
      <c r="Q5" s="3172"/>
      <c r="R5" s="3154"/>
      <c r="S5" s="3155"/>
      <c r="T5" s="3154"/>
      <c r="U5" s="3155"/>
      <c r="V5" s="3177"/>
      <c r="W5" s="3177"/>
      <c r="X5" s="1814"/>
      <c r="Y5" s="3154"/>
      <c r="Z5" s="3155"/>
      <c r="AA5" s="3148"/>
      <c r="AB5" s="3177"/>
      <c r="AC5" s="3148"/>
    </row>
    <row r="6" spans="1:29" ht="15.75" thickBot="1">
      <c r="A6" s="405"/>
      <c r="B6" s="406"/>
      <c r="C6" s="3160" t="s">
        <v>2528</v>
      </c>
      <c r="D6" s="3161"/>
      <c r="E6" s="3162" t="s">
        <v>2528</v>
      </c>
      <c r="F6" s="3163"/>
      <c r="G6" s="3160" t="s">
        <v>2528</v>
      </c>
      <c r="H6" s="3161"/>
      <c r="I6" s="3160" t="s">
        <v>2528</v>
      </c>
      <c r="J6" s="3161"/>
      <c r="K6" s="609" t="s">
        <v>2529</v>
      </c>
      <c r="L6" s="1132"/>
      <c r="M6" s="1133"/>
      <c r="N6" s="1133"/>
      <c r="O6" s="1133"/>
      <c r="P6" s="3173"/>
      <c r="Q6" s="3174"/>
      <c r="R6" s="3154"/>
      <c r="S6" s="3155"/>
      <c r="T6" s="3175"/>
      <c r="U6" s="3176"/>
      <c r="V6" s="3177"/>
      <c r="W6" s="3177"/>
      <c r="X6" s="1814"/>
      <c r="Y6" s="3175"/>
      <c r="Z6" s="3176"/>
      <c r="AA6" s="3149"/>
      <c r="AB6" s="3177"/>
      <c r="AC6" s="3149"/>
    </row>
    <row r="7" spans="1:29" s="116" customFormat="1" ht="15.75" thickBot="1">
      <c r="A7" s="407" t="s">
        <v>2530</v>
      </c>
      <c r="B7" s="408"/>
      <c r="C7" s="409">
        <f>'数据-取费表'!B2</f>
        <v>42990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0" t="s">
        <v>2531</v>
      </c>
      <c r="Q7" s="3178"/>
      <c r="R7" s="769" t="s">
        <v>17</v>
      </c>
      <c r="S7" s="770">
        <f t="shared" ref="S7:S15" si="0">F7</f>
        <v>0</v>
      </c>
      <c r="T7" s="769" t="s">
        <v>17</v>
      </c>
      <c r="U7" s="770">
        <f t="shared" ref="U7:U15" si="1">H7</f>
        <v>0</v>
      </c>
      <c r="V7" s="769" t="s">
        <v>17</v>
      </c>
      <c r="W7" s="770">
        <f t="shared" ref="W7:W15" si="2">J7</f>
        <v>0</v>
      </c>
      <c r="X7" s="771"/>
      <c r="Y7" s="3150" t="s">
        <v>2531</v>
      </c>
      <c r="Z7" s="3151"/>
      <c r="AA7" s="772" t="e">
        <f>D7/F7</f>
        <v>#DIV/0!</v>
      </c>
      <c r="AB7" s="772" t="e">
        <f>D7/H7</f>
        <v>#DIV/0!</v>
      </c>
      <c r="AC7" s="772" t="e">
        <f>D7/J7</f>
        <v>#DIV/0!</v>
      </c>
    </row>
    <row r="8" spans="1:29" s="116" customFormat="1" ht="15.75" thickBot="1">
      <c r="A8" s="407" t="s">
        <v>2532</v>
      </c>
      <c r="B8" s="408"/>
      <c r="C8" s="413" t="s">
        <v>2634</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0" t="s">
        <v>2534</v>
      </c>
      <c r="Q8" s="3151"/>
      <c r="R8" s="769" t="s">
        <v>17</v>
      </c>
      <c r="S8" s="770">
        <f t="shared" si="0"/>
        <v>0</v>
      </c>
      <c r="T8" s="769" t="s">
        <v>17</v>
      </c>
      <c r="U8" s="770">
        <f t="shared" si="1"/>
        <v>0</v>
      </c>
      <c r="V8" s="769" t="s">
        <v>17</v>
      </c>
      <c r="W8" s="770">
        <f t="shared" si="2"/>
        <v>0</v>
      </c>
      <c r="X8" s="771"/>
      <c r="Y8" s="3150" t="s">
        <v>2534</v>
      </c>
      <c r="Z8" s="3151"/>
      <c r="AA8" s="772" t="e">
        <f t="shared" ref="AA8:AA46" si="3">D8/F8</f>
        <v>#DIV/0!</v>
      </c>
      <c r="AB8" s="772" t="e">
        <f t="shared" ref="AB8:AB46" si="4">D8/H8</f>
        <v>#DIV/0!</v>
      </c>
      <c r="AC8" s="772" t="e">
        <f t="shared" ref="AC8:AC46" si="5">D8/J8</f>
        <v>#DIV/0!</v>
      </c>
    </row>
    <row r="9" spans="1:29" s="116" customFormat="1">
      <c r="A9" s="414" t="s">
        <v>2535</v>
      </c>
      <c r="B9" s="71" t="s">
        <v>2536</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8"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8"/>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2540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8"/>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8"/>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8"/>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8"/>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71.25">
      <c r="A15" s="439" t="s">
        <v>2541</v>
      </c>
      <c r="B15" s="69" t="s">
        <v>2635</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5" t="s">
        <v>2542</v>
      </c>
      <c r="Q15" s="1811" t="str">
        <f t="shared" si="6"/>
        <v>商业繁华度</v>
      </c>
      <c r="R15" s="773" t="s">
        <v>17</v>
      </c>
      <c r="S15" s="774">
        <f t="shared" si="0"/>
        <v>100</v>
      </c>
      <c r="T15" s="773" t="s">
        <v>17</v>
      </c>
      <c r="U15" s="774">
        <f t="shared" si="1"/>
        <v>100</v>
      </c>
      <c r="V15" s="773" t="s">
        <v>17</v>
      </c>
      <c r="W15" s="774">
        <f t="shared" si="2"/>
        <v>100</v>
      </c>
      <c r="X15" s="1814"/>
      <c r="Y15" s="3179" t="s">
        <v>2542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26"/>
      <c r="Q16" s="1811"/>
      <c r="R16" s="773"/>
      <c r="S16" s="774"/>
      <c r="T16" s="773"/>
      <c r="U16" s="774"/>
      <c r="V16" s="773"/>
      <c r="W16" s="774"/>
      <c r="X16" s="1814"/>
      <c r="Y16" s="3180"/>
      <c r="Z16" s="1815"/>
      <c r="AA16" s="1812">
        <v>1</v>
      </c>
      <c r="AB16" s="1812">
        <v>1</v>
      </c>
      <c r="AC16" s="1812">
        <v>1</v>
      </c>
    </row>
    <row r="17" spans="1:29" ht="85.5">
      <c r="A17" s="427"/>
      <c r="B17" s="450" t="s">
        <v>2083</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6"/>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1812">
        <f t="shared" si="5"/>
        <v>1</v>
      </c>
    </row>
    <row r="18" spans="1:29" ht="15">
      <c r="A18" s="427"/>
      <c r="B18" s="455"/>
      <c r="C18" s="2608"/>
      <c r="D18" s="449"/>
      <c r="E18" s="2610"/>
      <c r="F18" s="452"/>
      <c r="G18" s="2609"/>
      <c r="H18" s="447"/>
      <c r="I18" s="2610"/>
      <c r="J18" s="447"/>
      <c r="K18" s="614"/>
      <c r="L18" s="1142"/>
      <c r="M18" s="1133"/>
      <c r="N18" s="1133"/>
      <c r="O18" s="1133"/>
      <c r="P18" s="3226"/>
      <c r="Q18" s="1811"/>
      <c r="R18" s="773"/>
      <c r="S18" s="774"/>
      <c r="T18" s="773"/>
      <c r="U18" s="774"/>
      <c r="V18" s="773"/>
      <c r="W18" s="774"/>
      <c r="X18" s="1814"/>
      <c r="Y18" s="3180"/>
      <c r="Z18" s="1815"/>
      <c r="AA18" s="1812">
        <v>1</v>
      </c>
      <c r="AB18" s="1812">
        <v>1</v>
      </c>
      <c r="AC18" s="1812">
        <v>1</v>
      </c>
    </row>
    <row r="19" spans="1:29" ht="42.75">
      <c r="A19" s="427"/>
      <c r="B19" s="450" t="s">
        <v>2636</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6"/>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1812">
        <f t="shared" si="5"/>
        <v>1</v>
      </c>
    </row>
    <row r="20" spans="1:29" ht="15">
      <c r="A20" s="427"/>
      <c r="B20" s="455"/>
      <c r="C20" s="446"/>
      <c r="D20" s="447"/>
      <c r="E20" s="2605"/>
      <c r="F20" s="448"/>
      <c r="G20" s="2604"/>
      <c r="H20" s="447"/>
      <c r="I20" s="2605"/>
      <c r="J20" s="447"/>
      <c r="K20" s="614"/>
      <c r="L20" s="1142"/>
      <c r="M20" s="1133"/>
      <c r="N20" s="1133"/>
      <c r="O20" s="1133"/>
      <c r="P20" s="3226"/>
      <c r="Q20" s="1811"/>
      <c r="R20" s="773"/>
      <c r="S20" s="774"/>
      <c r="T20" s="773"/>
      <c r="U20" s="774"/>
      <c r="V20" s="773"/>
      <c r="W20" s="774"/>
      <c r="X20" s="1814"/>
      <c r="Y20" s="3180"/>
      <c r="Z20" s="1815"/>
      <c r="AA20" s="1812">
        <v>1</v>
      </c>
      <c r="AB20" s="1812">
        <v>1</v>
      </c>
      <c r="AC20" s="1812">
        <v>1</v>
      </c>
    </row>
    <row r="21" spans="1:29" ht="28.5">
      <c r="A21" s="427"/>
      <c r="B21" s="1386" t="s">
        <v>2637</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6"/>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7"/>
      <c r="B22" s="1386"/>
      <c r="C22" s="2608"/>
      <c r="D22" s="447"/>
      <c r="E22" s="446"/>
      <c r="F22" s="448"/>
      <c r="G22" s="446"/>
      <c r="H22" s="447"/>
      <c r="I22" s="446"/>
      <c r="J22" s="447"/>
      <c r="K22" s="1385"/>
      <c r="L22" s="1142"/>
      <c r="M22" s="1133"/>
      <c r="N22" s="1133"/>
      <c r="O22" s="1133"/>
      <c r="P22" s="3226"/>
      <c r="Q22" s="1811"/>
      <c r="R22" s="773"/>
      <c r="S22" s="774"/>
      <c r="T22" s="773"/>
      <c r="U22" s="774"/>
      <c r="V22" s="773"/>
      <c r="W22" s="774"/>
      <c r="X22" s="1814"/>
      <c r="Y22" s="3180"/>
      <c r="Z22" s="1815"/>
      <c r="AA22" s="1812">
        <v>1</v>
      </c>
      <c r="AB22" s="1812">
        <v>1</v>
      </c>
      <c r="AC22" s="1812">
        <v>1</v>
      </c>
    </row>
    <row r="23" spans="1:29" ht="57">
      <c r="A23" s="427"/>
      <c r="B23" s="450" t="s">
        <v>2088</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6"/>
      <c r="Q23" s="1811" t="str">
        <f>B23</f>
        <v>自然及人文环境</v>
      </c>
      <c r="R23" s="773" t="s">
        <v>17</v>
      </c>
      <c r="S23" s="774">
        <f>F23</f>
        <v>100</v>
      </c>
      <c r="T23" s="773" t="s">
        <v>17</v>
      </c>
      <c r="U23" s="774">
        <f>H23</f>
        <v>100</v>
      </c>
      <c r="V23" s="773" t="s">
        <v>17</v>
      </c>
      <c r="W23" s="774">
        <f>J23</f>
        <v>100</v>
      </c>
      <c r="X23" s="1814"/>
      <c r="Y23" s="3180"/>
      <c r="Z23" s="1815" t="str">
        <f>Q23</f>
        <v>自然及人文环境</v>
      </c>
      <c r="AA23" s="1812">
        <f t="shared" si="3"/>
        <v>1</v>
      </c>
      <c r="AB23" s="1812">
        <f t="shared" si="4"/>
        <v>1</v>
      </c>
      <c r="AC23" s="1812">
        <f t="shared" si="5"/>
        <v>1</v>
      </c>
    </row>
    <row r="24" spans="1:29" ht="15">
      <c r="A24" s="427"/>
      <c r="B24" s="455"/>
      <c r="C24" s="446"/>
      <c r="D24" s="447"/>
      <c r="E24" s="2605"/>
      <c r="F24" s="448"/>
      <c r="G24" s="2604"/>
      <c r="H24" s="447"/>
      <c r="I24" s="2605"/>
      <c r="J24" s="447"/>
      <c r="K24" s="614"/>
      <c r="L24" s="1142"/>
      <c r="M24" s="1133"/>
      <c r="N24" s="1133"/>
      <c r="O24" s="1133"/>
      <c r="P24" s="3226"/>
      <c r="Q24" s="1811"/>
      <c r="R24" s="773"/>
      <c r="S24" s="774"/>
      <c r="T24" s="773"/>
      <c r="U24" s="774"/>
      <c r="V24" s="773"/>
      <c r="W24" s="774"/>
      <c r="X24" s="1814"/>
      <c r="Y24" s="3180"/>
      <c r="Z24" s="1815"/>
      <c r="AA24" s="1812">
        <v>1</v>
      </c>
      <c r="AB24" s="1812">
        <v>1</v>
      </c>
      <c r="AC24" s="1812">
        <v>1</v>
      </c>
    </row>
    <row r="25" spans="1:29" ht="15">
      <c r="A25" s="427"/>
      <c r="B25" s="421" t="s">
        <v>2638</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6"/>
      <c r="Q25" s="1811" t="str">
        <f t="shared" ref="Q25:Q46" si="11">B25</f>
        <v>临街状况</v>
      </c>
      <c r="R25" s="773" t="s">
        <v>17</v>
      </c>
      <c r="S25" s="774">
        <f>F25</f>
        <v>100</v>
      </c>
      <c r="T25" s="773" t="s">
        <v>17</v>
      </c>
      <c r="U25" s="774">
        <f>H25</f>
        <v>100</v>
      </c>
      <c r="V25" s="773" t="s">
        <v>17</v>
      </c>
      <c r="W25" s="774">
        <f>J25</f>
        <v>100</v>
      </c>
      <c r="X25" s="1814"/>
      <c r="Y25" s="3180"/>
      <c r="Z25" s="1815" t="str">
        <f>Q25</f>
        <v>临街状况</v>
      </c>
      <c r="AA25" s="1812">
        <f t="shared" si="3"/>
        <v>1</v>
      </c>
      <c r="AB25" s="1812">
        <f t="shared" si="4"/>
        <v>1</v>
      </c>
      <c r="AC25" s="1812">
        <f t="shared" si="5"/>
        <v>1</v>
      </c>
    </row>
    <row r="26" spans="1:29" ht="15">
      <c r="A26" s="427"/>
      <c r="B26" s="1388" t="s">
        <v>2639</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6"/>
      <c r="Q26" s="1811" t="str">
        <f t="shared" si="11"/>
        <v>平面位置/可视性</v>
      </c>
      <c r="R26" s="773" t="s">
        <v>17</v>
      </c>
      <c r="S26" s="774">
        <f>F26</f>
        <v>100</v>
      </c>
      <c r="T26" s="773" t="s">
        <v>17</v>
      </c>
      <c r="U26" s="774">
        <f>H26</f>
        <v>100</v>
      </c>
      <c r="V26" s="773" t="s">
        <v>17</v>
      </c>
      <c r="W26" s="774">
        <f>J26</f>
        <v>100</v>
      </c>
      <c r="X26" s="1814"/>
      <c r="Y26" s="3180"/>
      <c r="Z26" s="1815" t="str">
        <f>Q26</f>
        <v>平面位置/可视性</v>
      </c>
      <c r="AA26" s="1812">
        <f t="shared" si="3"/>
        <v>1</v>
      </c>
      <c r="AB26" s="1812">
        <f t="shared" si="4"/>
        <v>1</v>
      </c>
      <c r="AC26" s="1812">
        <f t="shared" si="5"/>
        <v>1</v>
      </c>
    </row>
    <row r="27" spans="1:29" s="116" customFormat="1" ht="15">
      <c r="A27" s="430"/>
      <c r="B27" s="450" t="s">
        <v>2640</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26"/>
      <c r="Q27" s="1796" t="str">
        <f t="shared" si="11"/>
        <v>人流量</v>
      </c>
      <c r="R27" s="769" t="s">
        <v>17</v>
      </c>
      <c r="S27" s="770">
        <f>F27</f>
        <v>100</v>
      </c>
      <c r="T27" s="769" t="s">
        <v>17</v>
      </c>
      <c r="U27" s="770">
        <f>H27</f>
        <v>100</v>
      </c>
      <c r="V27" s="769" t="s">
        <v>17</v>
      </c>
      <c r="W27" s="770">
        <f>J27</f>
        <v>100</v>
      </c>
      <c r="X27" s="771"/>
      <c r="Y27" s="3180"/>
      <c r="Z27" s="55" t="str">
        <f>Q27</f>
        <v>人流量</v>
      </c>
      <c r="AA27" s="1812">
        <f>D27/F27</f>
        <v>1</v>
      </c>
      <c r="AB27" s="1812">
        <f>D27/H27</f>
        <v>1</v>
      </c>
      <c r="AC27" s="1812">
        <f>D27/J27</f>
        <v>1</v>
      </c>
    </row>
    <row r="28" spans="1:29" ht="15">
      <c r="A28" s="427"/>
      <c r="B28" s="421" t="s">
        <v>2641</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6"/>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0"/>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6"/>
      <c r="Q29" s="1811">
        <f t="shared" si="11"/>
        <v>111</v>
      </c>
      <c r="R29" s="773" t="s">
        <v>17</v>
      </c>
      <c r="S29" s="774">
        <f t="shared" si="12"/>
        <v>100</v>
      </c>
      <c r="T29" s="773" t="s">
        <v>17</v>
      </c>
      <c r="U29" s="774">
        <f t="shared" si="13"/>
        <v>100</v>
      </c>
      <c r="V29" s="773" t="s">
        <v>17</v>
      </c>
      <c r="W29" s="774">
        <f t="shared" si="14"/>
        <v>100</v>
      </c>
      <c r="X29" s="1814"/>
      <c r="Y29" s="3180"/>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6"/>
      <c r="Q30" s="1811">
        <f t="shared" si="11"/>
        <v>111</v>
      </c>
      <c r="R30" s="773" t="s">
        <v>17</v>
      </c>
      <c r="S30" s="774">
        <f t="shared" si="12"/>
        <v>100</v>
      </c>
      <c r="T30" s="773" t="s">
        <v>17</v>
      </c>
      <c r="U30" s="774">
        <f t="shared" si="13"/>
        <v>100</v>
      </c>
      <c r="V30" s="773" t="s">
        <v>17</v>
      </c>
      <c r="W30" s="774">
        <f t="shared" si="14"/>
        <v>100</v>
      </c>
      <c r="X30" s="1814"/>
      <c r="Y30" s="3180"/>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6"/>
      <c r="Q31" s="1811">
        <f t="shared" si="11"/>
        <v>111</v>
      </c>
      <c r="R31" s="773" t="s">
        <v>17</v>
      </c>
      <c r="S31" s="774">
        <f t="shared" si="12"/>
        <v>100</v>
      </c>
      <c r="T31" s="773" t="s">
        <v>17</v>
      </c>
      <c r="U31" s="774">
        <f t="shared" si="13"/>
        <v>100</v>
      </c>
      <c r="V31" s="773" t="s">
        <v>17</v>
      </c>
      <c r="W31" s="774">
        <f t="shared" si="14"/>
        <v>100</v>
      </c>
      <c r="X31" s="1814"/>
      <c r="Y31" s="3180"/>
      <c r="Z31" s="1815">
        <f t="shared" si="15"/>
        <v>111</v>
      </c>
      <c r="AA31" s="1812">
        <f t="shared" si="3"/>
        <v>1</v>
      </c>
      <c r="AB31" s="1812">
        <f t="shared" si="4"/>
        <v>1</v>
      </c>
      <c r="AC31" s="1812">
        <f t="shared" si="5"/>
        <v>1</v>
      </c>
    </row>
    <row r="32" spans="1:29" ht="15">
      <c r="A32" s="439" t="s">
        <v>2545</v>
      </c>
      <c r="B32" s="71" t="s">
        <v>2642</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21" t="s">
        <v>2547</v>
      </c>
      <c r="Q32" s="1811" t="str">
        <f t="shared" si="11"/>
        <v>商业类型</v>
      </c>
      <c r="R32" s="773" t="s">
        <v>17</v>
      </c>
      <c r="S32" s="774">
        <f t="shared" si="12"/>
        <v>100</v>
      </c>
      <c r="T32" s="773" t="s">
        <v>17</v>
      </c>
      <c r="U32" s="774">
        <f t="shared" si="13"/>
        <v>100</v>
      </c>
      <c r="V32" s="773" t="s">
        <v>17</v>
      </c>
      <c r="W32" s="774">
        <f t="shared" si="14"/>
        <v>100</v>
      </c>
      <c r="X32" s="1814"/>
      <c r="Y32" s="3182" t="s">
        <v>2547</v>
      </c>
      <c r="Z32" s="1815" t="str">
        <f t="shared" si="15"/>
        <v>商业类型</v>
      </c>
      <c r="AA32" s="1812">
        <f t="shared" si="3"/>
        <v>1</v>
      </c>
      <c r="AB32" s="1812">
        <f t="shared" si="4"/>
        <v>1</v>
      </c>
      <c r="AC32" s="1812">
        <f t="shared" si="5"/>
        <v>1</v>
      </c>
    </row>
    <row r="33" spans="1:29" s="470" customFormat="1" ht="15">
      <c r="A33" s="467"/>
      <c r="B33" s="421" t="s">
        <v>2548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2"/>
      <c r="Q33" s="775" t="str">
        <f t="shared" si="11"/>
        <v>项目建筑规模</v>
      </c>
      <c r="R33" s="776" t="s">
        <v>17</v>
      </c>
      <c r="S33" s="777" t="e">
        <f t="shared" si="12"/>
        <v>#N/A</v>
      </c>
      <c r="T33" s="776" t="s">
        <v>17</v>
      </c>
      <c r="U33" s="777" t="e">
        <f t="shared" si="13"/>
        <v>#N/A</v>
      </c>
      <c r="V33" s="776" t="s">
        <v>17</v>
      </c>
      <c r="W33" s="777" t="e">
        <f t="shared" si="14"/>
        <v>#N/A</v>
      </c>
      <c r="X33" s="778"/>
      <c r="Y33" s="3182"/>
      <c r="Z33" s="779" t="str">
        <f t="shared" si="15"/>
        <v>项目建筑规模</v>
      </c>
      <c r="AA33" s="1812" t="e">
        <f t="shared" si="3"/>
        <v>#N/A</v>
      </c>
      <c r="AB33" s="1812" t="e">
        <f t="shared" si="4"/>
        <v>#N/A</v>
      </c>
      <c r="AC33" s="1812" t="e">
        <f t="shared" si="5"/>
        <v>#N/A</v>
      </c>
    </row>
    <row r="34" spans="1:29" ht="15">
      <c r="A34" s="471"/>
      <c r="B34" s="421" t="s">
        <v>2549</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22"/>
      <c r="Q34" s="1811" t="str">
        <f t="shared" si="11"/>
        <v>建筑结构</v>
      </c>
      <c r="R34" s="773" t="s">
        <v>17</v>
      </c>
      <c r="S34" s="774">
        <f t="shared" si="12"/>
        <v>100</v>
      </c>
      <c r="T34" s="773" t="s">
        <v>17</v>
      </c>
      <c r="U34" s="774">
        <f t="shared" si="13"/>
        <v>100</v>
      </c>
      <c r="V34" s="773" t="s">
        <v>17</v>
      </c>
      <c r="W34" s="774">
        <f t="shared" si="14"/>
        <v>100</v>
      </c>
      <c r="X34" s="1814"/>
      <c r="Y34" s="3182"/>
      <c r="Z34" s="1815" t="str">
        <f t="shared" si="15"/>
        <v>建筑结构</v>
      </c>
      <c r="AA34" s="1812">
        <f t="shared" si="3"/>
        <v>1</v>
      </c>
      <c r="AB34" s="1812">
        <f t="shared" si="4"/>
        <v>1</v>
      </c>
      <c r="AC34" s="1812">
        <f t="shared" si="5"/>
        <v>1</v>
      </c>
    </row>
    <row r="35" spans="1:29" ht="15">
      <c r="A35" s="471"/>
      <c r="B35" s="421" t="s">
        <v>2643</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22"/>
      <c r="Q35" s="1811" t="str">
        <f t="shared" si="11"/>
        <v>公共部分装修</v>
      </c>
      <c r="R35" s="773" t="s">
        <v>17</v>
      </c>
      <c r="S35" s="774">
        <f t="shared" si="12"/>
        <v>100</v>
      </c>
      <c r="T35" s="773" t="s">
        <v>17</v>
      </c>
      <c r="U35" s="774">
        <f t="shared" si="13"/>
        <v>100</v>
      </c>
      <c r="V35" s="773" t="s">
        <v>17</v>
      </c>
      <c r="W35" s="774">
        <f t="shared" si="14"/>
        <v>100</v>
      </c>
      <c r="X35" s="1814"/>
      <c r="Y35" s="3182"/>
      <c r="Z35" s="1815" t="str">
        <f t="shared" si="15"/>
        <v>公共部分装修</v>
      </c>
      <c r="AA35" s="1812">
        <f t="shared" si="3"/>
        <v>1</v>
      </c>
      <c r="AB35" s="1812">
        <f t="shared" si="4"/>
        <v>1</v>
      </c>
      <c r="AC35" s="1812">
        <f t="shared" si="5"/>
        <v>1</v>
      </c>
    </row>
    <row r="36" spans="1:29" ht="15">
      <c r="A36" s="471"/>
      <c r="B36" s="421" t="s">
        <v>2644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2"/>
      <c r="Q36" s="1811" t="str">
        <f t="shared" si="11"/>
        <v>成新度</v>
      </c>
      <c r="R36" s="773" t="s">
        <v>17</v>
      </c>
      <c r="S36" s="774" t="e">
        <f t="shared" si="12"/>
        <v>#N/A</v>
      </c>
      <c r="T36" s="773" t="s">
        <v>17</v>
      </c>
      <c r="U36" s="774" t="e">
        <f t="shared" si="13"/>
        <v>#N/A</v>
      </c>
      <c r="V36" s="773" t="s">
        <v>17</v>
      </c>
      <c r="W36" s="774" t="e">
        <f t="shared" si="14"/>
        <v>#N/A</v>
      </c>
      <c r="X36" s="1814"/>
      <c r="Y36" s="3182"/>
      <c r="Z36" s="1815" t="str">
        <f t="shared" si="15"/>
        <v>成新度</v>
      </c>
      <c r="AA36" s="1812" t="e">
        <f t="shared" si="3"/>
        <v>#N/A</v>
      </c>
      <c r="AB36" s="1812" t="e">
        <f t="shared" si="4"/>
        <v>#N/A</v>
      </c>
      <c r="AC36" s="1812" t="e">
        <f t="shared" si="5"/>
        <v>#N/A</v>
      </c>
    </row>
    <row r="37" spans="1:29" s="116" customFormat="1" ht="15">
      <c r="A37" s="472"/>
      <c r="B37" s="421" t="s">
        <v>2645</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22"/>
      <c r="Q37" s="1796" t="str">
        <f t="shared" si="11"/>
        <v>市政基础设施</v>
      </c>
      <c r="R37" s="769" t="s">
        <v>17</v>
      </c>
      <c r="S37" s="770">
        <f t="shared" si="12"/>
        <v>100</v>
      </c>
      <c r="T37" s="769" t="s">
        <v>17</v>
      </c>
      <c r="U37" s="770">
        <f t="shared" si="13"/>
        <v>100</v>
      </c>
      <c r="V37" s="769" t="s">
        <v>17</v>
      </c>
      <c r="W37" s="770">
        <f t="shared" si="14"/>
        <v>100</v>
      </c>
      <c r="X37" s="771"/>
      <c r="Y37" s="3182"/>
      <c r="Z37" s="55" t="str">
        <f t="shared" si="15"/>
        <v>市政基础设施</v>
      </c>
      <c r="AA37" s="772">
        <f t="shared" si="3"/>
        <v>1</v>
      </c>
      <c r="AB37" s="772">
        <f t="shared" si="4"/>
        <v>1</v>
      </c>
      <c r="AC37" s="772">
        <f t="shared" si="5"/>
        <v>1</v>
      </c>
    </row>
    <row r="38" spans="1:29" ht="15">
      <c r="A38" s="471"/>
      <c r="B38" s="421" t="s">
        <v>2646</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22" t="s">
        <v>2547</v>
      </c>
      <c r="Q38" s="1811" t="str">
        <f t="shared" si="11"/>
        <v>业态</v>
      </c>
      <c r="R38" s="773" t="s">
        <v>17</v>
      </c>
      <c r="S38" s="774">
        <f t="shared" si="12"/>
        <v>100</v>
      </c>
      <c r="T38" s="773" t="s">
        <v>17</v>
      </c>
      <c r="U38" s="774">
        <f t="shared" si="13"/>
        <v>100</v>
      </c>
      <c r="V38" s="773" t="s">
        <v>17</v>
      </c>
      <c r="W38" s="774">
        <f t="shared" si="14"/>
        <v>100</v>
      </c>
      <c r="X38" s="1814"/>
      <c r="Y38" s="3182" t="s">
        <v>2547</v>
      </c>
      <c r="Z38" s="1815" t="str">
        <f t="shared" si="15"/>
        <v>业态</v>
      </c>
      <c r="AA38" s="1812">
        <f t="shared" si="3"/>
        <v>1</v>
      </c>
      <c r="AB38" s="1812">
        <f t="shared" si="4"/>
        <v>1</v>
      </c>
      <c r="AC38" s="1812">
        <f t="shared" si="5"/>
        <v>1</v>
      </c>
    </row>
    <row r="39" spans="1:29" ht="15">
      <c r="A39" s="471"/>
      <c r="B39" s="421" t="s">
        <v>2647</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22"/>
      <c r="Q39" s="1811" t="str">
        <f t="shared" si="11"/>
        <v>层高</v>
      </c>
      <c r="R39" s="773" t="s">
        <v>17</v>
      </c>
      <c r="S39" s="774">
        <f t="shared" si="12"/>
        <v>100</v>
      </c>
      <c r="T39" s="773" t="s">
        <v>17</v>
      </c>
      <c r="U39" s="774">
        <f t="shared" si="13"/>
        <v>100</v>
      </c>
      <c r="V39" s="773" t="s">
        <v>17</v>
      </c>
      <c r="W39" s="774">
        <f t="shared" si="14"/>
        <v>100</v>
      </c>
      <c r="X39" s="1814"/>
      <c r="Y39" s="3182"/>
      <c r="Z39" s="1815" t="str">
        <f t="shared" si="15"/>
        <v>层高</v>
      </c>
      <c r="AA39" s="1812">
        <f t="shared" si="3"/>
        <v>1</v>
      </c>
      <c r="AB39" s="1812">
        <f t="shared" si="4"/>
        <v>1</v>
      </c>
      <c r="AC39" s="1812">
        <f t="shared" si="5"/>
        <v>1</v>
      </c>
    </row>
    <row r="40" spans="1:29" ht="15">
      <c r="A40" s="471"/>
      <c r="B40" s="421" t="s">
        <v>2648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2"/>
      <c r="Q40" s="1811" t="str">
        <f t="shared" si="11"/>
        <v>单套建筑面积</v>
      </c>
      <c r="R40" s="773" t="s">
        <v>17</v>
      </c>
      <c r="S40" s="774">
        <f t="shared" si="12"/>
        <v>100</v>
      </c>
      <c r="T40" s="773" t="s">
        <v>17</v>
      </c>
      <c r="U40" s="774">
        <f t="shared" si="13"/>
        <v>100</v>
      </c>
      <c r="V40" s="773" t="s">
        <v>17</v>
      </c>
      <c r="W40" s="774">
        <f t="shared" si="14"/>
        <v>100</v>
      </c>
      <c r="X40" s="1814"/>
      <c r="Y40" s="3182"/>
      <c r="Z40" s="1815" t="str">
        <f t="shared" si="15"/>
        <v>单套建筑面积</v>
      </c>
      <c r="AA40" s="1812">
        <f t="shared" si="3"/>
        <v>1</v>
      </c>
      <c r="AB40" s="1812">
        <f t="shared" si="4"/>
        <v>1</v>
      </c>
      <c r="AC40" s="1812">
        <f t="shared" si="5"/>
        <v>1</v>
      </c>
    </row>
    <row r="41" spans="1:29" s="470" customFormat="1" ht="15">
      <c r="A41" s="467"/>
      <c r="B41" s="1813" t="s">
        <v>2649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2"/>
      <c r="Q41" s="775" t="str">
        <f t="shared" si="11"/>
        <v>进深比</v>
      </c>
      <c r="R41" s="776" t="s">
        <v>17</v>
      </c>
      <c r="S41" s="777">
        <f t="shared" si="12"/>
        <v>100</v>
      </c>
      <c r="T41" s="776" t="s">
        <v>17</v>
      </c>
      <c r="U41" s="777">
        <f t="shared" si="13"/>
        <v>100</v>
      </c>
      <c r="V41" s="776" t="s">
        <v>17</v>
      </c>
      <c r="W41" s="777">
        <f t="shared" si="14"/>
        <v>100</v>
      </c>
      <c r="X41" s="778"/>
      <c r="Y41" s="3182"/>
      <c r="Z41" s="779" t="str">
        <f t="shared" si="15"/>
        <v>进深比</v>
      </c>
      <c r="AA41" s="1812">
        <f t="shared" si="3"/>
        <v>1</v>
      </c>
      <c r="AB41" s="1812">
        <f t="shared" si="4"/>
        <v>1</v>
      </c>
      <c r="AC41" s="1812">
        <f t="shared" si="5"/>
        <v>1</v>
      </c>
    </row>
    <row r="42" spans="1:29" ht="15">
      <c r="A42" s="471"/>
      <c r="B42" s="421" t="s">
        <v>2650</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22"/>
      <c r="Q42" s="1811" t="str">
        <f t="shared" si="11"/>
        <v>内部装修</v>
      </c>
      <c r="R42" s="773" t="s">
        <v>17</v>
      </c>
      <c r="S42" s="774">
        <f t="shared" si="12"/>
        <v>100</v>
      </c>
      <c r="T42" s="773" t="s">
        <v>17</v>
      </c>
      <c r="U42" s="774">
        <f t="shared" si="13"/>
        <v>100</v>
      </c>
      <c r="V42" s="773" t="s">
        <v>17</v>
      </c>
      <c r="W42" s="774">
        <f t="shared" si="14"/>
        <v>100</v>
      </c>
      <c r="X42" s="1814"/>
      <c r="Y42" s="3182"/>
      <c r="Z42" s="1815" t="str">
        <f t="shared" si="15"/>
        <v>内部装修</v>
      </c>
      <c r="AA42" s="1812">
        <f t="shared" si="3"/>
        <v>1</v>
      </c>
      <c r="AB42" s="1812">
        <f t="shared" si="4"/>
        <v>1</v>
      </c>
      <c r="AC42" s="1812">
        <f t="shared" si="5"/>
        <v>1</v>
      </c>
    </row>
    <row r="43" spans="1:29" ht="15">
      <c r="A43" s="471"/>
      <c r="B43" s="421" t="s">
        <v>2558</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22"/>
      <c r="Q43" s="1811" t="str">
        <f t="shared" si="11"/>
        <v>内部装修维护情况</v>
      </c>
      <c r="R43" s="773" t="s">
        <v>17</v>
      </c>
      <c r="S43" s="774">
        <f t="shared" si="12"/>
        <v>100</v>
      </c>
      <c r="T43" s="773" t="s">
        <v>17</v>
      </c>
      <c r="U43" s="774">
        <f t="shared" si="13"/>
        <v>100</v>
      </c>
      <c r="V43" s="773" t="s">
        <v>17</v>
      </c>
      <c r="W43" s="774">
        <f t="shared" si="14"/>
        <v>100</v>
      </c>
      <c r="X43" s="1814"/>
      <c r="Y43" s="3182"/>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2"/>
      <c r="Q44" s="1796">
        <f t="shared" si="11"/>
        <v>111</v>
      </c>
      <c r="R44" s="769" t="s">
        <v>17</v>
      </c>
      <c r="S44" s="770">
        <f t="shared" si="12"/>
        <v>100</v>
      </c>
      <c r="T44" s="769" t="s">
        <v>17</v>
      </c>
      <c r="U44" s="770">
        <f t="shared" si="13"/>
        <v>100</v>
      </c>
      <c r="V44" s="769" t="s">
        <v>17</v>
      </c>
      <c r="W44" s="770">
        <f t="shared" si="14"/>
        <v>100</v>
      </c>
      <c r="X44" s="771"/>
      <c r="Y44" s="318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2"/>
      <c r="Q45" s="1811">
        <f t="shared" si="11"/>
        <v>111</v>
      </c>
      <c r="R45" s="773" t="s">
        <v>17</v>
      </c>
      <c r="S45" s="774">
        <f t="shared" si="12"/>
        <v>100</v>
      </c>
      <c r="T45" s="773" t="s">
        <v>17</v>
      </c>
      <c r="U45" s="774">
        <f t="shared" si="13"/>
        <v>100</v>
      </c>
      <c r="V45" s="773" t="s">
        <v>17</v>
      </c>
      <c r="W45" s="774">
        <f t="shared" si="14"/>
        <v>100</v>
      </c>
      <c r="X45" s="1814"/>
      <c r="Y45" s="3182"/>
      <c r="Z45" s="1815">
        <f t="shared" si="15"/>
        <v>111</v>
      </c>
      <c r="AA45" s="1812">
        <f t="shared" si="3"/>
        <v>1</v>
      </c>
      <c r="AB45" s="1812">
        <f t="shared" si="4"/>
        <v>1</v>
      </c>
      <c r="AC45" s="1812">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3"/>
      <c r="Q46" s="1811">
        <f t="shared" si="11"/>
        <v>111</v>
      </c>
      <c r="R46" s="773" t="s">
        <v>17</v>
      </c>
      <c r="S46" s="774">
        <f t="shared" si="12"/>
        <v>100</v>
      </c>
      <c r="T46" s="773" t="s">
        <v>17</v>
      </c>
      <c r="U46" s="774">
        <f t="shared" si="13"/>
        <v>100</v>
      </c>
      <c r="V46" s="773" t="s">
        <v>17</v>
      </c>
      <c r="W46" s="774">
        <f t="shared" si="14"/>
        <v>100</v>
      </c>
      <c r="X46" s="1814"/>
      <c r="Y46" s="3224"/>
      <c r="Z46" s="1815">
        <f t="shared" si="15"/>
        <v>111</v>
      </c>
      <c r="AA46" s="1812">
        <f t="shared" si="3"/>
        <v>1</v>
      </c>
      <c r="AB46" s="1812">
        <f t="shared" si="4"/>
        <v>1</v>
      </c>
      <c r="AC46" s="1812">
        <f t="shared" si="5"/>
        <v>1</v>
      </c>
    </row>
    <row r="47" spans="1:29" ht="15">
      <c r="A47" s="478" t="s">
        <v>2559</v>
      </c>
      <c r="B47" s="479"/>
      <c r="C47" s="1409" t="s">
        <v>1</v>
      </c>
      <c r="D47" s="1410"/>
      <c r="E47" s="1411"/>
      <c r="F47" s="1412"/>
      <c r="G47" s="1413"/>
      <c r="H47" s="1414"/>
      <c r="I47" s="1411"/>
      <c r="J47" s="1414"/>
      <c r="K47" s="782"/>
      <c r="L47" s="1145"/>
      <c r="M47" s="1146"/>
      <c r="N47" s="1133"/>
      <c r="O47" s="1146"/>
      <c r="P47" s="3164" t="str">
        <f>A47</f>
        <v>成交单价（元/平方米）</v>
      </c>
      <c r="Q47" s="3164"/>
      <c r="R47" s="3177">
        <f>E47</f>
        <v>0</v>
      </c>
      <c r="S47" s="3177"/>
      <c r="T47" s="3177">
        <f>G47</f>
        <v>0</v>
      </c>
      <c r="U47" s="3177"/>
      <c r="V47" s="3177">
        <f>I47</f>
        <v>0</v>
      </c>
      <c r="W47" s="3177"/>
      <c r="X47" s="758"/>
      <c r="Y47" s="780"/>
      <c r="Z47" s="758"/>
      <c r="AA47" s="758"/>
      <c r="AB47" s="758"/>
      <c r="AC47" s="758"/>
    </row>
    <row r="48" spans="1:29" ht="15.75" thickBot="1">
      <c r="A48" s="485" t="s">
        <v>2651</v>
      </c>
      <c r="B48" s="486"/>
      <c r="C48" s="1415" t="e">
        <f>R49</f>
        <v>#DIV/0!</v>
      </c>
      <c r="D48" s="1416"/>
      <c r="E48" s="1417" t="e">
        <f>R48</f>
        <v>#DIV/0!</v>
      </c>
      <c r="F48" s="1417"/>
      <c r="G48" s="1415" t="e">
        <f>T48</f>
        <v>#DIV/0!</v>
      </c>
      <c r="H48" s="1416"/>
      <c r="I48" s="1417" t="e">
        <f>V48</f>
        <v>#DIV/0!</v>
      </c>
      <c r="J48" s="1416"/>
      <c r="K48" s="783"/>
      <c r="L48" s="1145"/>
      <c r="M48" s="1146"/>
      <c r="N48" s="1133"/>
      <c r="O48" s="1146"/>
      <c r="P48" s="3164" t="str">
        <f>A48</f>
        <v>比较价值（元/平方米）</v>
      </c>
      <c r="Q48" s="3164"/>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2652</v>
      </c>
      <c r="B49" s="492"/>
      <c r="C49" s="1419" t="e">
        <f>R49</f>
        <v>#DIV/0!</v>
      </c>
      <c r="D49" s="1419"/>
      <c r="E49" s="1419"/>
      <c r="F49" s="1419"/>
      <c r="G49" s="1419"/>
      <c r="H49" s="1419"/>
      <c r="I49" s="1419"/>
      <c r="J49" s="1419"/>
      <c r="K49" s="784"/>
      <c r="L49" s="1145"/>
      <c r="M49" s="1146"/>
      <c r="N49" s="1133"/>
      <c r="O49" s="1146"/>
      <c r="P49" s="3184" t="str">
        <f>A49</f>
        <v>估价对象XX用房的比较价值（楼面单价，元/平方米）</v>
      </c>
      <c r="Q49" s="3185"/>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2656</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2530</v>
      </c>
      <c r="B58" s="505"/>
      <c r="C58" s="1575" t="str">
        <f>YEAR(C7)&amp;"-"&amp;MONTH(C7)</f>
        <v>2017-9</v>
      </c>
      <c r="D58" s="1576">
        <f>EDATE(C58,-1)</f>
        <v>42948</v>
      </c>
      <c r="E58" s="1576">
        <f t="shared" ref="E58:N58" si="16">EDATE(D58,-1)</f>
        <v>42917</v>
      </c>
      <c r="F58" s="1576">
        <f t="shared" si="16"/>
        <v>42887</v>
      </c>
      <c r="G58" s="1576">
        <f t="shared" si="16"/>
        <v>42856</v>
      </c>
      <c r="H58" s="1576">
        <f t="shared" si="16"/>
        <v>42826</v>
      </c>
      <c r="I58" s="1576">
        <f t="shared" si="16"/>
        <v>42795</v>
      </c>
      <c r="J58" s="1576">
        <f t="shared" si="16"/>
        <v>42767</v>
      </c>
      <c r="K58" s="1576">
        <f t="shared" si="16"/>
        <v>42736</v>
      </c>
      <c r="L58" s="1576">
        <f t="shared" si="16"/>
        <v>42705</v>
      </c>
      <c r="M58" s="1576">
        <f t="shared" si="16"/>
        <v>42675</v>
      </c>
      <c r="N58" s="1576">
        <f t="shared" si="16"/>
        <v>42644</v>
      </c>
      <c r="O58" s="1576">
        <f>EDATE(N58,-1)</f>
        <v>42614</v>
      </c>
      <c r="P58" s="1571"/>
    </row>
    <row r="59" spans="1:29" s="116" customFormat="1" ht="15">
      <c r="A59" s="508"/>
      <c r="B59" s="509"/>
      <c r="C59" s="1574">
        <v>100</v>
      </c>
      <c r="D59" s="511"/>
      <c r="E59" s="511"/>
      <c r="F59" s="511"/>
      <c r="G59" s="511"/>
      <c r="H59" s="511"/>
      <c r="I59" s="511"/>
      <c r="J59" s="511"/>
      <c r="K59" s="511"/>
      <c r="L59" s="511"/>
      <c r="M59" s="512"/>
      <c r="N59" s="511"/>
      <c r="O59" s="512"/>
      <c r="P59" s="2628"/>
    </row>
    <row r="60" spans="1:29" s="116" customFormat="1" ht="15.75" thickBot="1">
      <c r="A60" s="514" t="s">
        <v>2567</v>
      </c>
      <c r="B60" s="515"/>
      <c r="C60" s="516"/>
      <c r="D60" s="517"/>
      <c r="E60" s="517"/>
      <c r="F60" s="517"/>
      <c r="G60" s="517"/>
      <c r="H60" s="517"/>
      <c r="I60" s="517"/>
      <c r="J60" s="517"/>
      <c r="K60" s="517"/>
      <c r="L60" s="517"/>
      <c r="M60" s="518"/>
      <c r="N60" s="517"/>
      <c r="O60" s="518"/>
      <c r="P60" s="2628"/>
      <c r="Q60" s="503"/>
    </row>
    <row r="61" spans="1:29" s="116" customFormat="1" ht="15">
      <c r="A61" s="520" t="s">
        <v>2532</v>
      </c>
      <c r="B61" s="509"/>
      <c r="C61" s="521" t="s">
        <v>2634</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2570</v>
      </c>
      <c r="B63" s="527" t="s">
        <v>2536</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2540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2637</v>
      </c>
      <c r="C82" s="659" t="s">
        <v>2657</v>
      </c>
      <c r="D82" s="659" t="s">
        <v>2658</v>
      </c>
      <c r="E82" s="659" t="s">
        <v>2659</v>
      </c>
      <c r="F82" s="659" t="s">
        <v>2660</v>
      </c>
      <c r="G82" s="659" t="s">
        <v>2661</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2662</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6"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2545</v>
      </c>
      <c r="B100" s="527" t="s">
        <v>2663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2595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2596</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2598</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1981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2600</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2664</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2665</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2666</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2667</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2602</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9" t="s">
        <v>2668</v>
      </c>
      <c r="C1" s="1621" t="s">
        <v>2512</v>
      </c>
      <c r="D1" s="1622"/>
      <c r="E1" s="1631"/>
      <c r="F1" s="2584"/>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2626</v>
      </c>
      <c r="D3" s="398">
        <f>IF(D1="",'数据-汇总表'!E3,SUMIF('数据-汇总表'!$C19:$C33,D1,'数据-汇总表'!$E19:$E33))</f>
        <v>222493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233" t="s">
        <v>2633</v>
      </c>
      <c r="Q4" s="3234"/>
      <c r="R4" s="3228" t="s">
        <v>2629</v>
      </c>
      <c r="S4" s="3229"/>
      <c r="T4" s="3228" t="s">
        <v>2630</v>
      </c>
      <c r="U4" s="3229"/>
      <c r="V4" s="3237" t="s">
        <v>2631</v>
      </c>
      <c r="W4" s="3237"/>
      <c r="X4" s="2670"/>
      <c r="Y4" s="3228" t="s">
        <v>2633</v>
      </c>
      <c r="Z4" s="3229"/>
      <c r="AA4" s="3227" t="s">
        <v>2629</v>
      </c>
      <c r="AB4" s="3227" t="s">
        <v>2630</v>
      </c>
      <c r="AC4" s="3230" t="s">
        <v>2631</v>
      </c>
    </row>
    <row r="5" spans="1:29" ht="15">
      <c r="A5" s="403"/>
      <c r="B5" s="404"/>
      <c r="C5" s="3218" t="s">
        <v>2524</v>
      </c>
      <c r="D5" s="3159"/>
      <c r="E5" s="3217" t="s">
        <v>2525</v>
      </c>
      <c r="F5" s="3157"/>
      <c r="G5" s="3218" t="s">
        <v>2526</v>
      </c>
      <c r="H5" s="3159"/>
      <c r="I5" s="3218" t="s">
        <v>2527</v>
      </c>
      <c r="J5" s="3159"/>
      <c r="K5" s="609"/>
      <c r="L5" s="1132"/>
      <c r="M5" s="1133"/>
      <c r="N5" s="1133"/>
      <c r="O5" s="1133"/>
      <c r="P5" s="3235"/>
      <c r="Q5" s="3172"/>
      <c r="R5" s="3154"/>
      <c r="S5" s="3155"/>
      <c r="T5" s="3154"/>
      <c r="U5" s="3155"/>
      <c r="V5" s="3177"/>
      <c r="W5" s="3177"/>
      <c r="X5" s="1814"/>
      <c r="Y5" s="3154"/>
      <c r="Z5" s="3155"/>
      <c r="AA5" s="3148"/>
      <c r="AB5" s="3148"/>
      <c r="AC5" s="3231"/>
    </row>
    <row r="6" spans="1:29" ht="15.75" thickBot="1">
      <c r="A6" s="405"/>
      <c r="B6" s="406"/>
      <c r="C6" s="3160" t="s">
        <v>2528</v>
      </c>
      <c r="D6" s="3161"/>
      <c r="E6" s="3162" t="s">
        <v>2528</v>
      </c>
      <c r="F6" s="3163"/>
      <c r="G6" s="3160" t="s">
        <v>2528</v>
      </c>
      <c r="H6" s="3161"/>
      <c r="I6" s="3160" t="s">
        <v>2528</v>
      </c>
      <c r="J6" s="3161"/>
      <c r="K6" s="609" t="s">
        <v>2529</v>
      </c>
      <c r="L6" s="1132"/>
      <c r="M6" s="1133"/>
      <c r="N6" s="1133"/>
      <c r="O6" s="1133"/>
      <c r="P6" s="3236"/>
      <c r="Q6" s="3174"/>
      <c r="R6" s="3154"/>
      <c r="S6" s="3155"/>
      <c r="T6" s="3175"/>
      <c r="U6" s="3176"/>
      <c r="V6" s="3177"/>
      <c r="W6" s="3177"/>
      <c r="X6" s="1814"/>
      <c r="Y6" s="3175"/>
      <c r="Z6" s="3176"/>
      <c r="AA6" s="3149"/>
      <c r="AB6" s="3149"/>
      <c r="AC6" s="3232"/>
    </row>
    <row r="7" spans="1:29" s="116" customFormat="1" ht="15.75" thickBot="1">
      <c r="A7" s="407" t="s">
        <v>2530</v>
      </c>
      <c r="B7" s="408"/>
      <c r="C7" s="409">
        <f>'数据-取费表'!B2</f>
        <v>42990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8" t="s">
        <v>2531</v>
      </c>
      <c r="Q7" s="3178"/>
      <c r="R7" s="769" t="s">
        <v>17</v>
      </c>
      <c r="S7" s="770">
        <f t="shared" ref="S7:S15" si="0">F7</f>
        <v>0</v>
      </c>
      <c r="T7" s="769" t="s">
        <v>17</v>
      </c>
      <c r="U7" s="770">
        <f t="shared" ref="U7:U15" si="1">H7</f>
        <v>0</v>
      </c>
      <c r="V7" s="769" t="s">
        <v>17</v>
      </c>
      <c r="W7" s="770">
        <f t="shared" ref="W7:W15" si="2">J7</f>
        <v>0</v>
      </c>
      <c r="X7" s="771"/>
      <c r="Y7" s="3150" t="s">
        <v>2531</v>
      </c>
      <c r="Z7" s="3151"/>
      <c r="AA7" s="772" t="e">
        <f>D7/F7</f>
        <v>#DIV/0!</v>
      </c>
      <c r="AB7" s="772" t="e">
        <f>D7/H7</f>
        <v>#DIV/0!</v>
      </c>
      <c r="AC7" s="2671" t="e">
        <f>D7/J7</f>
        <v>#DIV/0!</v>
      </c>
    </row>
    <row r="8" spans="1:29" s="116" customFormat="1" ht="15.75" thickBot="1">
      <c r="A8" s="407" t="s">
        <v>2532</v>
      </c>
      <c r="B8" s="408"/>
      <c r="C8" s="413" t="s">
        <v>2634</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8" t="s">
        <v>2534</v>
      </c>
      <c r="Q8" s="3151"/>
      <c r="R8" s="769" t="s">
        <v>17</v>
      </c>
      <c r="S8" s="770">
        <f t="shared" si="0"/>
        <v>0</v>
      </c>
      <c r="T8" s="769" t="s">
        <v>17</v>
      </c>
      <c r="U8" s="770">
        <f t="shared" si="1"/>
        <v>0</v>
      </c>
      <c r="V8" s="769" t="s">
        <v>17</v>
      </c>
      <c r="W8" s="770">
        <f t="shared" si="2"/>
        <v>0</v>
      </c>
      <c r="X8" s="771"/>
      <c r="Y8" s="3150" t="s">
        <v>2534</v>
      </c>
      <c r="Z8" s="3151"/>
      <c r="AA8" s="772" t="e">
        <f t="shared" ref="AA8:AA47" si="3">D8/F8</f>
        <v>#DIV/0!</v>
      </c>
      <c r="AB8" s="772" t="e">
        <f t="shared" ref="AB8:AB47" si="4">D8/H8</f>
        <v>#DIV/0!</v>
      </c>
      <c r="AC8" s="2671" t="e">
        <f t="shared" ref="AC8:AC47" si="5">D8/J8</f>
        <v>#DIV/0!</v>
      </c>
    </row>
    <row r="9" spans="1:29" s="116" customFormat="1">
      <c r="A9" s="414" t="s">
        <v>2535</v>
      </c>
      <c r="B9" s="71" t="s">
        <v>2536</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8"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2671">
        <f t="shared" si="5"/>
        <v>1</v>
      </c>
    </row>
    <row r="10" spans="1:29" s="426" customFormat="1" ht="27">
      <c r="A10" s="420"/>
      <c r="B10" s="421" t="s">
        <v>2539</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8"/>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2671">
        <f t="shared" si="5"/>
        <v>1</v>
      </c>
    </row>
    <row r="11" spans="1:29" ht="15">
      <c r="A11" s="427"/>
      <c r="B11" s="421" t="s">
        <v>2540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8"/>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188"/>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188"/>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88"/>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2671">
        <f t="shared" si="5"/>
        <v>1</v>
      </c>
    </row>
    <row r="15" spans="1:29" ht="71.25">
      <c r="A15" s="439" t="s">
        <v>2541</v>
      </c>
      <c r="B15" s="628" t="s">
        <v>2669</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5" t="s">
        <v>2542</v>
      </c>
      <c r="Q15" s="1811" t="str">
        <f t="shared" si="6"/>
        <v>办公集聚程度</v>
      </c>
      <c r="R15" s="773" t="s">
        <v>17</v>
      </c>
      <c r="S15" s="774">
        <f t="shared" si="0"/>
        <v>100</v>
      </c>
      <c r="T15" s="773" t="s">
        <v>17</v>
      </c>
      <c r="U15" s="774">
        <f t="shared" si="1"/>
        <v>100</v>
      </c>
      <c r="V15" s="773" t="s">
        <v>17</v>
      </c>
      <c r="W15" s="774">
        <f t="shared" si="2"/>
        <v>100</v>
      </c>
      <c r="X15" s="1814"/>
      <c r="Y15" s="3179" t="s">
        <v>2542</v>
      </c>
      <c r="Z15" s="1815" t="str">
        <f t="shared" si="7"/>
        <v>办公集聚程度</v>
      </c>
      <c r="AA15" s="1812">
        <f t="shared" si="3"/>
        <v>1</v>
      </c>
      <c r="AB15" s="1812">
        <f t="shared" si="4"/>
        <v>1</v>
      </c>
      <c r="AC15" s="2674">
        <f t="shared" si="5"/>
        <v>1</v>
      </c>
    </row>
    <row r="16" spans="1:29" ht="15">
      <c r="A16" s="427"/>
      <c r="B16" s="629"/>
      <c r="C16" s="2611"/>
      <c r="D16" s="447"/>
      <c r="E16" s="446"/>
      <c r="F16" s="447"/>
      <c r="G16" s="2611"/>
      <c r="H16" s="449"/>
      <c r="I16" s="446"/>
      <c r="J16" s="447"/>
      <c r="K16" s="614"/>
      <c r="L16" s="1142"/>
      <c r="M16" s="1133"/>
      <c r="N16" s="1133"/>
      <c r="O16" s="1133"/>
      <c r="P16" s="3226"/>
      <c r="Q16" s="1811"/>
      <c r="R16" s="773"/>
      <c r="S16" s="774"/>
      <c r="T16" s="773"/>
      <c r="U16" s="774"/>
      <c r="V16" s="773"/>
      <c r="W16" s="774"/>
      <c r="X16" s="1814"/>
      <c r="Y16" s="3180"/>
      <c r="Z16" s="1815"/>
      <c r="AA16" s="1812">
        <v>1</v>
      </c>
      <c r="AB16" s="1812">
        <v>1</v>
      </c>
      <c r="AC16" s="2674">
        <v>1</v>
      </c>
    </row>
    <row r="17" spans="1:29" ht="71.25">
      <c r="A17" s="427"/>
      <c r="B17" s="630" t="s">
        <v>2083</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6"/>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2674">
        <f t="shared" si="5"/>
        <v>1</v>
      </c>
    </row>
    <row r="18" spans="1:29" ht="15">
      <c r="A18" s="427"/>
      <c r="B18" s="631"/>
      <c r="C18" s="2676"/>
      <c r="D18" s="449"/>
      <c r="E18" s="2609"/>
      <c r="F18" s="449"/>
      <c r="G18" s="2610"/>
      <c r="H18" s="447"/>
      <c r="I18" s="2610"/>
      <c r="J18" s="447"/>
      <c r="K18" s="614"/>
      <c r="L18" s="1142"/>
      <c r="M18" s="1133"/>
      <c r="N18" s="1133"/>
      <c r="O18" s="1133"/>
      <c r="P18" s="3226"/>
      <c r="Q18" s="1811"/>
      <c r="R18" s="773"/>
      <c r="S18" s="774"/>
      <c r="T18" s="773"/>
      <c r="U18" s="774"/>
      <c r="V18" s="773"/>
      <c r="W18" s="774"/>
      <c r="X18" s="1814"/>
      <c r="Y18" s="3180"/>
      <c r="Z18" s="1815"/>
      <c r="AA18" s="1812">
        <v>1</v>
      </c>
      <c r="AB18" s="1812">
        <v>1</v>
      </c>
      <c r="AC18" s="2674">
        <v>1</v>
      </c>
    </row>
    <row r="19" spans="1:29" ht="42.75">
      <c r="A19" s="427"/>
      <c r="B19" s="630" t="s">
        <v>2670</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6"/>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2674">
        <f t="shared" si="5"/>
        <v>1</v>
      </c>
    </row>
    <row r="20" spans="1:29" ht="15">
      <c r="A20" s="427"/>
      <c r="B20" s="631"/>
      <c r="C20" s="2611"/>
      <c r="D20" s="447"/>
      <c r="E20" s="2604"/>
      <c r="F20" s="447"/>
      <c r="G20" s="2605"/>
      <c r="H20" s="447"/>
      <c r="I20" s="2605"/>
      <c r="J20" s="447"/>
      <c r="K20" s="614"/>
      <c r="L20" s="1142"/>
      <c r="M20" s="1133"/>
      <c r="N20" s="1133"/>
      <c r="O20" s="1133"/>
      <c r="P20" s="3226"/>
      <c r="Q20" s="1811"/>
      <c r="R20" s="773"/>
      <c r="S20" s="774"/>
      <c r="T20" s="773"/>
      <c r="U20" s="774"/>
      <c r="V20" s="773"/>
      <c r="W20" s="774"/>
      <c r="X20" s="1814"/>
      <c r="Y20" s="3180"/>
      <c r="Z20" s="1815"/>
      <c r="AA20" s="1812">
        <v>1</v>
      </c>
      <c r="AB20" s="1812">
        <v>1</v>
      </c>
      <c r="AC20" s="2674">
        <v>1</v>
      </c>
    </row>
    <row r="21" spans="1:29" ht="28.5">
      <c r="A21" s="427"/>
      <c r="B21" s="632" t="s">
        <v>2671</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6"/>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26"/>
      <c r="Q22" s="1811"/>
      <c r="R22" s="773"/>
      <c r="S22" s="774"/>
      <c r="T22" s="773"/>
      <c r="U22" s="774"/>
      <c r="V22" s="773"/>
      <c r="W22" s="774"/>
      <c r="X22" s="1814"/>
      <c r="Y22" s="3180"/>
      <c r="Z22" s="1815"/>
      <c r="AA22" s="1812">
        <v>1</v>
      </c>
      <c r="AB22" s="1812">
        <v>1</v>
      </c>
      <c r="AC22" s="2674">
        <v>1</v>
      </c>
    </row>
    <row r="23" spans="1:29" ht="42.75">
      <c r="A23" s="427"/>
      <c r="B23" s="630" t="s">
        <v>2672</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6"/>
      <c r="Q23" s="1811" t="str">
        <f>B23</f>
        <v>环境质量</v>
      </c>
      <c r="R23" s="773" t="s">
        <v>17</v>
      </c>
      <c r="S23" s="774">
        <f>F23</f>
        <v>100</v>
      </c>
      <c r="T23" s="773" t="s">
        <v>17</v>
      </c>
      <c r="U23" s="774">
        <f>H23</f>
        <v>100</v>
      </c>
      <c r="V23" s="773" t="s">
        <v>17</v>
      </c>
      <c r="W23" s="774">
        <f>J23</f>
        <v>100</v>
      </c>
      <c r="X23" s="1814"/>
      <c r="Y23" s="3180"/>
      <c r="Z23" s="1815" t="str">
        <f>Q23</f>
        <v>环境质量</v>
      </c>
      <c r="AA23" s="1812">
        <f t="shared" si="3"/>
        <v>1</v>
      </c>
      <c r="AB23" s="1812">
        <f t="shared" si="4"/>
        <v>1</v>
      </c>
      <c r="AC23" s="2674">
        <f t="shared" si="5"/>
        <v>1</v>
      </c>
    </row>
    <row r="24" spans="1:29" ht="15">
      <c r="A24" s="427"/>
      <c r="B24" s="632"/>
      <c r="C24" s="2611"/>
      <c r="D24" s="447"/>
      <c r="E24" s="2604"/>
      <c r="F24" s="447"/>
      <c r="G24" s="2605"/>
      <c r="H24" s="447"/>
      <c r="I24" s="2605"/>
      <c r="J24" s="447"/>
      <c r="K24" s="614"/>
      <c r="L24" s="1142"/>
      <c r="M24" s="1133"/>
      <c r="N24" s="1133"/>
      <c r="O24" s="1133"/>
      <c r="P24" s="3226"/>
      <c r="Q24" s="1811"/>
      <c r="R24" s="773"/>
      <c r="S24" s="774"/>
      <c r="T24" s="773"/>
      <c r="U24" s="774"/>
      <c r="V24" s="773"/>
      <c r="W24" s="774"/>
      <c r="X24" s="1814"/>
      <c r="Y24" s="3180"/>
      <c r="Z24" s="1815"/>
      <c r="AA24" s="1812">
        <v>1</v>
      </c>
      <c r="AB24" s="1812">
        <v>1</v>
      </c>
      <c r="AC24" s="2674">
        <v>1</v>
      </c>
    </row>
    <row r="25" spans="1:29" ht="27">
      <c r="A25" s="403"/>
      <c r="B25" s="630" t="s">
        <v>2673</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26"/>
      <c r="Q25" s="1811" t="str">
        <f>B25</f>
        <v>毗邻道路的类型与等级</v>
      </c>
      <c r="R25" s="773" t="s">
        <v>17</v>
      </c>
      <c r="S25" s="774">
        <f>F25</f>
        <v>100</v>
      </c>
      <c r="T25" s="773" t="s">
        <v>17</v>
      </c>
      <c r="U25" s="774">
        <f>H25</f>
        <v>100</v>
      </c>
      <c r="V25" s="773" t="s">
        <v>17</v>
      </c>
      <c r="W25" s="774">
        <f>J25</f>
        <v>100</v>
      </c>
      <c r="X25" s="1814"/>
      <c r="Y25" s="3180"/>
      <c r="Z25" s="1815" t="str">
        <f>Q25</f>
        <v>毗邻道路的类型与等级</v>
      </c>
      <c r="AA25" s="1812">
        <f t="shared" si="3"/>
        <v>1</v>
      </c>
      <c r="AB25" s="1812">
        <f t="shared" si="4"/>
        <v>1</v>
      </c>
      <c r="AC25" s="2674">
        <f t="shared" si="5"/>
        <v>1</v>
      </c>
    </row>
    <row r="26" spans="1:29" ht="15">
      <c r="A26" s="403"/>
      <c r="B26" s="631"/>
      <c r="C26" s="633"/>
      <c r="D26" s="434"/>
      <c r="E26" s="615"/>
      <c r="F26" s="434"/>
      <c r="G26" s="633"/>
      <c r="H26" s="434"/>
      <c r="I26" s="615"/>
      <c r="J26" s="434"/>
      <c r="K26" s="614"/>
      <c r="L26" s="1142"/>
      <c r="M26" s="1133"/>
      <c r="N26" s="1133"/>
      <c r="O26" s="1133"/>
      <c r="P26" s="3226"/>
      <c r="Q26" s="1811"/>
      <c r="R26" s="773"/>
      <c r="S26" s="774"/>
      <c r="T26" s="773"/>
      <c r="U26" s="774"/>
      <c r="V26" s="773"/>
      <c r="W26" s="774"/>
      <c r="X26" s="1814"/>
      <c r="Y26" s="3180"/>
      <c r="Z26" s="1815"/>
      <c r="AA26" s="1812">
        <v>1</v>
      </c>
      <c r="AB26" s="1812">
        <v>1</v>
      </c>
      <c r="AC26" s="2674">
        <v>1</v>
      </c>
    </row>
    <row r="27" spans="1:29" ht="15">
      <c r="A27" s="427"/>
      <c r="B27" s="631" t="s">
        <v>2641</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6"/>
      <c r="Q27" s="1811" t="str">
        <f t="shared" ref="Q27:Q47" si="11">B27</f>
        <v>楼层</v>
      </c>
      <c r="R27" s="773" t="s">
        <v>17</v>
      </c>
      <c r="S27" s="774">
        <f>F27</f>
        <v>100</v>
      </c>
      <c r="T27" s="773" t="s">
        <v>17</v>
      </c>
      <c r="U27" s="774">
        <f>H27</f>
        <v>100</v>
      </c>
      <c r="V27" s="773" t="s">
        <v>17</v>
      </c>
      <c r="W27" s="774">
        <f>J27</f>
        <v>100</v>
      </c>
      <c r="X27" s="1814"/>
      <c r="Y27" s="3180"/>
      <c r="Z27" s="1815" t="str">
        <f>Q27</f>
        <v>楼层</v>
      </c>
      <c r="AA27" s="1812">
        <f t="shared" si="3"/>
        <v>1</v>
      </c>
      <c r="AB27" s="1812">
        <f t="shared" si="4"/>
        <v>1</v>
      </c>
      <c r="AC27" s="2674">
        <f t="shared" si="5"/>
        <v>1</v>
      </c>
    </row>
    <row r="28" spans="1:29" s="116" customFormat="1" ht="15">
      <c r="A28" s="430"/>
      <c r="B28" s="630" t="s">
        <v>2674</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26"/>
      <c r="Q28" s="1796" t="str">
        <f t="shared" si="11"/>
        <v>朝向</v>
      </c>
      <c r="R28" s="769" t="s">
        <v>17</v>
      </c>
      <c r="S28" s="770">
        <f>F28</f>
        <v>100</v>
      </c>
      <c r="T28" s="769" t="s">
        <v>17</v>
      </c>
      <c r="U28" s="770">
        <f>H28</f>
        <v>100</v>
      </c>
      <c r="V28" s="769" t="s">
        <v>17</v>
      </c>
      <c r="W28" s="770">
        <f>J28</f>
        <v>100</v>
      </c>
      <c r="X28" s="771"/>
      <c r="Y28" s="3180"/>
      <c r="Z28" s="55" t="str">
        <f>Q28</f>
        <v>朝向</v>
      </c>
      <c r="AA28" s="1812">
        <f>D28/F28</f>
        <v>1</v>
      </c>
      <c r="AB28" s="1812">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26"/>
      <c r="Q29" s="1811">
        <f t="shared" si="11"/>
        <v>111</v>
      </c>
      <c r="R29" s="773" t="s">
        <v>17</v>
      </c>
      <c r="S29" s="774">
        <f t="shared" ref="S29:S47" si="12">F29</f>
        <v>100</v>
      </c>
      <c r="T29" s="773" t="s">
        <v>17</v>
      </c>
      <c r="U29" s="774">
        <f t="shared" ref="U29:U47" si="13">H29</f>
        <v>100</v>
      </c>
      <c r="V29" s="773" t="s">
        <v>17</v>
      </c>
      <c r="W29" s="774">
        <f t="shared" ref="W29:W47" si="14">J29</f>
        <v>100</v>
      </c>
      <c r="X29" s="1814"/>
      <c r="Y29" s="3180"/>
      <c r="Z29" s="1815">
        <f t="shared" ref="Z29:Z47" si="15">Q29</f>
        <v>111</v>
      </c>
      <c r="AA29" s="1812">
        <f t="shared" si="3"/>
        <v>1</v>
      </c>
      <c r="AB29" s="1812">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26"/>
      <c r="Q30" s="1811">
        <f t="shared" si="11"/>
        <v>111</v>
      </c>
      <c r="R30" s="773" t="s">
        <v>17</v>
      </c>
      <c r="S30" s="774">
        <f t="shared" si="12"/>
        <v>100</v>
      </c>
      <c r="T30" s="773" t="s">
        <v>17</v>
      </c>
      <c r="U30" s="774">
        <f t="shared" si="13"/>
        <v>100</v>
      </c>
      <c r="V30" s="773" t="s">
        <v>17</v>
      </c>
      <c r="W30" s="774">
        <f t="shared" si="14"/>
        <v>100</v>
      </c>
      <c r="X30" s="1814"/>
      <c r="Y30" s="3180"/>
      <c r="Z30" s="1815">
        <f t="shared" si="15"/>
        <v>111</v>
      </c>
      <c r="AA30" s="1812">
        <f t="shared" si="3"/>
        <v>1</v>
      </c>
      <c r="AB30" s="1812">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26"/>
      <c r="Q31" s="1811">
        <f t="shared" si="11"/>
        <v>111</v>
      </c>
      <c r="R31" s="773" t="s">
        <v>17</v>
      </c>
      <c r="S31" s="774">
        <f t="shared" si="12"/>
        <v>100</v>
      </c>
      <c r="T31" s="773" t="s">
        <v>17</v>
      </c>
      <c r="U31" s="774">
        <f t="shared" si="13"/>
        <v>100</v>
      </c>
      <c r="V31" s="773" t="s">
        <v>17</v>
      </c>
      <c r="W31" s="774">
        <f t="shared" si="14"/>
        <v>100</v>
      </c>
      <c r="X31" s="1814"/>
      <c r="Y31" s="3180"/>
      <c r="Z31" s="1815">
        <f t="shared" si="15"/>
        <v>111</v>
      </c>
      <c r="AA31" s="1812">
        <f t="shared" si="3"/>
        <v>1</v>
      </c>
      <c r="AB31" s="1812">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26"/>
      <c r="Q32" s="1811">
        <f t="shared" si="11"/>
        <v>111</v>
      </c>
      <c r="R32" s="773" t="s">
        <v>17</v>
      </c>
      <c r="S32" s="774">
        <f t="shared" si="12"/>
        <v>100</v>
      </c>
      <c r="T32" s="773" t="s">
        <v>17</v>
      </c>
      <c r="U32" s="774">
        <f t="shared" si="13"/>
        <v>100</v>
      </c>
      <c r="V32" s="773" t="s">
        <v>17</v>
      </c>
      <c r="W32" s="774">
        <f t="shared" si="14"/>
        <v>100</v>
      </c>
      <c r="X32" s="1814"/>
      <c r="Y32" s="3180"/>
      <c r="Z32" s="1815">
        <f t="shared" si="15"/>
        <v>111</v>
      </c>
      <c r="AA32" s="1812">
        <f t="shared" si="3"/>
        <v>1</v>
      </c>
      <c r="AB32" s="1812">
        <f t="shared" si="4"/>
        <v>1</v>
      </c>
      <c r="AC32" s="2674">
        <f t="shared" si="5"/>
        <v>1</v>
      </c>
    </row>
    <row r="33" spans="1:29" ht="15">
      <c r="A33" s="439" t="s">
        <v>2545</v>
      </c>
      <c r="B33" s="71" t="s">
        <v>2675</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21" t="s">
        <v>2547</v>
      </c>
      <c r="Q33" s="1811" t="str">
        <f t="shared" si="11"/>
        <v>建筑类型</v>
      </c>
      <c r="R33" s="773" t="s">
        <v>17</v>
      </c>
      <c r="S33" s="774">
        <f t="shared" si="12"/>
        <v>100</v>
      </c>
      <c r="T33" s="773" t="s">
        <v>17</v>
      </c>
      <c r="U33" s="774">
        <f t="shared" si="13"/>
        <v>100</v>
      </c>
      <c r="V33" s="773" t="s">
        <v>17</v>
      </c>
      <c r="W33" s="774">
        <f t="shared" si="14"/>
        <v>100</v>
      </c>
      <c r="X33" s="1814"/>
      <c r="Y33" s="3182" t="s">
        <v>2547</v>
      </c>
      <c r="Z33" s="1815" t="str">
        <f t="shared" si="15"/>
        <v>建筑类型</v>
      </c>
      <c r="AA33" s="1812">
        <f t="shared" si="3"/>
        <v>1</v>
      </c>
      <c r="AB33" s="1812">
        <f t="shared" si="4"/>
        <v>1</v>
      </c>
      <c r="AC33" s="2674">
        <f t="shared" si="5"/>
        <v>1</v>
      </c>
    </row>
    <row r="34" spans="1:29" s="470" customFormat="1" ht="15">
      <c r="A34" s="467"/>
      <c r="B34" s="421" t="s">
        <v>2548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2"/>
      <c r="Q34" s="775" t="str">
        <f t="shared" si="11"/>
        <v>项目建筑规模</v>
      </c>
      <c r="R34" s="776" t="s">
        <v>17</v>
      </c>
      <c r="S34" s="777" t="e">
        <f t="shared" si="12"/>
        <v>#N/A</v>
      </c>
      <c r="T34" s="776" t="s">
        <v>17</v>
      </c>
      <c r="U34" s="777" t="e">
        <f t="shared" si="13"/>
        <v>#N/A</v>
      </c>
      <c r="V34" s="776" t="s">
        <v>17</v>
      </c>
      <c r="W34" s="777" t="e">
        <f t="shared" si="14"/>
        <v>#N/A</v>
      </c>
      <c r="X34" s="778"/>
      <c r="Y34" s="3182"/>
      <c r="Z34" s="779" t="str">
        <f t="shared" si="15"/>
        <v>项目建筑规模</v>
      </c>
      <c r="AA34" s="1812" t="e">
        <f t="shared" si="3"/>
        <v>#N/A</v>
      </c>
      <c r="AB34" s="1812" t="e">
        <f t="shared" si="4"/>
        <v>#N/A</v>
      </c>
      <c r="AC34" s="2674" t="e">
        <f t="shared" si="5"/>
        <v>#N/A</v>
      </c>
    </row>
    <row r="35" spans="1:29" ht="15">
      <c r="A35" s="471"/>
      <c r="B35" s="421" t="s">
        <v>2549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2"/>
      <c r="Q35" s="1811" t="str">
        <f t="shared" si="11"/>
        <v>建筑结构</v>
      </c>
      <c r="R35" s="773" t="s">
        <v>17</v>
      </c>
      <c r="S35" s="774">
        <f t="shared" si="12"/>
        <v>100</v>
      </c>
      <c r="T35" s="773" t="s">
        <v>17</v>
      </c>
      <c r="U35" s="774">
        <f t="shared" si="13"/>
        <v>100</v>
      </c>
      <c r="V35" s="773" t="s">
        <v>17</v>
      </c>
      <c r="W35" s="774">
        <f t="shared" si="14"/>
        <v>100</v>
      </c>
      <c r="X35" s="1814"/>
      <c r="Y35" s="3182"/>
      <c r="Z35" s="1815" t="str">
        <f t="shared" si="15"/>
        <v>建筑结构</v>
      </c>
      <c r="AA35" s="1812">
        <f t="shared" si="3"/>
        <v>1</v>
      </c>
      <c r="AB35" s="1812">
        <f t="shared" si="4"/>
        <v>1</v>
      </c>
      <c r="AC35" s="2674">
        <f t="shared" si="5"/>
        <v>1</v>
      </c>
    </row>
    <row r="36" spans="1:29" ht="15">
      <c r="A36" s="471"/>
      <c r="B36" s="421" t="s">
        <v>2643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2"/>
      <c r="Q36" s="1811" t="str">
        <f t="shared" si="11"/>
        <v>公共部分装修</v>
      </c>
      <c r="R36" s="773" t="s">
        <v>17</v>
      </c>
      <c r="S36" s="774">
        <f t="shared" si="12"/>
        <v>100</v>
      </c>
      <c r="T36" s="773" t="s">
        <v>17</v>
      </c>
      <c r="U36" s="774">
        <f t="shared" si="13"/>
        <v>100</v>
      </c>
      <c r="V36" s="773" t="s">
        <v>17</v>
      </c>
      <c r="W36" s="774">
        <f t="shared" si="14"/>
        <v>100</v>
      </c>
      <c r="X36" s="1814"/>
      <c r="Y36" s="3182"/>
      <c r="Z36" s="1815" t="str">
        <f t="shared" si="15"/>
        <v>公共部分装修</v>
      </c>
      <c r="AA36" s="1812">
        <f t="shared" si="3"/>
        <v>1</v>
      </c>
      <c r="AB36" s="1812">
        <f t="shared" si="4"/>
        <v>1</v>
      </c>
      <c r="AC36" s="2674">
        <f t="shared" si="5"/>
        <v>1</v>
      </c>
    </row>
    <row r="37" spans="1:29" ht="15">
      <c r="A37" s="471"/>
      <c r="B37" s="421" t="s">
        <v>2644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2"/>
      <c r="Q37" s="1811" t="str">
        <f t="shared" si="11"/>
        <v>成新度</v>
      </c>
      <c r="R37" s="773" t="s">
        <v>17</v>
      </c>
      <c r="S37" s="774" t="e">
        <f t="shared" si="12"/>
        <v>#N/A</v>
      </c>
      <c r="T37" s="773" t="s">
        <v>17</v>
      </c>
      <c r="U37" s="774" t="e">
        <f t="shared" si="13"/>
        <v>#N/A</v>
      </c>
      <c r="V37" s="773" t="s">
        <v>17</v>
      </c>
      <c r="W37" s="774" t="e">
        <f t="shared" si="14"/>
        <v>#N/A</v>
      </c>
      <c r="X37" s="1814"/>
      <c r="Y37" s="3182"/>
      <c r="Z37" s="1815" t="str">
        <f t="shared" si="15"/>
        <v>成新度</v>
      </c>
      <c r="AA37" s="1812" t="e">
        <f t="shared" si="3"/>
        <v>#N/A</v>
      </c>
      <c r="AB37" s="1812" t="e">
        <f t="shared" si="4"/>
        <v>#N/A</v>
      </c>
      <c r="AC37" s="2674" t="e">
        <f t="shared" si="5"/>
        <v>#N/A</v>
      </c>
    </row>
    <row r="38" spans="1:29" s="116" customFormat="1" ht="15">
      <c r="A38" s="472"/>
      <c r="B38" s="421" t="s">
        <v>2676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2"/>
      <c r="Q38" s="1796" t="str">
        <f t="shared" si="11"/>
        <v>写字楼等级</v>
      </c>
      <c r="R38" s="769" t="s">
        <v>17</v>
      </c>
      <c r="S38" s="770">
        <f t="shared" si="12"/>
        <v>100</v>
      </c>
      <c r="T38" s="769" t="s">
        <v>17</v>
      </c>
      <c r="U38" s="770">
        <f t="shared" si="13"/>
        <v>100</v>
      </c>
      <c r="V38" s="769" t="s">
        <v>17</v>
      </c>
      <c r="W38" s="770">
        <f t="shared" si="14"/>
        <v>100</v>
      </c>
      <c r="X38" s="771"/>
      <c r="Y38" s="3182"/>
      <c r="Z38" s="55" t="str">
        <f t="shared" si="15"/>
        <v>写字楼等级</v>
      </c>
      <c r="AA38" s="772">
        <f t="shared" si="3"/>
        <v>1</v>
      </c>
      <c r="AB38" s="772">
        <f t="shared" si="4"/>
        <v>1</v>
      </c>
      <c r="AC38" s="2671">
        <f t="shared" si="5"/>
        <v>1</v>
      </c>
    </row>
    <row r="39" spans="1:29" ht="15">
      <c r="A39" s="471"/>
      <c r="B39" s="421" t="s">
        <v>2677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2" t="s">
        <v>2547</v>
      </c>
      <c r="Q39" s="1811" t="str">
        <f t="shared" si="11"/>
        <v>物业管理</v>
      </c>
      <c r="R39" s="773" t="s">
        <v>17</v>
      </c>
      <c r="S39" s="774">
        <f t="shared" si="12"/>
        <v>100</v>
      </c>
      <c r="T39" s="773" t="s">
        <v>17</v>
      </c>
      <c r="U39" s="774">
        <f t="shared" si="13"/>
        <v>100</v>
      </c>
      <c r="V39" s="773" t="s">
        <v>17</v>
      </c>
      <c r="W39" s="774">
        <f t="shared" si="14"/>
        <v>100</v>
      </c>
      <c r="X39" s="1814"/>
      <c r="Y39" s="3182" t="s">
        <v>2547</v>
      </c>
      <c r="Z39" s="1815" t="str">
        <f t="shared" si="15"/>
        <v>物业管理</v>
      </c>
      <c r="AA39" s="1812">
        <f t="shared" si="3"/>
        <v>1</v>
      </c>
      <c r="AB39" s="1812">
        <f t="shared" si="4"/>
        <v>1</v>
      </c>
      <c r="AC39" s="2674">
        <f t="shared" si="5"/>
        <v>1</v>
      </c>
    </row>
    <row r="40" spans="1:29" ht="15">
      <c r="A40" s="471"/>
      <c r="B40" s="421" t="s">
        <v>2645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2"/>
      <c r="Q40" s="1811" t="str">
        <f t="shared" si="11"/>
        <v>市政基础设施</v>
      </c>
      <c r="R40" s="773" t="s">
        <v>17</v>
      </c>
      <c r="S40" s="774">
        <f t="shared" si="12"/>
        <v>100</v>
      </c>
      <c r="T40" s="773" t="s">
        <v>17</v>
      </c>
      <c r="U40" s="774">
        <f t="shared" si="13"/>
        <v>100</v>
      </c>
      <c r="V40" s="773" t="s">
        <v>17</v>
      </c>
      <c r="W40" s="774">
        <f t="shared" si="14"/>
        <v>100</v>
      </c>
      <c r="X40" s="1814"/>
      <c r="Y40" s="3182"/>
      <c r="Z40" s="1815" t="str">
        <f t="shared" si="15"/>
        <v>市政基础设施</v>
      </c>
      <c r="AA40" s="1812">
        <f t="shared" si="3"/>
        <v>1</v>
      </c>
      <c r="AB40" s="1812">
        <f t="shared" si="4"/>
        <v>1</v>
      </c>
      <c r="AC40" s="2674">
        <f t="shared" si="5"/>
        <v>1</v>
      </c>
    </row>
    <row r="41" spans="1:29" ht="15">
      <c r="A41" s="471"/>
      <c r="B41" s="421" t="s">
        <v>2647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2"/>
      <c r="Q41" s="1811" t="str">
        <f t="shared" si="11"/>
        <v>层高</v>
      </c>
      <c r="R41" s="773" t="s">
        <v>17</v>
      </c>
      <c r="S41" s="774">
        <f t="shared" si="12"/>
        <v>100</v>
      </c>
      <c r="T41" s="773" t="s">
        <v>17</v>
      </c>
      <c r="U41" s="774">
        <f t="shared" si="13"/>
        <v>100</v>
      </c>
      <c r="V41" s="773" t="s">
        <v>17</v>
      </c>
      <c r="W41" s="774">
        <f t="shared" si="14"/>
        <v>100</v>
      </c>
      <c r="X41" s="1814"/>
      <c r="Y41" s="3182"/>
      <c r="Z41" s="1815" t="str">
        <f t="shared" si="15"/>
        <v>层高</v>
      </c>
      <c r="AA41" s="1812">
        <f t="shared" si="3"/>
        <v>1</v>
      </c>
      <c r="AB41" s="1812">
        <f t="shared" si="4"/>
        <v>1</v>
      </c>
      <c r="AC41" s="2674">
        <f t="shared" si="5"/>
        <v>1</v>
      </c>
    </row>
    <row r="42" spans="1:29" s="470" customFormat="1" ht="15">
      <c r="A42" s="467"/>
      <c r="B42" s="1813" t="s">
        <v>2678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2"/>
      <c r="Q42" s="775" t="str">
        <f t="shared" si="11"/>
        <v>单套建筑面积</v>
      </c>
      <c r="R42" s="776" t="s">
        <v>17</v>
      </c>
      <c r="S42" s="777">
        <f t="shared" si="12"/>
        <v>100</v>
      </c>
      <c r="T42" s="776" t="s">
        <v>17</v>
      </c>
      <c r="U42" s="777">
        <f t="shared" si="13"/>
        <v>100</v>
      </c>
      <c r="V42" s="776" t="s">
        <v>17</v>
      </c>
      <c r="W42" s="777">
        <f t="shared" si="14"/>
        <v>100</v>
      </c>
      <c r="X42" s="778"/>
      <c r="Y42" s="3182"/>
      <c r="Z42" s="779" t="str">
        <f t="shared" si="15"/>
        <v>单套建筑面积</v>
      </c>
      <c r="AA42" s="1812">
        <f t="shared" si="3"/>
        <v>1</v>
      </c>
      <c r="AB42" s="1812">
        <f t="shared" si="4"/>
        <v>1</v>
      </c>
      <c r="AC42" s="2674">
        <f t="shared" si="5"/>
        <v>1</v>
      </c>
    </row>
    <row r="43" spans="1:29" ht="15">
      <c r="A43" s="471"/>
      <c r="B43" s="421" t="s">
        <v>2650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2"/>
      <c r="Q43" s="1811" t="str">
        <f t="shared" si="11"/>
        <v>内部装修</v>
      </c>
      <c r="R43" s="773" t="s">
        <v>17</v>
      </c>
      <c r="S43" s="774">
        <f t="shared" si="12"/>
        <v>100</v>
      </c>
      <c r="T43" s="773" t="s">
        <v>17</v>
      </c>
      <c r="U43" s="774">
        <f t="shared" si="13"/>
        <v>100</v>
      </c>
      <c r="V43" s="773" t="s">
        <v>17</v>
      </c>
      <c r="W43" s="774">
        <f t="shared" si="14"/>
        <v>100</v>
      </c>
      <c r="X43" s="1814"/>
      <c r="Y43" s="3182"/>
      <c r="Z43" s="1815" t="str">
        <f t="shared" si="15"/>
        <v>内部装修</v>
      </c>
      <c r="AA43" s="1812">
        <f t="shared" si="3"/>
        <v>1</v>
      </c>
      <c r="AB43" s="1812">
        <f t="shared" si="4"/>
        <v>1</v>
      </c>
      <c r="AC43" s="2674">
        <f t="shared" si="5"/>
        <v>1</v>
      </c>
    </row>
    <row r="44" spans="1:29" ht="15">
      <c r="A44" s="471"/>
      <c r="B44" s="421" t="s">
        <v>2558</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22"/>
      <c r="Q44" s="1811" t="str">
        <f t="shared" si="11"/>
        <v>内部装修维护情况</v>
      </c>
      <c r="R44" s="773" t="s">
        <v>17</v>
      </c>
      <c r="S44" s="774">
        <f t="shared" si="12"/>
        <v>100</v>
      </c>
      <c r="T44" s="773" t="s">
        <v>17</v>
      </c>
      <c r="U44" s="774">
        <f t="shared" si="13"/>
        <v>100</v>
      </c>
      <c r="V44" s="773" t="s">
        <v>17</v>
      </c>
      <c r="W44" s="774">
        <f t="shared" si="14"/>
        <v>100</v>
      </c>
      <c r="X44" s="1814"/>
      <c r="Y44" s="3182"/>
      <c r="Z44" s="1815" t="str">
        <f t="shared" si="15"/>
        <v>内部装修维护情况</v>
      </c>
      <c r="AA44" s="1812">
        <f t="shared" si="3"/>
        <v>1</v>
      </c>
      <c r="AB44" s="1812">
        <f t="shared" si="4"/>
        <v>1</v>
      </c>
      <c r="AC44" s="2674">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2"/>
      <c r="Q45" s="1796">
        <f t="shared" si="11"/>
        <v>111</v>
      </c>
      <c r="R45" s="769" t="s">
        <v>17</v>
      </c>
      <c r="S45" s="770">
        <f t="shared" si="12"/>
        <v>100</v>
      </c>
      <c r="T45" s="769" t="s">
        <v>17</v>
      </c>
      <c r="U45" s="770">
        <f t="shared" si="13"/>
        <v>100</v>
      </c>
      <c r="V45" s="769" t="s">
        <v>17</v>
      </c>
      <c r="W45" s="770">
        <f t="shared" si="14"/>
        <v>100</v>
      </c>
      <c r="X45" s="771"/>
      <c r="Y45" s="3182"/>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2"/>
      <c r="Q46" s="1811">
        <f t="shared" si="11"/>
        <v>111</v>
      </c>
      <c r="R46" s="773" t="s">
        <v>17</v>
      </c>
      <c r="S46" s="774">
        <f t="shared" si="12"/>
        <v>100</v>
      </c>
      <c r="T46" s="773" t="s">
        <v>17</v>
      </c>
      <c r="U46" s="774">
        <f t="shared" si="13"/>
        <v>100</v>
      </c>
      <c r="V46" s="773" t="s">
        <v>17</v>
      </c>
      <c r="W46" s="774">
        <f t="shared" si="14"/>
        <v>100</v>
      </c>
      <c r="X46" s="1814"/>
      <c r="Y46" s="3182"/>
      <c r="Z46" s="1815">
        <f t="shared" si="15"/>
        <v>111</v>
      </c>
      <c r="AA46" s="1812">
        <f t="shared" si="3"/>
        <v>1</v>
      </c>
      <c r="AB46" s="1812">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3"/>
      <c r="Q47" s="1811">
        <f t="shared" si="11"/>
        <v>111</v>
      </c>
      <c r="R47" s="773" t="s">
        <v>17</v>
      </c>
      <c r="S47" s="774">
        <f t="shared" si="12"/>
        <v>100</v>
      </c>
      <c r="T47" s="773" t="s">
        <v>17</v>
      </c>
      <c r="U47" s="774">
        <f t="shared" si="13"/>
        <v>100</v>
      </c>
      <c r="V47" s="773" t="s">
        <v>17</v>
      </c>
      <c r="W47" s="774">
        <f t="shared" si="14"/>
        <v>100</v>
      </c>
      <c r="X47" s="1814"/>
      <c r="Y47" s="3224"/>
      <c r="Z47" s="1815">
        <f t="shared" si="15"/>
        <v>111</v>
      </c>
      <c r="AA47" s="1812">
        <f t="shared" si="3"/>
        <v>1</v>
      </c>
      <c r="AB47" s="1812">
        <f t="shared" si="4"/>
        <v>1</v>
      </c>
      <c r="AC47" s="2674">
        <f t="shared" si="5"/>
        <v>1</v>
      </c>
    </row>
    <row r="48" spans="1:29" ht="15">
      <c r="A48" s="478" t="s">
        <v>2559</v>
      </c>
      <c r="B48" s="479"/>
      <c r="C48" s="1409" t="s">
        <v>1</v>
      </c>
      <c r="D48" s="1410"/>
      <c r="E48" s="1411"/>
      <c r="F48" s="1412"/>
      <c r="G48" s="1413"/>
      <c r="H48" s="1414"/>
      <c r="I48" s="1411"/>
      <c r="J48" s="484"/>
      <c r="K48" s="782"/>
      <c r="L48" s="1145"/>
      <c r="M48" s="1133"/>
      <c r="N48" s="1133"/>
      <c r="O48" s="1133"/>
      <c r="P48" s="3188" t="str">
        <f>A48</f>
        <v>成交单价（元/平方米）</v>
      </c>
      <c r="Q48" s="3164"/>
      <c r="R48" s="3220">
        <f>E48</f>
        <v>0</v>
      </c>
      <c r="S48" s="3220"/>
      <c r="T48" s="3220">
        <f>G48</f>
        <v>0</v>
      </c>
      <c r="U48" s="3220"/>
      <c r="V48" s="3220">
        <f>I48</f>
        <v>0</v>
      </c>
      <c r="W48" s="3220"/>
      <c r="X48" s="445"/>
      <c r="Y48" s="780"/>
      <c r="Z48" s="445"/>
      <c r="AA48" s="445"/>
      <c r="AB48" s="445"/>
      <c r="AC48" s="629"/>
    </row>
    <row r="49" spans="1:29" ht="15.75" thickBot="1">
      <c r="A49" s="485" t="s">
        <v>2651</v>
      </c>
      <c r="B49" s="486"/>
      <c r="C49" s="1415" t="e">
        <f>R50</f>
        <v>#DIV/0!</v>
      </c>
      <c r="D49" s="1416"/>
      <c r="E49" s="1417" t="e">
        <f>R49</f>
        <v>#DIV/0!</v>
      </c>
      <c r="F49" s="1417"/>
      <c r="G49" s="1415" t="e">
        <f>T49</f>
        <v>#DIV/0!</v>
      </c>
      <c r="H49" s="1416"/>
      <c r="I49" s="1417" t="e">
        <f>V49</f>
        <v>#DIV/0!</v>
      </c>
      <c r="J49" s="488"/>
      <c r="K49" s="783"/>
      <c r="L49" s="1145"/>
      <c r="M49" s="1133"/>
      <c r="N49" s="1133"/>
      <c r="O49" s="1133"/>
      <c r="P49" s="3188" t="str">
        <f>A49</f>
        <v>比较价值（元/平方米）</v>
      </c>
      <c r="Q49" s="3164"/>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75" thickBot="1">
      <c r="A50" s="491" t="s">
        <v>2652</v>
      </c>
      <c r="B50" s="492"/>
      <c r="C50" s="1419" t="e">
        <f>R50</f>
        <v>#DIV/0!</v>
      </c>
      <c r="D50" s="1419"/>
      <c r="E50" s="1419"/>
      <c r="F50" s="1419"/>
      <c r="G50" s="1419"/>
      <c r="H50" s="1419"/>
      <c r="I50" s="1419"/>
      <c r="J50" s="493"/>
      <c r="K50" s="784"/>
      <c r="L50" s="1145"/>
      <c r="M50" s="1133"/>
      <c r="N50" s="1133"/>
      <c r="O50" s="1133"/>
      <c r="P50" s="3239" t="str">
        <f>A50</f>
        <v>估价对象XX用房的比较价值（楼面单价，元/平方米）</v>
      </c>
      <c r="Q50" s="3240"/>
      <c r="R50" s="3241" t="e">
        <f>IF(F1="售价",ROUND(AVERAGE(R49:V49),0),ROUND(AVERAGE(R49:V49),1))</f>
        <v>#DIV/0!</v>
      </c>
      <c r="S50" s="3241"/>
      <c r="T50" s="3241"/>
      <c r="U50" s="3241"/>
      <c r="V50" s="3241"/>
      <c r="W50" s="3241"/>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2656</v>
      </c>
      <c r="B58" s="758"/>
      <c r="C58" s="763"/>
      <c r="D58" s="763"/>
      <c r="E58" s="763"/>
      <c r="F58" s="764"/>
      <c r="G58" s="764"/>
      <c r="H58" s="763"/>
      <c r="I58" s="763"/>
      <c r="J58" s="763"/>
      <c r="K58" s="765"/>
      <c r="L58" s="1163"/>
      <c r="M58" s="1161"/>
      <c r="N58" s="1161"/>
      <c r="O58" s="1161"/>
      <c r="P58" s="2681"/>
      <c r="Q58" s="503"/>
    </row>
    <row r="59" spans="1:29" s="507" customFormat="1" ht="15">
      <c r="A59" s="504" t="s">
        <v>2530</v>
      </c>
      <c r="B59" s="505"/>
      <c r="C59" s="1575" t="str">
        <f>YEAR(C7)&amp;"-"&amp;MONTH(C7)</f>
        <v>2017-9</v>
      </c>
      <c r="D59" s="1576">
        <f>EDATE(C59,-1)</f>
        <v>42948</v>
      </c>
      <c r="E59" s="1576">
        <f>EDATE(D59,-1)</f>
        <v>42917</v>
      </c>
      <c r="F59" s="1576">
        <f t="shared" ref="F59:O59" si="16">EDATE(E59,-1)</f>
        <v>42887</v>
      </c>
      <c r="G59" s="1576">
        <f t="shared" si="16"/>
        <v>42856</v>
      </c>
      <c r="H59" s="1576">
        <f t="shared" si="16"/>
        <v>42826</v>
      </c>
      <c r="I59" s="1576">
        <f t="shared" si="16"/>
        <v>42795</v>
      </c>
      <c r="J59" s="1576">
        <f t="shared" si="16"/>
        <v>42767</v>
      </c>
      <c r="K59" s="1576">
        <f t="shared" si="16"/>
        <v>42736</v>
      </c>
      <c r="L59" s="1576">
        <f t="shared" si="16"/>
        <v>42705</v>
      </c>
      <c r="M59" s="1576">
        <f t="shared" si="16"/>
        <v>42675</v>
      </c>
      <c r="N59" s="1576">
        <f t="shared" si="16"/>
        <v>42644</v>
      </c>
      <c r="O59" s="1576">
        <f t="shared" si="16"/>
        <v>42614</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2567</v>
      </c>
      <c r="B61" s="515"/>
      <c r="C61" s="516"/>
      <c r="D61" s="517"/>
      <c r="E61" s="517"/>
      <c r="F61" s="517"/>
      <c r="G61" s="517"/>
      <c r="H61" s="517"/>
      <c r="I61" s="517"/>
      <c r="J61" s="517"/>
      <c r="K61" s="517"/>
      <c r="L61" s="517"/>
      <c r="M61" s="518"/>
      <c r="N61" s="517"/>
      <c r="O61" s="518"/>
      <c r="P61" s="2682"/>
      <c r="Q61" s="503"/>
    </row>
    <row r="62" spans="1:29" s="116" customFormat="1" ht="15">
      <c r="A62" s="520" t="s">
        <v>2532</v>
      </c>
      <c r="B62" s="509"/>
      <c r="C62" s="521" t="s">
        <v>2634</v>
      </c>
      <c r="D62" s="522"/>
      <c r="E62" s="522"/>
      <c r="F62" s="522"/>
      <c r="G62" s="522"/>
      <c r="H62" s="522"/>
      <c r="I62" s="522"/>
      <c r="J62" s="522"/>
      <c r="K62" s="522"/>
      <c r="L62" s="523"/>
      <c r="M62" s="524"/>
      <c r="N62" s="1153"/>
      <c r="O62" s="1153"/>
      <c r="P62" s="2683"/>
      <c r="Q62" s="503"/>
    </row>
    <row r="63" spans="1:29" s="116"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2570</v>
      </c>
      <c r="B64" s="527" t="s">
        <v>2536</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2539</v>
      </c>
      <c r="C66" s="538" t="s">
        <v>2571</v>
      </c>
      <c r="D66" s="538" t="s">
        <v>2572</v>
      </c>
      <c r="E66" s="538" t="s">
        <v>2573</v>
      </c>
      <c r="F66" s="538" t="s">
        <v>2574</v>
      </c>
      <c r="G66" s="538" t="s">
        <v>2575</v>
      </c>
      <c r="H66" s="538" t="s">
        <v>2576</v>
      </c>
      <c r="I66" s="538" t="s">
        <v>2577</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2540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2541</v>
      </c>
      <c r="B77" s="527" t="s">
        <v>2679</v>
      </c>
      <c r="C77" s="572" t="s">
        <v>2579</v>
      </c>
      <c r="D77" s="572" t="s">
        <v>2580</v>
      </c>
      <c r="E77" s="572" t="s">
        <v>2581</v>
      </c>
      <c r="F77" s="572" t="s">
        <v>2582</v>
      </c>
      <c r="G77" s="572" t="s">
        <v>2583</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2584</v>
      </c>
      <c r="C79" s="577" t="s">
        <v>2579</v>
      </c>
      <c r="D79" s="577" t="s">
        <v>2580</v>
      </c>
      <c r="E79" s="577" t="s">
        <v>2581</v>
      </c>
      <c r="F79" s="577" t="s">
        <v>2582</v>
      </c>
      <c r="G79" s="577" t="s">
        <v>2583</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2585</v>
      </c>
      <c r="C81" s="577" t="s">
        <v>2579</v>
      </c>
      <c r="D81" s="577" t="s">
        <v>2580</v>
      </c>
      <c r="E81" s="577" t="s">
        <v>2581</v>
      </c>
      <c r="F81" s="577" t="s">
        <v>2582</v>
      </c>
      <c r="G81" s="577" t="s">
        <v>2583</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2671</v>
      </c>
      <c r="C83" s="659" t="s">
        <v>2657</v>
      </c>
      <c r="D83" s="659" t="s">
        <v>2658</v>
      </c>
      <c r="E83" s="659" t="s">
        <v>2659</v>
      </c>
      <c r="F83" s="659" t="s">
        <v>2660</v>
      </c>
      <c r="G83" s="659" t="s">
        <v>2661</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2680</v>
      </c>
      <c r="C85" s="577" t="s">
        <v>2579</v>
      </c>
      <c r="D85" s="577" t="s">
        <v>2580</v>
      </c>
      <c r="E85" s="577" t="s">
        <v>2581</v>
      </c>
      <c r="F85" s="577" t="s">
        <v>2582</v>
      </c>
      <c r="G85" s="577" t="s">
        <v>2583</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6" customFormat="1" ht="27.75" thickTop="1">
      <c r="A87" s="578"/>
      <c r="B87" s="537" t="s">
        <v>2681</v>
      </c>
      <c r="C87" s="553"/>
      <c r="D87" s="553"/>
      <c r="E87" s="553"/>
      <c r="F87" s="553"/>
      <c r="G87" s="553"/>
      <c r="H87" s="553"/>
      <c r="I87" s="553"/>
      <c r="J87" s="553"/>
      <c r="K87" s="553"/>
      <c r="L87" s="579"/>
      <c r="M87" s="580"/>
      <c r="N87" s="1153"/>
      <c r="O87" s="1153"/>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6"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2545</v>
      </c>
      <c r="B101" s="527" t="s">
        <v>2594</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2595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2596</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2598</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1981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2682</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2599</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2600</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2683</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2666</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2602</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2603</v>
      </c>
      <c r="C125" s="577" t="s">
        <v>2579</v>
      </c>
      <c r="D125" s="577" t="s">
        <v>2580</v>
      </c>
      <c r="E125" s="577" t="s">
        <v>2581</v>
      </c>
      <c r="F125" s="577" t="s">
        <v>2582</v>
      </c>
      <c r="G125" s="577" t="s">
        <v>2583</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9" t="s">
        <v>2684</v>
      </c>
      <c r="C1" s="1621" t="s">
        <v>2512</v>
      </c>
      <c r="D1" s="1622"/>
      <c r="E1" s="1631"/>
      <c r="F1" s="2584"/>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2626</v>
      </c>
      <c r="D3" s="398">
        <f>IF(D1="",'数据-汇总表'!E3,SUMIF('数据-汇总表'!$C19:$C33,D1,'数据-汇总表'!$E19:$E33))</f>
        <v>222493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48" t="s">
        <v>2630</v>
      </c>
      <c r="AC4" s="3147" t="s">
        <v>2631</v>
      </c>
    </row>
    <row r="5" spans="1:29" ht="15">
      <c r="A5" s="403"/>
      <c r="B5" s="404"/>
      <c r="C5" s="3218" t="s">
        <v>2524</v>
      </c>
      <c r="D5" s="3159"/>
      <c r="E5" s="3217" t="s">
        <v>2525</v>
      </c>
      <c r="F5" s="3157"/>
      <c r="G5" s="3218" t="s">
        <v>2526</v>
      </c>
      <c r="H5" s="3159"/>
      <c r="I5" s="3218" t="s">
        <v>2527</v>
      </c>
      <c r="J5" s="3159"/>
      <c r="K5" s="609"/>
      <c r="L5" s="1132"/>
      <c r="M5" s="1133"/>
      <c r="N5" s="1133"/>
      <c r="O5" s="1133"/>
      <c r="P5" s="3171"/>
      <c r="Q5" s="3172"/>
      <c r="R5" s="3154"/>
      <c r="S5" s="3155"/>
      <c r="T5" s="3154"/>
      <c r="U5" s="3155"/>
      <c r="V5" s="3177"/>
      <c r="W5" s="3177"/>
      <c r="X5" s="1814"/>
      <c r="Y5" s="3154"/>
      <c r="Z5" s="3155"/>
      <c r="AA5" s="3148"/>
      <c r="AB5" s="3148"/>
      <c r="AC5" s="3148"/>
    </row>
    <row r="6" spans="1:29" ht="15.75" thickBot="1">
      <c r="A6" s="405"/>
      <c r="B6" s="406"/>
      <c r="C6" s="3160" t="s">
        <v>2528</v>
      </c>
      <c r="D6" s="3161"/>
      <c r="E6" s="3162" t="s">
        <v>2528</v>
      </c>
      <c r="F6" s="3163"/>
      <c r="G6" s="3160" t="s">
        <v>2528</v>
      </c>
      <c r="H6" s="3161"/>
      <c r="I6" s="3160" t="s">
        <v>2528</v>
      </c>
      <c r="J6" s="3161"/>
      <c r="K6" s="609" t="s">
        <v>2529</v>
      </c>
      <c r="L6" s="1132"/>
      <c r="M6" s="1133"/>
      <c r="N6" s="1133"/>
      <c r="O6" s="1133"/>
      <c r="P6" s="3173"/>
      <c r="Q6" s="3174"/>
      <c r="R6" s="3154"/>
      <c r="S6" s="3155"/>
      <c r="T6" s="3175"/>
      <c r="U6" s="3176"/>
      <c r="V6" s="3177"/>
      <c r="W6" s="3177"/>
      <c r="X6" s="1814"/>
      <c r="Y6" s="3175"/>
      <c r="Z6" s="3176"/>
      <c r="AA6" s="3149"/>
      <c r="AB6" s="3149"/>
      <c r="AC6" s="3149"/>
    </row>
    <row r="7" spans="1:29" s="116" customFormat="1" ht="15.75" thickBot="1">
      <c r="A7" s="407" t="s">
        <v>2530</v>
      </c>
      <c r="B7" s="408"/>
      <c r="C7" s="409">
        <f>'数据-取费表'!B2</f>
        <v>42990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0" t="s">
        <v>2531</v>
      </c>
      <c r="Q7" s="3178"/>
      <c r="R7" s="769" t="s">
        <v>17</v>
      </c>
      <c r="S7" s="770">
        <f t="shared" ref="S7:S15" si="0">F7</f>
        <v>0</v>
      </c>
      <c r="T7" s="769" t="s">
        <v>17</v>
      </c>
      <c r="U7" s="770">
        <f t="shared" ref="U7:U15" si="1">H7</f>
        <v>0</v>
      </c>
      <c r="V7" s="769" t="s">
        <v>17</v>
      </c>
      <c r="W7" s="770">
        <f t="shared" ref="W7:W15" si="2">J7</f>
        <v>0</v>
      </c>
      <c r="X7" s="771"/>
      <c r="Y7" s="3150" t="s">
        <v>2531</v>
      </c>
      <c r="Z7" s="3151"/>
      <c r="AA7" s="772" t="e">
        <f>D7/F7</f>
        <v>#DIV/0!</v>
      </c>
      <c r="AB7" s="772" t="e">
        <f>D7/H7</f>
        <v>#DIV/0!</v>
      </c>
      <c r="AC7" s="772" t="e">
        <f>D7/J7</f>
        <v>#DIV/0!</v>
      </c>
    </row>
    <row r="8" spans="1:29" s="116" customFormat="1" ht="15.75" thickBot="1">
      <c r="A8" s="407" t="s">
        <v>2532</v>
      </c>
      <c r="B8" s="408"/>
      <c r="C8" s="413" t="s">
        <v>2533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0" t="s">
        <v>2534</v>
      </c>
      <c r="Q8" s="3151"/>
      <c r="R8" s="769" t="s">
        <v>17</v>
      </c>
      <c r="S8" s="770">
        <f t="shared" si="0"/>
        <v>0</v>
      </c>
      <c r="T8" s="769" t="s">
        <v>17</v>
      </c>
      <c r="U8" s="770">
        <f t="shared" si="1"/>
        <v>0</v>
      </c>
      <c r="V8" s="769" t="s">
        <v>17</v>
      </c>
      <c r="W8" s="770">
        <f t="shared" si="2"/>
        <v>0</v>
      </c>
      <c r="X8" s="771"/>
      <c r="Y8" s="3150" t="s">
        <v>2534</v>
      </c>
      <c r="Z8" s="3151"/>
      <c r="AA8" s="772" t="e">
        <f t="shared" ref="AA8:AA40" si="3">D8/F8</f>
        <v>#DIV/0!</v>
      </c>
      <c r="AB8" s="772" t="e">
        <f t="shared" ref="AB8:AB40" si="4">D8/H8</f>
        <v>#DIV/0!</v>
      </c>
      <c r="AC8" s="772" t="e">
        <f t="shared" ref="AC8:AC40" si="5">D8/J8</f>
        <v>#DIV/0!</v>
      </c>
    </row>
    <row r="9" spans="1:29" s="116" customFormat="1">
      <c r="A9" s="414" t="s">
        <v>2535</v>
      </c>
      <c r="B9" s="71" t="s">
        <v>2536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4"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4"/>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2540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4"/>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64"/>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64"/>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64"/>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57">
      <c r="A15" s="439" t="s">
        <v>2541</v>
      </c>
      <c r="B15" s="69" t="s">
        <v>2685</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9" t="s">
        <v>2542</v>
      </c>
      <c r="Q15" s="1811" t="str">
        <f t="shared" si="6"/>
        <v>产业集聚程度</v>
      </c>
      <c r="R15" s="773" t="s">
        <v>17</v>
      </c>
      <c r="S15" s="774">
        <f t="shared" si="0"/>
        <v>100</v>
      </c>
      <c r="T15" s="773" t="s">
        <v>17</v>
      </c>
      <c r="U15" s="774">
        <f t="shared" si="1"/>
        <v>100</v>
      </c>
      <c r="V15" s="773" t="s">
        <v>17</v>
      </c>
      <c r="W15" s="774">
        <f t="shared" si="2"/>
        <v>100</v>
      </c>
      <c r="X15" s="1814"/>
      <c r="Y15" s="3179" t="s">
        <v>2542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0"/>
      <c r="Q16" s="1811"/>
      <c r="R16" s="773"/>
      <c r="S16" s="774"/>
      <c r="T16" s="773"/>
      <c r="U16" s="774"/>
      <c r="V16" s="773"/>
      <c r="W16" s="774"/>
      <c r="X16" s="1814"/>
      <c r="Y16" s="3180"/>
      <c r="Z16" s="1815"/>
      <c r="AA16" s="1812">
        <v>1</v>
      </c>
      <c r="AB16" s="1812">
        <v>1</v>
      </c>
      <c r="AC16" s="1812">
        <v>1</v>
      </c>
    </row>
    <row r="17" spans="1:29" ht="85.5">
      <c r="A17" s="427"/>
      <c r="B17" s="450" t="s">
        <v>2083</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0"/>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1812">
        <f t="shared" si="5"/>
        <v>1</v>
      </c>
    </row>
    <row r="18" spans="1:29" ht="15">
      <c r="A18" s="427"/>
      <c r="B18" s="455"/>
      <c r="C18" s="2608"/>
      <c r="D18" s="449"/>
      <c r="E18" s="2610"/>
      <c r="F18" s="452"/>
      <c r="G18" s="2609"/>
      <c r="H18" s="447"/>
      <c r="I18" s="2610"/>
      <c r="J18" s="447"/>
      <c r="K18" s="614"/>
      <c r="L18" s="1142"/>
      <c r="M18" s="1133"/>
      <c r="N18" s="1133"/>
      <c r="O18" s="1141"/>
      <c r="P18" s="3180"/>
      <c r="Q18" s="1811"/>
      <c r="R18" s="773"/>
      <c r="S18" s="774"/>
      <c r="T18" s="773"/>
      <c r="U18" s="774"/>
      <c r="V18" s="773"/>
      <c r="W18" s="774"/>
      <c r="X18" s="1814"/>
      <c r="Y18" s="3180"/>
      <c r="Z18" s="1815"/>
      <c r="AA18" s="1812">
        <v>1</v>
      </c>
      <c r="AB18" s="1812">
        <v>1</v>
      </c>
      <c r="AC18" s="1812">
        <v>1</v>
      </c>
    </row>
    <row r="19" spans="1:29" ht="42.75">
      <c r="A19" s="427"/>
      <c r="B19" s="450" t="s">
        <v>2670</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0"/>
      <c r="Q19" s="1811" t="str">
        <f>B19</f>
        <v>公共配套设施</v>
      </c>
      <c r="R19" s="773" t="s">
        <v>17</v>
      </c>
      <c r="S19" s="774">
        <f>F19</f>
        <v>100</v>
      </c>
      <c r="T19" s="773" t="s">
        <v>17</v>
      </c>
      <c r="U19" s="774">
        <f>H19</f>
        <v>100</v>
      </c>
      <c r="V19" s="773" t="s">
        <v>17</v>
      </c>
      <c r="W19" s="774">
        <f>J19</f>
        <v>100</v>
      </c>
      <c r="X19" s="1814"/>
      <c r="Y19" s="3180"/>
      <c r="Z19" s="1815" t="str">
        <f>Q19</f>
        <v>公共配套设施</v>
      </c>
      <c r="AA19" s="1812">
        <f t="shared" si="3"/>
        <v>1</v>
      </c>
      <c r="AB19" s="1812">
        <f t="shared" si="4"/>
        <v>1</v>
      </c>
      <c r="AC19" s="1812">
        <f t="shared" si="5"/>
        <v>1</v>
      </c>
    </row>
    <row r="20" spans="1:29" ht="15">
      <c r="A20" s="427"/>
      <c r="B20" s="455"/>
      <c r="C20" s="446"/>
      <c r="D20" s="447"/>
      <c r="E20" s="2605"/>
      <c r="F20" s="448"/>
      <c r="G20" s="2604"/>
      <c r="H20" s="447"/>
      <c r="I20" s="2605"/>
      <c r="J20" s="447"/>
      <c r="K20" s="614"/>
      <c r="L20" s="1142"/>
      <c r="M20" s="1133"/>
      <c r="N20" s="1133"/>
      <c r="O20" s="1141"/>
      <c r="P20" s="3180"/>
      <c r="Q20" s="1811"/>
      <c r="R20" s="773"/>
      <c r="S20" s="774"/>
      <c r="T20" s="773"/>
      <c r="U20" s="774"/>
      <c r="V20" s="773"/>
      <c r="W20" s="774"/>
      <c r="X20" s="1814"/>
      <c r="Y20" s="3180"/>
      <c r="Z20" s="1815"/>
      <c r="AA20" s="1812">
        <v>1</v>
      </c>
      <c r="AB20" s="1812">
        <v>1</v>
      </c>
      <c r="AC20" s="1812">
        <v>1</v>
      </c>
    </row>
    <row r="21" spans="1:29" ht="28.5">
      <c r="A21" s="427"/>
      <c r="B21" s="1386" t="s">
        <v>2671</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0"/>
      <c r="Q21" s="1811" t="str">
        <f>B21</f>
        <v>基础设施水平</v>
      </c>
      <c r="R21" s="773" t="s">
        <v>17</v>
      </c>
      <c r="S21" s="774">
        <f>F21</f>
        <v>100</v>
      </c>
      <c r="T21" s="773" t="s">
        <v>17</v>
      </c>
      <c r="U21" s="774">
        <f>H21</f>
        <v>100</v>
      </c>
      <c r="V21" s="773" t="s">
        <v>17</v>
      </c>
      <c r="W21" s="774">
        <f>J21</f>
        <v>100</v>
      </c>
      <c r="X21" s="1814"/>
      <c r="Y21" s="3180"/>
      <c r="Z21" s="1815" t="str">
        <f>Q21</f>
        <v>基础设施水平</v>
      </c>
      <c r="AA21" s="1812">
        <f t="shared" ref="AA21" si="8">D21/F21</f>
        <v>1</v>
      </c>
      <c r="AB21" s="1812">
        <f t="shared" ref="AB21" si="9">D21/H21</f>
        <v>1</v>
      </c>
      <c r="AC21" s="1812">
        <f t="shared" ref="AC21" si="10">D21/J21</f>
        <v>1</v>
      </c>
    </row>
    <row r="22" spans="1:29" ht="15">
      <c r="A22" s="427"/>
      <c r="B22" s="1386"/>
      <c r="C22" s="2608"/>
      <c r="D22" s="447"/>
      <c r="E22" s="446"/>
      <c r="F22" s="448"/>
      <c r="G22" s="446"/>
      <c r="H22" s="447"/>
      <c r="I22" s="446"/>
      <c r="J22" s="447"/>
      <c r="K22" s="1385"/>
      <c r="L22" s="1142"/>
      <c r="M22" s="1133"/>
      <c r="N22" s="1133"/>
      <c r="O22" s="1141"/>
      <c r="P22" s="3180"/>
      <c r="Q22" s="1811"/>
      <c r="R22" s="773"/>
      <c r="S22" s="774"/>
      <c r="T22" s="773"/>
      <c r="U22" s="774"/>
      <c r="V22" s="773"/>
      <c r="W22" s="774"/>
      <c r="X22" s="1814"/>
      <c r="Y22" s="3180"/>
      <c r="Z22" s="1815"/>
      <c r="AA22" s="1812">
        <v>1</v>
      </c>
      <c r="AB22" s="1812">
        <v>1</v>
      </c>
      <c r="AC22" s="1812">
        <v>1</v>
      </c>
    </row>
    <row r="23" spans="1:29" ht="71.25">
      <c r="A23" s="427"/>
      <c r="B23" s="450" t="s">
        <v>2672</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0"/>
      <c r="Q23" s="1811" t="str">
        <f>B23</f>
        <v>环境质量</v>
      </c>
      <c r="R23" s="773" t="s">
        <v>17</v>
      </c>
      <c r="S23" s="774">
        <f>F23</f>
        <v>100</v>
      </c>
      <c r="T23" s="773" t="s">
        <v>17</v>
      </c>
      <c r="U23" s="774">
        <f>H23</f>
        <v>100</v>
      </c>
      <c r="V23" s="773" t="s">
        <v>17</v>
      </c>
      <c r="W23" s="774">
        <f>J23</f>
        <v>100</v>
      </c>
      <c r="X23" s="1814"/>
      <c r="Y23" s="3180"/>
      <c r="Z23" s="1815" t="str">
        <f>Q23</f>
        <v>环境质量</v>
      </c>
      <c r="AA23" s="1812">
        <f t="shared" si="3"/>
        <v>1</v>
      </c>
      <c r="AB23" s="1812">
        <f t="shared" si="4"/>
        <v>1</v>
      </c>
      <c r="AC23" s="1812">
        <f t="shared" si="5"/>
        <v>1</v>
      </c>
    </row>
    <row r="24" spans="1:29" ht="15">
      <c r="A24" s="427"/>
      <c r="B24" s="1386"/>
      <c r="C24" s="446"/>
      <c r="D24" s="447"/>
      <c r="E24" s="2605"/>
      <c r="F24" s="448"/>
      <c r="G24" s="2604"/>
      <c r="H24" s="447"/>
      <c r="I24" s="2605"/>
      <c r="J24" s="447"/>
      <c r="K24" s="614"/>
      <c r="L24" s="1142"/>
      <c r="M24" s="1133"/>
      <c r="N24" s="1133"/>
      <c r="O24" s="1141"/>
      <c r="P24" s="3180"/>
      <c r="Q24" s="1811"/>
      <c r="R24" s="773"/>
      <c r="S24" s="774"/>
      <c r="T24" s="773"/>
      <c r="U24" s="774"/>
      <c r="V24" s="773"/>
      <c r="W24" s="774"/>
      <c r="X24" s="1814"/>
      <c r="Y24" s="3180"/>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0"/>
      <c r="Q25" s="1811">
        <f>B25</f>
        <v>111</v>
      </c>
      <c r="R25" s="773" t="s">
        <v>17</v>
      </c>
      <c r="S25" s="774">
        <f>F25</f>
        <v>100</v>
      </c>
      <c r="T25" s="773" t="s">
        <v>17</v>
      </c>
      <c r="U25" s="774">
        <f>H25</f>
        <v>100</v>
      </c>
      <c r="V25" s="773" t="s">
        <v>17</v>
      </c>
      <c r="W25" s="774">
        <f>J25</f>
        <v>100</v>
      </c>
      <c r="X25" s="1814"/>
      <c r="Y25" s="3180"/>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0"/>
      <c r="Q26" s="1811">
        <f t="shared" ref="Q26:Q40" si="11">B26</f>
        <v>111</v>
      </c>
      <c r="R26" s="773" t="s">
        <v>17</v>
      </c>
      <c r="S26" s="774">
        <f>F26</f>
        <v>100</v>
      </c>
      <c r="T26" s="773" t="s">
        <v>17</v>
      </c>
      <c r="U26" s="774">
        <f>H26</f>
        <v>100</v>
      </c>
      <c r="V26" s="773" t="s">
        <v>17</v>
      </c>
      <c r="W26" s="774">
        <f>J26</f>
        <v>100</v>
      </c>
      <c r="X26" s="1814"/>
      <c r="Y26" s="3180"/>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0"/>
      <c r="Q27" s="1796">
        <f t="shared" si="11"/>
        <v>111</v>
      </c>
      <c r="R27" s="769" t="s">
        <v>17</v>
      </c>
      <c r="S27" s="770">
        <f>F27</f>
        <v>100</v>
      </c>
      <c r="T27" s="769" t="s">
        <v>17</v>
      </c>
      <c r="U27" s="770">
        <f>H27</f>
        <v>100</v>
      </c>
      <c r="V27" s="769" t="s">
        <v>17</v>
      </c>
      <c r="W27" s="770">
        <f>J27</f>
        <v>100</v>
      </c>
      <c r="X27" s="771"/>
      <c r="Y27" s="3180"/>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0"/>
      <c r="Q28" s="1811">
        <f t="shared" si="11"/>
        <v>111</v>
      </c>
      <c r="R28" s="773" t="s">
        <v>17</v>
      </c>
      <c r="S28" s="774">
        <f t="shared" ref="S28:S40" si="12">F28</f>
        <v>100</v>
      </c>
      <c r="T28" s="773" t="s">
        <v>17</v>
      </c>
      <c r="U28" s="774">
        <f t="shared" ref="U28:U40" si="13">H28</f>
        <v>100</v>
      </c>
      <c r="V28" s="773" t="s">
        <v>17</v>
      </c>
      <c r="W28" s="774">
        <f t="shared" ref="W28:W40" si="14">J28</f>
        <v>100</v>
      </c>
      <c r="X28" s="1814"/>
      <c r="Y28" s="3180"/>
      <c r="Z28" s="1815">
        <f t="shared" ref="Z28:Z40" si="15">Q28</f>
        <v>111</v>
      </c>
      <c r="AA28" s="1812">
        <f t="shared" si="3"/>
        <v>1</v>
      </c>
      <c r="AB28" s="1812">
        <f t="shared" si="4"/>
        <v>1</v>
      </c>
      <c r="AC28" s="1812">
        <f t="shared" si="5"/>
        <v>1</v>
      </c>
    </row>
    <row r="29" spans="1:29" ht="15">
      <c r="A29" s="465" t="s">
        <v>2545</v>
      </c>
      <c r="B29" s="71" t="s">
        <v>2675</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181" t="s">
        <v>2547</v>
      </c>
      <c r="Q29" s="1811" t="str">
        <f t="shared" si="11"/>
        <v>建筑类型</v>
      </c>
      <c r="R29" s="773" t="s">
        <v>17</v>
      </c>
      <c r="S29" s="774">
        <f t="shared" si="12"/>
        <v>100</v>
      </c>
      <c r="T29" s="773" t="s">
        <v>17</v>
      </c>
      <c r="U29" s="774">
        <f t="shared" si="13"/>
        <v>100</v>
      </c>
      <c r="V29" s="773" t="s">
        <v>17</v>
      </c>
      <c r="W29" s="774">
        <f t="shared" si="14"/>
        <v>100</v>
      </c>
      <c r="X29" s="1814"/>
      <c r="Y29" s="3182" t="s">
        <v>2547</v>
      </c>
      <c r="Z29" s="1815" t="str">
        <f t="shared" si="15"/>
        <v>建筑类型</v>
      </c>
      <c r="AA29" s="1812">
        <f t="shared" si="3"/>
        <v>1</v>
      </c>
      <c r="AB29" s="1812">
        <f t="shared" si="4"/>
        <v>1</v>
      </c>
      <c r="AC29" s="1812">
        <f t="shared" si="5"/>
        <v>1</v>
      </c>
    </row>
    <row r="30" spans="1:29" s="470" customFormat="1" ht="15">
      <c r="A30" s="467"/>
      <c r="B30" s="421" t="s">
        <v>2548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2"/>
      <c r="Q30" s="775" t="str">
        <f t="shared" si="11"/>
        <v>项目建筑规模</v>
      </c>
      <c r="R30" s="776" t="s">
        <v>17</v>
      </c>
      <c r="S30" s="777" t="e">
        <f t="shared" si="12"/>
        <v>#N/A</v>
      </c>
      <c r="T30" s="776" t="s">
        <v>17</v>
      </c>
      <c r="U30" s="777" t="e">
        <f t="shared" si="13"/>
        <v>#N/A</v>
      </c>
      <c r="V30" s="776" t="s">
        <v>17</v>
      </c>
      <c r="W30" s="777" t="e">
        <f t="shared" si="14"/>
        <v>#N/A</v>
      </c>
      <c r="X30" s="778"/>
      <c r="Y30" s="3182"/>
      <c r="Z30" s="779" t="str">
        <f t="shared" si="15"/>
        <v>项目建筑规模</v>
      </c>
      <c r="AA30" s="1812" t="e">
        <f t="shared" si="3"/>
        <v>#N/A</v>
      </c>
      <c r="AB30" s="1812" t="e">
        <f t="shared" si="4"/>
        <v>#N/A</v>
      </c>
      <c r="AC30" s="1812" t="e">
        <f t="shared" si="5"/>
        <v>#N/A</v>
      </c>
    </row>
    <row r="31" spans="1:29" ht="15">
      <c r="A31" s="471"/>
      <c r="B31" s="421" t="s">
        <v>2549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2"/>
      <c r="Q31" s="1811" t="str">
        <f t="shared" si="11"/>
        <v>建筑结构</v>
      </c>
      <c r="R31" s="773" t="s">
        <v>17</v>
      </c>
      <c r="S31" s="774">
        <f t="shared" si="12"/>
        <v>100</v>
      </c>
      <c r="T31" s="773" t="s">
        <v>17</v>
      </c>
      <c r="U31" s="774">
        <f t="shared" si="13"/>
        <v>100</v>
      </c>
      <c r="V31" s="773" t="s">
        <v>17</v>
      </c>
      <c r="W31" s="774">
        <f t="shared" si="14"/>
        <v>100</v>
      </c>
      <c r="X31" s="1814"/>
      <c r="Y31" s="3182"/>
      <c r="Z31" s="1815" t="str">
        <f t="shared" si="15"/>
        <v>建筑结构</v>
      </c>
      <c r="AA31" s="1812">
        <f t="shared" si="3"/>
        <v>1</v>
      </c>
      <c r="AB31" s="1812">
        <f t="shared" si="4"/>
        <v>1</v>
      </c>
      <c r="AC31" s="1812">
        <f t="shared" si="5"/>
        <v>1</v>
      </c>
    </row>
    <row r="32" spans="1:29" ht="15">
      <c r="A32" s="471"/>
      <c r="B32" s="421" t="s">
        <v>2643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2"/>
      <c r="Q32" s="1811" t="str">
        <f t="shared" si="11"/>
        <v>公共部分装修</v>
      </c>
      <c r="R32" s="773" t="s">
        <v>17</v>
      </c>
      <c r="S32" s="774">
        <f t="shared" si="12"/>
        <v>100</v>
      </c>
      <c r="T32" s="773" t="s">
        <v>17</v>
      </c>
      <c r="U32" s="774">
        <f t="shared" si="13"/>
        <v>100</v>
      </c>
      <c r="V32" s="773" t="s">
        <v>17</v>
      </c>
      <c r="W32" s="774">
        <f t="shared" si="14"/>
        <v>100</v>
      </c>
      <c r="X32" s="1814"/>
      <c r="Y32" s="3182"/>
      <c r="Z32" s="1815" t="str">
        <f t="shared" si="15"/>
        <v>公共部分装修</v>
      </c>
      <c r="AA32" s="1812">
        <f t="shared" si="3"/>
        <v>1</v>
      </c>
      <c r="AB32" s="1812">
        <f t="shared" si="4"/>
        <v>1</v>
      </c>
      <c r="AC32" s="1812">
        <f t="shared" si="5"/>
        <v>1</v>
      </c>
    </row>
    <row r="33" spans="1:29" ht="15">
      <c r="A33" s="471"/>
      <c r="B33" s="421" t="s">
        <v>2644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2"/>
      <c r="Q33" s="1811" t="str">
        <f t="shared" si="11"/>
        <v>成新度</v>
      </c>
      <c r="R33" s="773" t="s">
        <v>17</v>
      </c>
      <c r="S33" s="774" t="e">
        <f t="shared" si="12"/>
        <v>#N/A</v>
      </c>
      <c r="T33" s="773" t="s">
        <v>17</v>
      </c>
      <c r="U33" s="774" t="e">
        <f t="shared" si="13"/>
        <v>#N/A</v>
      </c>
      <c r="V33" s="773" t="s">
        <v>17</v>
      </c>
      <c r="W33" s="774" t="e">
        <f t="shared" si="14"/>
        <v>#N/A</v>
      </c>
      <c r="X33" s="1814"/>
      <c r="Y33" s="3182"/>
      <c r="Z33" s="1815" t="str">
        <f t="shared" si="15"/>
        <v>成新度</v>
      </c>
      <c r="AA33" s="1812" t="e">
        <f t="shared" si="3"/>
        <v>#N/A</v>
      </c>
      <c r="AB33" s="1812" t="e">
        <f t="shared" si="4"/>
        <v>#N/A</v>
      </c>
      <c r="AC33" s="1812" t="e">
        <f t="shared" si="5"/>
        <v>#N/A</v>
      </c>
    </row>
    <row r="34" spans="1:29" s="116" customFormat="1" ht="15">
      <c r="A34" s="472"/>
      <c r="B34" s="421" t="s">
        <v>2677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2"/>
      <c r="Q34" s="1796" t="str">
        <f t="shared" si="11"/>
        <v>物业管理</v>
      </c>
      <c r="R34" s="769" t="s">
        <v>17</v>
      </c>
      <c r="S34" s="770">
        <f t="shared" si="12"/>
        <v>100</v>
      </c>
      <c r="T34" s="769" t="s">
        <v>17</v>
      </c>
      <c r="U34" s="770">
        <f t="shared" si="13"/>
        <v>100</v>
      </c>
      <c r="V34" s="769" t="s">
        <v>17</v>
      </c>
      <c r="W34" s="770">
        <f t="shared" si="14"/>
        <v>100</v>
      </c>
      <c r="X34" s="771"/>
      <c r="Y34" s="3182"/>
      <c r="Z34" s="55" t="str">
        <f t="shared" si="15"/>
        <v>物业管理</v>
      </c>
      <c r="AA34" s="772">
        <f t="shared" si="3"/>
        <v>1</v>
      </c>
      <c r="AB34" s="772">
        <f t="shared" si="4"/>
        <v>1</v>
      </c>
      <c r="AC34" s="772">
        <f t="shared" si="5"/>
        <v>1</v>
      </c>
    </row>
    <row r="35" spans="1:29" ht="15">
      <c r="A35" s="471"/>
      <c r="B35" s="421" t="s">
        <v>2645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2" t="s">
        <v>2547</v>
      </c>
      <c r="Q35" s="1811" t="str">
        <f t="shared" si="11"/>
        <v>市政基础设施</v>
      </c>
      <c r="R35" s="773" t="s">
        <v>17</v>
      </c>
      <c r="S35" s="774">
        <f t="shared" si="12"/>
        <v>100</v>
      </c>
      <c r="T35" s="773" t="s">
        <v>17</v>
      </c>
      <c r="U35" s="774">
        <f t="shared" si="13"/>
        <v>100</v>
      </c>
      <c r="V35" s="773" t="s">
        <v>17</v>
      </c>
      <c r="W35" s="774">
        <f t="shared" si="14"/>
        <v>100</v>
      </c>
      <c r="X35" s="1814"/>
      <c r="Y35" s="3182" t="s">
        <v>2547</v>
      </c>
      <c r="Z35" s="1815" t="str">
        <f t="shared" si="15"/>
        <v>市政基础设施</v>
      </c>
      <c r="AA35" s="1812">
        <f t="shared" si="3"/>
        <v>1</v>
      </c>
      <c r="AB35" s="1812">
        <f t="shared" si="4"/>
        <v>1</v>
      </c>
      <c r="AC35" s="1812">
        <f t="shared" si="5"/>
        <v>1</v>
      </c>
    </row>
    <row r="36" spans="1:29" ht="15">
      <c r="A36" s="471"/>
      <c r="B36" s="421" t="s">
        <v>2650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2"/>
      <c r="Q36" s="1811" t="str">
        <f t="shared" si="11"/>
        <v>内部装修</v>
      </c>
      <c r="R36" s="773" t="s">
        <v>17</v>
      </c>
      <c r="S36" s="774">
        <f t="shared" si="12"/>
        <v>100</v>
      </c>
      <c r="T36" s="773" t="s">
        <v>17</v>
      </c>
      <c r="U36" s="774">
        <f t="shared" si="13"/>
        <v>100</v>
      </c>
      <c r="V36" s="773" t="s">
        <v>17</v>
      </c>
      <c r="W36" s="774">
        <f t="shared" si="14"/>
        <v>100</v>
      </c>
      <c r="X36" s="1814"/>
      <c r="Y36" s="3182"/>
      <c r="Z36" s="1815" t="str">
        <f t="shared" si="15"/>
        <v>内部装修</v>
      </c>
      <c r="AA36" s="1812">
        <f t="shared" si="3"/>
        <v>1</v>
      </c>
      <c r="AB36" s="1812">
        <f t="shared" si="4"/>
        <v>1</v>
      </c>
      <c r="AC36" s="1812">
        <f t="shared" si="5"/>
        <v>1</v>
      </c>
    </row>
    <row r="37" spans="1:29" ht="15">
      <c r="A37" s="471"/>
      <c r="B37" s="421" t="s">
        <v>2686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2"/>
      <c r="Q37" s="1811" t="str">
        <f t="shared" si="11"/>
        <v>内部装修状况</v>
      </c>
      <c r="R37" s="773" t="s">
        <v>17</v>
      </c>
      <c r="S37" s="774">
        <f t="shared" si="12"/>
        <v>100</v>
      </c>
      <c r="T37" s="773" t="s">
        <v>17</v>
      </c>
      <c r="U37" s="774">
        <f t="shared" si="13"/>
        <v>100</v>
      </c>
      <c r="V37" s="773" t="s">
        <v>17</v>
      </c>
      <c r="W37" s="774">
        <f t="shared" si="14"/>
        <v>100</v>
      </c>
      <c r="X37" s="1814"/>
      <c r="Y37" s="3182"/>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2"/>
      <c r="Q38" s="775">
        <f t="shared" si="11"/>
        <v>111</v>
      </c>
      <c r="R38" s="776" t="s">
        <v>17</v>
      </c>
      <c r="S38" s="777">
        <f t="shared" si="12"/>
        <v>100</v>
      </c>
      <c r="T38" s="776" t="s">
        <v>17</v>
      </c>
      <c r="U38" s="777">
        <f t="shared" si="13"/>
        <v>100</v>
      </c>
      <c r="V38" s="776" t="s">
        <v>17</v>
      </c>
      <c r="W38" s="777">
        <f t="shared" si="14"/>
        <v>100</v>
      </c>
      <c r="X38" s="778"/>
      <c r="Y38" s="3182"/>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2"/>
      <c r="Q39" s="1811">
        <f t="shared" si="11"/>
        <v>111</v>
      </c>
      <c r="R39" s="773" t="s">
        <v>17</v>
      </c>
      <c r="S39" s="774">
        <f t="shared" si="12"/>
        <v>100</v>
      </c>
      <c r="T39" s="773" t="s">
        <v>17</v>
      </c>
      <c r="U39" s="774">
        <f t="shared" si="13"/>
        <v>100</v>
      </c>
      <c r="V39" s="773" t="s">
        <v>17</v>
      </c>
      <c r="W39" s="774">
        <f t="shared" si="14"/>
        <v>100</v>
      </c>
      <c r="X39" s="1814"/>
      <c r="Y39" s="3182"/>
      <c r="Z39" s="1815">
        <f t="shared" si="15"/>
        <v>111</v>
      </c>
      <c r="AA39" s="1812">
        <f t="shared" si="3"/>
        <v>1</v>
      </c>
      <c r="AB39" s="1812">
        <f t="shared" si="4"/>
        <v>1</v>
      </c>
      <c r="AC39" s="1812">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4"/>
      <c r="Q40" s="1811">
        <f t="shared" si="11"/>
        <v>111</v>
      </c>
      <c r="R40" s="773" t="s">
        <v>17</v>
      </c>
      <c r="S40" s="774">
        <f t="shared" si="12"/>
        <v>100</v>
      </c>
      <c r="T40" s="773" t="s">
        <v>17</v>
      </c>
      <c r="U40" s="774">
        <f t="shared" si="13"/>
        <v>100</v>
      </c>
      <c r="V40" s="773" t="s">
        <v>17</v>
      </c>
      <c r="W40" s="774">
        <f t="shared" si="14"/>
        <v>100</v>
      </c>
      <c r="X40" s="1814"/>
      <c r="Y40" s="3224"/>
      <c r="Z40" s="1815">
        <f t="shared" si="15"/>
        <v>111</v>
      </c>
      <c r="AA40" s="1812">
        <f t="shared" si="3"/>
        <v>1</v>
      </c>
      <c r="AB40" s="1812">
        <f t="shared" si="4"/>
        <v>1</v>
      </c>
      <c r="AC40" s="1812">
        <f t="shared" si="5"/>
        <v>1</v>
      </c>
    </row>
    <row r="41" spans="1:29" ht="15">
      <c r="A41" s="478" t="s">
        <v>2559</v>
      </c>
      <c r="B41" s="479"/>
      <c r="C41" s="1409" t="s">
        <v>1</v>
      </c>
      <c r="D41" s="1410"/>
      <c r="E41" s="1411"/>
      <c r="F41" s="1412"/>
      <c r="G41" s="1413"/>
      <c r="H41" s="1414"/>
      <c r="I41" s="1411"/>
      <c r="J41" s="1414"/>
      <c r="K41" s="782"/>
      <c r="L41" s="1145"/>
      <c r="M41" s="1146"/>
      <c r="N41" s="1133"/>
      <c r="O41" s="1146"/>
      <c r="P41" s="3164" t="str">
        <f>A41</f>
        <v>成交单价（元/平方米）</v>
      </c>
      <c r="Q41" s="3164"/>
      <c r="R41" s="3220">
        <f>E41</f>
        <v>0</v>
      </c>
      <c r="S41" s="3220"/>
      <c r="T41" s="3220">
        <f>G41</f>
        <v>0</v>
      </c>
      <c r="U41" s="3220"/>
      <c r="V41" s="3220">
        <f>I41</f>
        <v>0</v>
      </c>
      <c r="W41" s="3220"/>
      <c r="X41" s="758"/>
      <c r="Y41" s="780"/>
      <c r="Z41" s="758"/>
      <c r="AA41" s="758"/>
      <c r="AB41" s="758"/>
      <c r="AC41" s="758"/>
    </row>
    <row r="42" spans="1:29" ht="15.75" thickBot="1">
      <c r="A42" s="485" t="s">
        <v>2651</v>
      </c>
      <c r="B42" s="486"/>
      <c r="C42" s="1415" t="e">
        <f>R43</f>
        <v>#DIV/0!</v>
      </c>
      <c r="D42" s="1416"/>
      <c r="E42" s="1417" t="e">
        <f>R42</f>
        <v>#DIV/0!</v>
      </c>
      <c r="F42" s="1417"/>
      <c r="G42" s="1415" t="e">
        <f>T42</f>
        <v>#DIV/0!</v>
      </c>
      <c r="H42" s="1416"/>
      <c r="I42" s="1417" t="e">
        <f>V42</f>
        <v>#DIV/0!</v>
      </c>
      <c r="J42" s="1416"/>
      <c r="K42" s="783"/>
      <c r="L42" s="1145"/>
      <c r="M42" s="1146"/>
      <c r="N42" s="1133"/>
      <c r="O42" s="1146"/>
      <c r="P42" s="3164" t="str">
        <f>A42</f>
        <v>比较价值（元/平方米）</v>
      </c>
      <c r="Q42" s="3164"/>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1" t="s">
        <v>2652</v>
      </c>
      <c r="B43" s="492"/>
      <c r="C43" s="1419" t="e">
        <f>R43</f>
        <v>#DIV/0!</v>
      </c>
      <c r="D43" s="1419"/>
      <c r="E43" s="1419"/>
      <c r="F43" s="1419"/>
      <c r="G43" s="1419"/>
      <c r="H43" s="1419"/>
      <c r="I43" s="1419"/>
      <c r="J43" s="1419"/>
      <c r="K43" s="784"/>
      <c r="L43" s="1145"/>
      <c r="M43" s="1146"/>
      <c r="N43" s="1146"/>
      <c r="O43" s="1146"/>
      <c r="P43" s="3184" t="str">
        <f>A43</f>
        <v>估价对象XX用房的比较价值（楼面单价，元/平方米）</v>
      </c>
      <c r="Q43" s="3185"/>
      <c r="R43" s="3219" t="e">
        <f>IF(F1="售价",ROUND(AVERAGE(R42:V42),0),ROUND(AVERAGE(R42:V42),1))</f>
        <v>#DIV/0!</v>
      </c>
      <c r="S43" s="3219"/>
      <c r="T43" s="3219"/>
      <c r="U43" s="3219"/>
      <c r="V43" s="3219"/>
      <c r="W43" s="321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2656</v>
      </c>
      <c r="B51" s="758"/>
      <c r="C51" s="763"/>
      <c r="D51" s="763"/>
      <c r="E51" s="763"/>
      <c r="F51" s="764"/>
      <c r="G51" s="764"/>
      <c r="H51" s="763"/>
      <c r="I51" s="763"/>
      <c r="J51" s="763"/>
      <c r="K51" s="1162"/>
      <c r="L51" s="1163"/>
      <c r="M51" s="1161"/>
      <c r="N51" s="1161"/>
      <c r="O51" s="1161"/>
      <c r="P51" s="502"/>
      <c r="Q51" s="503"/>
    </row>
    <row r="52" spans="1:17" s="507" customFormat="1" ht="15">
      <c r="A52" s="504" t="s">
        <v>2530</v>
      </c>
      <c r="B52" s="505"/>
      <c r="C52" s="1575" t="str">
        <f>YEAR(C7)&amp;"-"&amp;MONTH(C7)</f>
        <v>2017-9</v>
      </c>
      <c r="D52" s="1576">
        <f>EDATE(C52,-1)</f>
        <v>42948</v>
      </c>
      <c r="E52" s="1576">
        <f t="shared" ref="E52:O52" si="16">EDATE(D52,-1)</f>
        <v>42917</v>
      </c>
      <c r="F52" s="1576">
        <f t="shared" si="16"/>
        <v>42887</v>
      </c>
      <c r="G52" s="1576">
        <f t="shared" si="16"/>
        <v>42856</v>
      </c>
      <c r="H52" s="1576">
        <f t="shared" si="16"/>
        <v>42826</v>
      </c>
      <c r="I52" s="1576">
        <f t="shared" si="16"/>
        <v>42795</v>
      </c>
      <c r="J52" s="1576">
        <f t="shared" si="16"/>
        <v>42767</v>
      </c>
      <c r="K52" s="1576">
        <f t="shared" si="16"/>
        <v>42736</v>
      </c>
      <c r="L52" s="1576">
        <f t="shared" si="16"/>
        <v>42705</v>
      </c>
      <c r="M52" s="1576">
        <f t="shared" si="16"/>
        <v>42675</v>
      </c>
      <c r="N52" s="1576">
        <f t="shared" si="16"/>
        <v>42644</v>
      </c>
      <c r="O52" s="1576">
        <f t="shared" si="16"/>
        <v>42614</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2567</v>
      </c>
      <c r="B54" s="515"/>
      <c r="C54" s="516"/>
      <c r="D54" s="517"/>
      <c r="E54" s="517"/>
      <c r="F54" s="517"/>
      <c r="G54" s="517"/>
      <c r="H54" s="517"/>
      <c r="I54" s="517"/>
      <c r="J54" s="517"/>
      <c r="K54" s="517"/>
      <c r="L54" s="517"/>
      <c r="M54" s="518"/>
      <c r="N54" s="517"/>
      <c r="O54" s="519"/>
      <c r="P54" s="503"/>
      <c r="Q54" s="503"/>
    </row>
    <row r="55" spans="1:17" s="116" customFormat="1" ht="15">
      <c r="A55" s="520" t="s">
        <v>2532</v>
      </c>
      <c r="B55" s="509"/>
      <c r="C55" s="521" t="s">
        <v>2634</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2570</v>
      </c>
      <c r="B57" s="527" t="s">
        <v>2536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2539</v>
      </c>
      <c r="C59" s="538" t="s">
        <v>2571</v>
      </c>
      <c r="D59" s="538" t="s">
        <v>2572</v>
      </c>
      <c r="E59" s="538" t="s">
        <v>2573</v>
      </c>
      <c r="F59" s="538" t="s">
        <v>2574</v>
      </c>
      <c r="G59" s="538" t="s">
        <v>2575</v>
      </c>
      <c r="H59" s="538" t="s">
        <v>2576</v>
      </c>
      <c r="I59" s="538" t="s">
        <v>2577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2541</v>
      </c>
      <c r="B70" s="527" t="s">
        <v>2687</v>
      </c>
      <c r="C70" s="572" t="s">
        <v>2579</v>
      </c>
      <c r="D70" s="572" t="s">
        <v>2580</v>
      </c>
      <c r="E70" s="572" t="s">
        <v>2581</v>
      </c>
      <c r="F70" s="572" t="s">
        <v>2582</v>
      </c>
      <c r="G70" s="572" t="s">
        <v>2583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2584</v>
      </c>
      <c r="C72" s="577" t="s">
        <v>2579</v>
      </c>
      <c r="D72" s="577" t="s">
        <v>2580</v>
      </c>
      <c r="E72" s="577" t="s">
        <v>2581</v>
      </c>
      <c r="F72" s="577" t="s">
        <v>2582</v>
      </c>
      <c r="G72" s="577" t="s">
        <v>2583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2585</v>
      </c>
      <c r="C74" s="577" t="s">
        <v>2579</v>
      </c>
      <c r="D74" s="577" t="s">
        <v>2580</v>
      </c>
      <c r="E74" s="577" t="s">
        <v>2581</v>
      </c>
      <c r="F74" s="577" t="s">
        <v>2582</v>
      </c>
      <c r="G74" s="577" t="s">
        <v>2583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2671</v>
      </c>
      <c r="C76" s="659" t="s">
        <v>2657</v>
      </c>
      <c r="D76" s="659" t="s">
        <v>2658</v>
      </c>
      <c r="E76" s="659" t="s">
        <v>2659</v>
      </c>
      <c r="F76" s="659" t="s">
        <v>2660</v>
      </c>
      <c r="G76" s="659" t="s">
        <v>2661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2680</v>
      </c>
      <c r="C78" s="577" t="s">
        <v>2579</v>
      </c>
      <c r="D78" s="577" t="s">
        <v>2580</v>
      </c>
      <c r="E78" s="577" t="s">
        <v>2581</v>
      </c>
      <c r="F78" s="577" t="s">
        <v>2582</v>
      </c>
      <c r="G78" s="577" t="s">
        <v>2583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2545</v>
      </c>
      <c r="B88" s="527" t="s">
        <v>2594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2598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2599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2688</v>
      </c>
      <c r="C106" s="577" t="s">
        <v>2579</v>
      </c>
      <c r="D106" s="577" t="s">
        <v>2580</v>
      </c>
      <c r="E106" s="577" t="s">
        <v>2581</v>
      </c>
      <c r="F106" s="577" t="s">
        <v>2582</v>
      </c>
      <c r="G106" s="577" t="s">
        <v>2583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23"/>
      <c r="F1" s="2584"/>
      <c r="G1" s="1624" t="s">
        <v>2625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2626</v>
      </c>
      <c r="D3" s="398">
        <f>SUMIF('数据-汇总表'!$C19:$C33,D1,'数据-汇总表'!$E19:$E33)</f>
        <v>0</v>
      </c>
      <c r="E3" s="399" t="s">
        <v>2690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48" t="s">
        <v>2630</v>
      </c>
      <c r="AC4" s="3147" t="s">
        <v>2631</v>
      </c>
    </row>
    <row r="5" spans="1:29" ht="15">
      <c r="A5" s="403"/>
      <c r="B5" s="404"/>
      <c r="C5" s="3218" t="s">
        <v>2524</v>
      </c>
      <c r="D5" s="3159"/>
      <c r="E5" s="3217" t="s">
        <v>2525</v>
      </c>
      <c r="F5" s="3157"/>
      <c r="G5" s="3218" t="s">
        <v>2526</v>
      </c>
      <c r="H5" s="3159"/>
      <c r="I5" s="3218" t="s">
        <v>2527</v>
      </c>
      <c r="J5" s="3159"/>
      <c r="K5" s="609"/>
      <c r="L5" s="1132"/>
      <c r="M5" s="1133"/>
      <c r="N5" s="1133"/>
      <c r="O5" s="1133"/>
      <c r="P5" s="3171"/>
      <c r="Q5" s="3172"/>
      <c r="R5" s="3154"/>
      <c r="S5" s="3155"/>
      <c r="T5" s="3154"/>
      <c r="U5" s="3155"/>
      <c r="V5" s="3177"/>
      <c r="W5" s="3177"/>
      <c r="X5" s="1814"/>
      <c r="Y5" s="3154"/>
      <c r="Z5" s="3155"/>
      <c r="AA5" s="3148"/>
      <c r="AB5" s="3148"/>
      <c r="AC5" s="3148"/>
    </row>
    <row r="6" spans="1:29" ht="15.75" thickBot="1">
      <c r="A6" s="405"/>
      <c r="B6" s="406"/>
      <c r="C6" s="3160" t="s">
        <v>2528</v>
      </c>
      <c r="D6" s="3161"/>
      <c r="E6" s="3162" t="s">
        <v>2528</v>
      </c>
      <c r="F6" s="3163"/>
      <c r="G6" s="3160" t="s">
        <v>2528</v>
      </c>
      <c r="H6" s="3161"/>
      <c r="I6" s="3160" t="s">
        <v>2528</v>
      </c>
      <c r="J6" s="3161"/>
      <c r="K6" s="609" t="s">
        <v>2529</v>
      </c>
      <c r="L6" s="1132"/>
      <c r="M6" s="1133"/>
      <c r="N6" s="1133"/>
      <c r="O6" s="1133"/>
      <c r="P6" s="3173"/>
      <c r="Q6" s="3174"/>
      <c r="R6" s="3154"/>
      <c r="S6" s="3155"/>
      <c r="T6" s="3175"/>
      <c r="U6" s="3176"/>
      <c r="V6" s="3177"/>
      <c r="W6" s="3177"/>
      <c r="X6" s="1814"/>
      <c r="Y6" s="3175"/>
      <c r="Z6" s="3176"/>
      <c r="AA6" s="3149"/>
      <c r="AB6" s="3149"/>
      <c r="AC6" s="3149"/>
    </row>
    <row r="7" spans="1:29" s="116" customFormat="1" ht="15.75" thickBot="1">
      <c r="A7" s="407" t="s">
        <v>2530</v>
      </c>
      <c r="B7" s="408"/>
      <c r="C7" s="409">
        <f>'数据-取费表'!B2</f>
        <v>42990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0" t="s">
        <v>2531</v>
      </c>
      <c r="Q7" s="3178"/>
      <c r="R7" s="769" t="s">
        <v>17</v>
      </c>
      <c r="S7" s="770">
        <f t="shared" ref="S7:S14" si="0">F7</f>
        <v>0</v>
      </c>
      <c r="T7" s="769" t="s">
        <v>17</v>
      </c>
      <c r="U7" s="770">
        <f t="shared" ref="U7:U14" si="1">H7</f>
        <v>0</v>
      </c>
      <c r="V7" s="769" t="s">
        <v>17</v>
      </c>
      <c r="W7" s="770">
        <f t="shared" ref="W7:W14" si="2">J7</f>
        <v>0</v>
      </c>
      <c r="X7" s="771"/>
      <c r="Y7" s="3150" t="s">
        <v>2531</v>
      </c>
      <c r="Z7" s="3151"/>
      <c r="AA7" s="772" t="e">
        <f>D7/F7</f>
        <v>#DIV/0!</v>
      </c>
      <c r="AB7" s="772" t="e">
        <f>D7/H7</f>
        <v>#DIV/0!</v>
      </c>
      <c r="AC7" s="772" t="e">
        <f>D7/J7</f>
        <v>#DIV/0!</v>
      </c>
    </row>
    <row r="8" spans="1:29" s="116" customFormat="1" ht="15.75" thickBot="1">
      <c r="A8" s="407" t="s">
        <v>2532</v>
      </c>
      <c r="B8" s="408"/>
      <c r="C8" s="413" t="s">
        <v>2634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0" t="s">
        <v>2534</v>
      </c>
      <c r="Q8" s="3151"/>
      <c r="R8" s="769" t="s">
        <v>17</v>
      </c>
      <c r="S8" s="770">
        <f t="shared" si="0"/>
        <v>0</v>
      </c>
      <c r="T8" s="769" t="s">
        <v>17</v>
      </c>
      <c r="U8" s="770">
        <f t="shared" si="1"/>
        <v>0</v>
      </c>
      <c r="V8" s="769" t="s">
        <v>17</v>
      </c>
      <c r="W8" s="770">
        <f t="shared" si="2"/>
        <v>0</v>
      </c>
      <c r="X8" s="771"/>
      <c r="Y8" s="3150" t="s">
        <v>2534</v>
      </c>
      <c r="Z8" s="3151"/>
      <c r="AA8" s="772" t="e">
        <f t="shared" ref="AA8:AA36" si="3">D8/F8</f>
        <v>#DIV/0!</v>
      </c>
      <c r="AB8" s="772" t="e">
        <f t="shared" ref="AB8:AB36" si="4">D8/H8</f>
        <v>#DIV/0!</v>
      </c>
      <c r="AC8" s="772" t="e">
        <f t="shared" ref="AC8:AC36" si="5">D8/J8</f>
        <v>#DIV/0!</v>
      </c>
    </row>
    <row r="9" spans="1:29" s="116" customFormat="1">
      <c r="A9" s="68" t="s">
        <v>2535</v>
      </c>
      <c r="B9" s="639" t="s">
        <v>2536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4" t="s">
        <v>2537</v>
      </c>
      <c r="Q9" s="1796" t="str">
        <f t="shared" ref="Q9:Q14" si="6">B9</f>
        <v>用途</v>
      </c>
      <c r="R9" s="769" t="s">
        <v>17</v>
      </c>
      <c r="S9" s="770">
        <f t="shared" si="0"/>
        <v>100</v>
      </c>
      <c r="T9" s="769" t="s">
        <v>17</v>
      </c>
      <c r="U9" s="770">
        <f t="shared" si="1"/>
        <v>100</v>
      </c>
      <c r="V9" s="769" t="s">
        <v>17</v>
      </c>
      <c r="W9" s="770">
        <f t="shared" si="2"/>
        <v>100</v>
      </c>
      <c r="X9" s="771"/>
      <c r="Y9" s="3025" t="s">
        <v>2538</v>
      </c>
      <c r="Z9" s="55" t="str">
        <f t="shared" ref="Z9:Z14" si="7">Q9</f>
        <v>用途</v>
      </c>
      <c r="AA9" s="772">
        <f t="shared" si="3"/>
        <v>1</v>
      </c>
      <c r="AB9" s="772">
        <f t="shared" si="4"/>
        <v>1</v>
      </c>
      <c r="AC9" s="772">
        <f t="shared" si="5"/>
        <v>1</v>
      </c>
    </row>
    <row r="10" spans="1:29" s="426" customFormat="1" ht="27">
      <c r="A10" s="640"/>
      <c r="B10" s="641" t="s">
        <v>2539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4"/>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4"/>
      <c r="Q11" s="1796">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4"/>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4"/>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00" t="s">
        <v>2541</v>
      </c>
      <c r="B14" s="628" t="s">
        <v>2691</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9" t="s">
        <v>2542</v>
      </c>
      <c r="Q14" s="1811" t="str">
        <f t="shared" si="6"/>
        <v>交通便捷度</v>
      </c>
      <c r="R14" s="773" t="s">
        <v>17</v>
      </c>
      <c r="S14" s="774">
        <f t="shared" si="0"/>
        <v>100</v>
      </c>
      <c r="T14" s="773" t="s">
        <v>17</v>
      </c>
      <c r="U14" s="774">
        <f t="shared" si="1"/>
        <v>100</v>
      </c>
      <c r="V14" s="773" t="s">
        <v>17</v>
      </c>
      <c r="W14" s="774">
        <f t="shared" si="2"/>
        <v>100</v>
      </c>
      <c r="X14" s="1814"/>
      <c r="Y14" s="3179" t="s">
        <v>2542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0"/>
      <c r="Q15" s="1811"/>
      <c r="R15" s="773"/>
      <c r="S15" s="774"/>
      <c r="T15" s="773"/>
      <c r="U15" s="774"/>
      <c r="V15" s="773"/>
      <c r="W15" s="774"/>
      <c r="X15" s="1814"/>
      <c r="Y15" s="3180"/>
      <c r="Z15" s="1815"/>
      <c r="AA15" s="1812">
        <v>1</v>
      </c>
      <c r="AB15" s="1812">
        <v>1</v>
      </c>
      <c r="AC15" s="1812">
        <v>1</v>
      </c>
    </row>
    <row r="16" spans="1:29" ht="42.75">
      <c r="A16" s="403"/>
      <c r="B16" s="630" t="s">
        <v>2670</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0"/>
      <c r="Q16" s="1811" t="str">
        <f>B16</f>
        <v>公共配套设施</v>
      </c>
      <c r="R16" s="773" t="s">
        <v>17</v>
      </c>
      <c r="S16" s="774">
        <f>F16</f>
        <v>100</v>
      </c>
      <c r="T16" s="773" t="s">
        <v>17</v>
      </c>
      <c r="U16" s="774">
        <f>H16</f>
        <v>100</v>
      </c>
      <c r="V16" s="773" t="s">
        <v>17</v>
      </c>
      <c r="W16" s="774">
        <f>J16</f>
        <v>100</v>
      </c>
      <c r="X16" s="1814"/>
      <c r="Y16" s="3180"/>
      <c r="Z16" s="1815" t="str">
        <f>Q16</f>
        <v>公共配套设施</v>
      </c>
      <c r="AA16" s="1812">
        <f t="shared" si="3"/>
        <v>1</v>
      </c>
      <c r="AB16" s="1812">
        <f t="shared" si="4"/>
        <v>1</v>
      </c>
      <c r="AC16" s="1812">
        <f t="shared" si="5"/>
        <v>1</v>
      </c>
    </row>
    <row r="17" spans="1:29" ht="15">
      <c r="A17" s="403"/>
      <c r="B17" s="631"/>
      <c r="C17" s="2608"/>
      <c r="D17" s="447"/>
      <c r="E17" s="446"/>
      <c r="F17" s="448"/>
      <c r="G17" s="446"/>
      <c r="H17" s="447"/>
      <c r="I17" s="446"/>
      <c r="J17" s="447"/>
      <c r="K17" s="614"/>
      <c r="L17" s="1142"/>
      <c r="M17" s="1133"/>
      <c r="N17" s="1133"/>
      <c r="O17" s="1133"/>
      <c r="P17" s="3180"/>
      <c r="Q17" s="1811"/>
      <c r="R17" s="773"/>
      <c r="S17" s="774"/>
      <c r="T17" s="773"/>
      <c r="U17" s="774"/>
      <c r="V17" s="773"/>
      <c r="W17" s="774"/>
      <c r="X17" s="1814"/>
      <c r="Y17" s="3180"/>
      <c r="Z17" s="1815"/>
      <c r="AA17" s="1812">
        <v>1</v>
      </c>
      <c r="AB17" s="1812">
        <v>1</v>
      </c>
      <c r="AC17" s="1812">
        <v>1</v>
      </c>
    </row>
    <row r="18" spans="1:29" ht="28.5">
      <c r="A18" s="403"/>
      <c r="B18" s="632" t="s">
        <v>2671</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0"/>
      <c r="Q18" s="1811" t="str">
        <f>B18</f>
        <v>基础设施水平</v>
      </c>
      <c r="R18" s="773" t="s">
        <v>17</v>
      </c>
      <c r="S18" s="774">
        <f>F18</f>
        <v>100</v>
      </c>
      <c r="T18" s="773" t="s">
        <v>17</v>
      </c>
      <c r="U18" s="774">
        <f>H18</f>
        <v>100</v>
      </c>
      <c r="V18" s="773" t="s">
        <v>17</v>
      </c>
      <c r="W18" s="774">
        <f>J18</f>
        <v>100</v>
      </c>
      <c r="X18" s="1814"/>
      <c r="Y18" s="3180"/>
      <c r="Z18" s="1815" t="str">
        <f>Q18</f>
        <v>基础设施水平</v>
      </c>
      <c r="AA18" s="1812">
        <f t="shared" ref="AA18" si="8">D18/F18</f>
        <v>1</v>
      </c>
      <c r="AB18" s="1812">
        <f t="shared" ref="AB18" si="9">D18/H18</f>
        <v>1</v>
      </c>
      <c r="AC18" s="1812">
        <f t="shared" ref="AC18" si="10">D18/J18</f>
        <v>1</v>
      </c>
    </row>
    <row r="19" spans="1:29" ht="15">
      <c r="A19" s="403"/>
      <c r="B19" s="632"/>
      <c r="C19" s="2608"/>
      <c r="D19" s="449"/>
      <c r="E19" s="2608"/>
      <c r="F19" s="452"/>
      <c r="G19" s="2608"/>
      <c r="H19" s="447"/>
      <c r="I19" s="446"/>
      <c r="J19" s="447"/>
      <c r="K19" s="1385"/>
      <c r="L19" s="1142"/>
      <c r="M19" s="1133"/>
      <c r="N19" s="1133"/>
      <c r="O19" s="1133"/>
      <c r="P19" s="3180"/>
      <c r="Q19" s="1811"/>
      <c r="R19" s="773"/>
      <c r="S19" s="774"/>
      <c r="T19" s="773"/>
      <c r="U19" s="774"/>
      <c r="V19" s="773"/>
      <c r="W19" s="774"/>
      <c r="X19" s="1814"/>
      <c r="Y19" s="3180"/>
      <c r="Z19" s="1815"/>
      <c r="AA19" s="1812">
        <v>1</v>
      </c>
      <c r="AB19" s="1812">
        <v>1</v>
      </c>
      <c r="AC19" s="1812">
        <v>1</v>
      </c>
    </row>
    <row r="20" spans="1:29" ht="57">
      <c r="A20" s="403"/>
      <c r="B20" s="630" t="s">
        <v>2692</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0"/>
      <c r="Q20" s="1811" t="str">
        <f>B20</f>
        <v>自然及人文环境</v>
      </c>
      <c r="R20" s="773" t="s">
        <v>17</v>
      </c>
      <c r="S20" s="774">
        <f>F20</f>
        <v>100</v>
      </c>
      <c r="T20" s="773" t="s">
        <v>17</v>
      </c>
      <c r="U20" s="774">
        <f>H20</f>
        <v>100</v>
      </c>
      <c r="V20" s="773" t="s">
        <v>17</v>
      </c>
      <c r="W20" s="774">
        <f>J20</f>
        <v>100</v>
      </c>
      <c r="X20" s="1814"/>
      <c r="Y20" s="3180"/>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0"/>
      <c r="Q21" s="1811"/>
      <c r="R21" s="773"/>
      <c r="S21" s="774"/>
      <c r="T21" s="773"/>
      <c r="U21" s="774"/>
      <c r="V21" s="773"/>
      <c r="W21" s="774"/>
      <c r="X21" s="1814"/>
      <c r="Y21" s="3180"/>
      <c r="Z21" s="1815"/>
      <c r="AA21" s="1812">
        <v>1</v>
      </c>
      <c r="AB21" s="1812">
        <v>1</v>
      </c>
      <c r="AC21" s="1812">
        <v>1</v>
      </c>
    </row>
    <row r="22" spans="1:29" ht="15">
      <c r="A22" s="403"/>
      <c r="B22" s="630" t="s">
        <v>2693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0"/>
      <c r="Q22" s="1811" t="str">
        <f>B22</f>
        <v>楼层</v>
      </c>
      <c r="R22" s="773" t="s">
        <v>17</v>
      </c>
      <c r="S22" s="774">
        <f>F22</f>
        <v>100</v>
      </c>
      <c r="T22" s="773" t="s">
        <v>17</v>
      </c>
      <c r="U22" s="774">
        <f>H22</f>
        <v>100</v>
      </c>
      <c r="V22" s="773" t="s">
        <v>17</v>
      </c>
      <c r="W22" s="774">
        <f>J22</f>
        <v>100</v>
      </c>
      <c r="X22" s="1814"/>
      <c r="Y22" s="3180"/>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0"/>
      <c r="Q23" s="1811">
        <f>B23</f>
        <v>111</v>
      </c>
      <c r="R23" s="773" t="s">
        <v>17</v>
      </c>
      <c r="S23" s="774">
        <f>F23</f>
        <v>100</v>
      </c>
      <c r="T23" s="773" t="s">
        <v>17</v>
      </c>
      <c r="U23" s="774">
        <f>H23</f>
        <v>100</v>
      </c>
      <c r="V23" s="773" t="s">
        <v>17</v>
      </c>
      <c r="W23" s="774">
        <f>J23</f>
        <v>100</v>
      </c>
      <c r="X23" s="1814"/>
      <c r="Y23" s="3180"/>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0"/>
      <c r="Q24" s="1811">
        <f t="shared" ref="Q24:Q36" si="11">B24</f>
        <v>111</v>
      </c>
      <c r="R24" s="773" t="s">
        <v>17</v>
      </c>
      <c r="S24" s="774">
        <f>F24</f>
        <v>100</v>
      </c>
      <c r="T24" s="773" t="s">
        <v>17</v>
      </c>
      <c r="U24" s="774">
        <f>H24</f>
        <v>100</v>
      </c>
      <c r="V24" s="773" t="s">
        <v>17</v>
      </c>
      <c r="W24" s="774">
        <f>J24</f>
        <v>100</v>
      </c>
      <c r="X24" s="1814"/>
      <c r="Y24" s="3180"/>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0"/>
      <c r="Q25" s="1796">
        <f t="shared" si="11"/>
        <v>111</v>
      </c>
      <c r="R25" s="769" t="s">
        <v>17</v>
      </c>
      <c r="S25" s="770">
        <f>F25</f>
        <v>100</v>
      </c>
      <c r="T25" s="769" t="s">
        <v>17</v>
      </c>
      <c r="U25" s="770">
        <f>H25</f>
        <v>100</v>
      </c>
      <c r="V25" s="769" t="s">
        <v>17</v>
      </c>
      <c r="W25" s="770">
        <f>J25</f>
        <v>100</v>
      </c>
      <c r="X25" s="771"/>
      <c r="Y25" s="3180"/>
      <c r="Z25" s="55">
        <f>Q25</f>
        <v>111</v>
      </c>
      <c r="AA25" s="1812">
        <f>D25/F25</f>
        <v>1</v>
      </c>
      <c r="AB25" s="1812">
        <f>D25/H25</f>
        <v>1</v>
      </c>
      <c r="AC25" s="1812">
        <f>D25/J25</f>
        <v>1</v>
      </c>
    </row>
    <row r="26" spans="1:29" ht="15">
      <c r="A26" s="651" t="s">
        <v>2545</v>
      </c>
      <c r="B26" s="70" t="s">
        <v>2694</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1" t="s">
        <v>2547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2" t="s">
        <v>2547</v>
      </c>
      <c r="Z26" s="1815" t="str">
        <f t="shared" ref="Z26:Z36" si="15">Q26</f>
        <v>配套类型</v>
      </c>
      <c r="AA26" s="1812">
        <f t="shared" si="3"/>
        <v>1</v>
      </c>
      <c r="AB26" s="1812">
        <f t="shared" si="4"/>
        <v>1</v>
      </c>
      <c r="AC26" s="1812">
        <f t="shared" si="5"/>
        <v>1</v>
      </c>
    </row>
    <row r="27" spans="1:29" s="470" customFormat="1" ht="15">
      <c r="A27" s="652"/>
      <c r="B27" s="653" t="s">
        <v>2695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2"/>
      <c r="Q27" s="775" t="str">
        <f t="shared" si="11"/>
        <v>项目停车位配比</v>
      </c>
      <c r="R27" s="776" t="s">
        <v>17</v>
      </c>
      <c r="S27" s="777">
        <f t="shared" si="12"/>
        <v>100</v>
      </c>
      <c r="T27" s="776" t="s">
        <v>17</v>
      </c>
      <c r="U27" s="777">
        <f t="shared" si="13"/>
        <v>100</v>
      </c>
      <c r="V27" s="776" t="s">
        <v>17</v>
      </c>
      <c r="W27" s="777">
        <f t="shared" si="14"/>
        <v>100</v>
      </c>
      <c r="X27" s="778"/>
      <c r="Y27" s="3182"/>
      <c r="Z27" s="779" t="str">
        <f t="shared" si="15"/>
        <v>项目停车位配比</v>
      </c>
      <c r="AA27" s="1812">
        <f t="shared" si="3"/>
        <v>1</v>
      </c>
      <c r="AB27" s="1812">
        <f t="shared" si="4"/>
        <v>1</v>
      </c>
      <c r="AC27" s="1812">
        <f t="shared" si="5"/>
        <v>1</v>
      </c>
    </row>
    <row r="28" spans="1:29" ht="15">
      <c r="A28" s="655"/>
      <c r="B28" s="653" t="s">
        <v>2696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2"/>
      <c r="Q28" s="1811" t="str">
        <f t="shared" si="11"/>
        <v>公共部分装修</v>
      </c>
      <c r="R28" s="773" t="s">
        <v>17</v>
      </c>
      <c r="S28" s="774">
        <f t="shared" si="12"/>
        <v>100</v>
      </c>
      <c r="T28" s="773" t="s">
        <v>17</v>
      </c>
      <c r="U28" s="774">
        <f t="shared" si="13"/>
        <v>100</v>
      </c>
      <c r="V28" s="773" t="s">
        <v>17</v>
      </c>
      <c r="W28" s="774">
        <f t="shared" si="14"/>
        <v>100</v>
      </c>
      <c r="X28" s="1814"/>
      <c r="Y28" s="3182"/>
      <c r="Z28" s="1815" t="str">
        <f t="shared" si="15"/>
        <v>公共部分装修</v>
      </c>
      <c r="AA28" s="1812">
        <f t="shared" si="3"/>
        <v>1</v>
      </c>
      <c r="AB28" s="1812">
        <f t="shared" si="4"/>
        <v>1</v>
      </c>
      <c r="AC28" s="1812">
        <f t="shared" si="5"/>
        <v>1</v>
      </c>
    </row>
    <row r="29" spans="1:29" ht="15">
      <c r="A29" s="655"/>
      <c r="B29" s="653" t="s">
        <v>2697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2"/>
      <c r="Q29" s="1811" t="str">
        <f t="shared" si="11"/>
        <v>成新率</v>
      </c>
      <c r="R29" s="773" t="s">
        <v>17</v>
      </c>
      <c r="S29" s="774" t="e">
        <f t="shared" si="12"/>
        <v>#N/A</v>
      </c>
      <c r="T29" s="773" t="s">
        <v>17</v>
      </c>
      <c r="U29" s="774" t="e">
        <f t="shared" si="13"/>
        <v>#N/A</v>
      </c>
      <c r="V29" s="773" t="s">
        <v>17</v>
      </c>
      <c r="W29" s="774" t="e">
        <f t="shared" si="14"/>
        <v>#N/A</v>
      </c>
      <c r="X29" s="1814"/>
      <c r="Y29" s="3182"/>
      <c r="Z29" s="1815" t="str">
        <f t="shared" si="15"/>
        <v>成新率</v>
      </c>
      <c r="AA29" s="1812" t="e">
        <f t="shared" si="3"/>
        <v>#N/A</v>
      </c>
      <c r="AB29" s="1812" t="e">
        <f t="shared" si="4"/>
        <v>#N/A</v>
      </c>
      <c r="AC29" s="1812" t="e">
        <f t="shared" si="5"/>
        <v>#N/A</v>
      </c>
    </row>
    <row r="30" spans="1:29" ht="15">
      <c r="A30" s="655"/>
      <c r="B30" s="653" t="s">
        <v>2698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2"/>
      <c r="Q30" s="1811" t="str">
        <f t="shared" si="11"/>
        <v>物业等级</v>
      </c>
      <c r="R30" s="773" t="s">
        <v>17</v>
      </c>
      <c r="S30" s="774">
        <f t="shared" si="12"/>
        <v>100</v>
      </c>
      <c r="T30" s="773" t="s">
        <v>17</v>
      </c>
      <c r="U30" s="774">
        <f t="shared" si="13"/>
        <v>100</v>
      </c>
      <c r="V30" s="773" t="s">
        <v>17</v>
      </c>
      <c r="W30" s="774">
        <f t="shared" si="14"/>
        <v>100</v>
      </c>
      <c r="X30" s="1814"/>
      <c r="Y30" s="3182"/>
      <c r="Z30" s="1815" t="str">
        <f t="shared" si="15"/>
        <v>物业等级</v>
      </c>
      <c r="AA30" s="1812">
        <f t="shared" si="3"/>
        <v>1</v>
      </c>
      <c r="AB30" s="1812">
        <f t="shared" si="4"/>
        <v>1</v>
      </c>
      <c r="AC30" s="1812">
        <f t="shared" si="5"/>
        <v>1</v>
      </c>
    </row>
    <row r="31" spans="1:29" s="116" customFormat="1" ht="15">
      <c r="A31" s="657"/>
      <c r="B31" s="653" t="s">
        <v>2699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2"/>
      <c r="Q31" s="1796" t="str">
        <f t="shared" si="11"/>
        <v>停车位面积</v>
      </c>
      <c r="R31" s="769" t="s">
        <v>17</v>
      </c>
      <c r="S31" s="770" t="e">
        <f t="shared" si="12"/>
        <v>#N/A</v>
      </c>
      <c r="T31" s="769" t="s">
        <v>17</v>
      </c>
      <c r="U31" s="770" t="e">
        <f t="shared" si="13"/>
        <v>#N/A</v>
      </c>
      <c r="V31" s="769" t="s">
        <v>17</v>
      </c>
      <c r="W31" s="770" t="e">
        <f t="shared" si="14"/>
        <v>#N/A</v>
      </c>
      <c r="X31" s="771"/>
      <c r="Y31" s="3182"/>
      <c r="Z31" s="55" t="str">
        <f t="shared" si="15"/>
        <v>停车位面积</v>
      </c>
      <c r="AA31" s="772" t="e">
        <f t="shared" si="3"/>
        <v>#N/A</v>
      </c>
      <c r="AB31" s="772" t="e">
        <f t="shared" si="4"/>
        <v>#N/A</v>
      </c>
      <c r="AC31" s="772" t="e">
        <f t="shared" si="5"/>
        <v>#N/A</v>
      </c>
    </row>
    <row r="32" spans="1:29" ht="15">
      <c r="A32" s="655"/>
      <c r="B32" s="653" t="s">
        <v>2700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2" t="s">
        <v>2547</v>
      </c>
      <c r="Q32" s="1811" t="str">
        <f t="shared" si="11"/>
        <v>车位类型</v>
      </c>
      <c r="R32" s="773" t="s">
        <v>17</v>
      </c>
      <c r="S32" s="774">
        <f t="shared" si="12"/>
        <v>100</v>
      </c>
      <c r="T32" s="773" t="s">
        <v>17</v>
      </c>
      <c r="U32" s="774">
        <f t="shared" si="13"/>
        <v>100</v>
      </c>
      <c r="V32" s="773" t="s">
        <v>17</v>
      </c>
      <c r="W32" s="774">
        <f t="shared" si="14"/>
        <v>100</v>
      </c>
      <c r="X32" s="1814"/>
      <c r="Y32" s="3182" t="s">
        <v>2547</v>
      </c>
      <c r="Z32" s="1815" t="str">
        <f t="shared" si="15"/>
        <v>车位类型</v>
      </c>
      <c r="AA32" s="1812">
        <f t="shared" si="3"/>
        <v>1</v>
      </c>
      <c r="AB32" s="1812">
        <f t="shared" si="4"/>
        <v>1</v>
      </c>
      <c r="AC32" s="1812">
        <f t="shared" si="5"/>
        <v>1</v>
      </c>
    </row>
    <row r="33" spans="1:29" ht="15">
      <c r="A33" s="655"/>
      <c r="B33" s="653" t="s">
        <v>2701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2"/>
      <c r="Q33" s="1811" t="str">
        <f t="shared" si="11"/>
        <v>是否直接入户</v>
      </c>
      <c r="R33" s="773" t="s">
        <v>17</v>
      </c>
      <c r="S33" s="774">
        <f t="shared" si="12"/>
        <v>100</v>
      </c>
      <c r="T33" s="773" t="s">
        <v>17</v>
      </c>
      <c r="U33" s="774">
        <f t="shared" si="13"/>
        <v>100</v>
      </c>
      <c r="V33" s="773" t="s">
        <v>17</v>
      </c>
      <c r="W33" s="774">
        <f t="shared" si="14"/>
        <v>100</v>
      </c>
      <c r="X33" s="1814"/>
      <c r="Y33" s="3182"/>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2"/>
      <c r="Q34" s="1811">
        <f t="shared" si="11"/>
        <v>111</v>
      </c>
      <c r="R34" s="773" t="s">
        <v>17</v>
      </c>
      <c r="S34" s="774">
        <f t="shared" si="12"/>
        <v>100</v>
      </c>
      <c r="T34" s="773" t="s">
        <v>17</v>
      </c>
      <c r="U34" s="774">
        <f t="shared" si="13"/>
        <v>100</v>
      </c>
      <c r="V34" s="773" t="s">
        <v>17</v>
      </c>
      <c r="W34" s="774">
        <f t="shared" si="14"/>
        <v>100</v>
      </c>
      <c r="X34" s="1814"/>
      <c r="Y34" s="3182"/>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2"/>
      <c r="Q35" s="775">
        <f t="shared" si="11"/>
        <v>111</v>
      </c>
      <c r="R35" s="776" t="s">
        <v>17</v>
      </c>
      <c r="S35" s="777">
        <f t="shared" si="12"/>
        <v>100</v>
      </c>
      <c r="T35" s="776" t="s">
        <v>17</v>
      </c>
      <c r="U35" s="777">
        <f t="shared" si="13"/>
        <v>100</v>
      </c>
      <c r="V35" s="776" t="s">
        <v>17</v>
      </c>
      <c r="W35" s="777">
        <f t="shared" si="14"/>
        <v>100</v>
      </c>
      <c r="X35" s="778"/>
      <c r="Y35" s="3182"/>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2"/>
      <c r="Q36" s="1811">
        <f t="shared" si="11"/>
        <v>111</v>
      </c>
      <c r="R36" s="773" t="s">
        <v>17</v>
      </c>
      <c r="S36" s="774">
        <f t="shared" si="12"/>
        <v>100</v>
      </c>
      <c r="T36" s="773" t="s">
        <v>17</v>
      </c>
      <c r="U36" s="774">
        <f t="shared" si="13"/>
        <v>100</v>
      </c>
      <c r="V36" s="773" t="s">
        <v>17</v>
      </c>
      <c r="W36" s="774">
        <f t="shared" si="14"/>
        <v>100</v>
      </c>
      <c r="X36" s="1814"/>
      <c r="Y36" s="3182"/>
      <c r="Z36" s="1815">
        <f t="shared" si="15"/>
        <v>111</v>
      </c>
      <c r="AA36" s="1812">
        <f t="shared" si="3"/>
        <v>1</v>
      </c>
      <c r="AB36" s="1812">
        <f t="shared" si="4"/>
        <v>1</v>
      </c>
      <c r="AC36" s="1812">
        <f t="shared" si="5"/>
        <v>1</v>
      </c>
    </row>
    <row r="37" spans="1:29" ht="15">
      <c r="A37" s="478" t="s">
        <v>2702</v>
      </c>
      <c r="B37" s="2695" t="s">
        <v>2703</v>
      </c>
      <c r="C37" s="1409" t="s">
        <v>1</v>
      </c>
      <c r="D37" s="1410"/>
      <c r="E37" s="1411"/>
      <c r="F37" s="1412"/>
      <c r="G37" s="1413"/>
      <c r="H37" s="1414"/>
      <c r="I37" s="1411"/>
      <c r="J37" s="1414"/>
      <c r="K37" s="618"/>
      <c r="L37" s="1145"/>
      <c r="M37" s="1146"/>
      <c r="N37" s="1133"/>
      <c r="O37" s="1146"/>
      <c r="P37" s="3164" t="str">
        <f>A37</f>
        <v>成交单价</v>
      </c>
      <c r="Q37" s="3164"/>
      <c r="R37" s="3220">
        <f>E37</f>
        <v>0</v>
      </c>
      <c r="S37" s="3220"/>
      <c r="T37" s="3220">
        <f>G37</f>
        <v>0</v>
      </c>
      <c r="U37" s="3220"/>
      <c r="V37" s="3220">
        <f>I37</f>
        <v>0</v>
      </c>
      <c r="W37" s="3220"/>
      <c r="X37" s="758"/>
      <c r="Y37" s="780"/>
      <c r="Z37" s="758"/>
      <c r="AA37" s="758"/>
      <c r="AB37" s="758"/>
      <c r="AC37" s="758"/>
    </row>
    <row r="38" spans="1:29" ht="15.75" thickBot="1">
      <c r="A38" s="485" t="s">
        <v>2704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4" t="str">
        <f>A38</f>
        <v>比较价值（元/平方米）</v>
      </c>
      <c r="Q38" s="3164"/>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1" t="s">
        <v>2705</v>
      </c>
      <c r="B39" s="492"/>
      <c r="C39" s="1419" t="e">
        <f>R39</f>
        <v>#DIV/0!</v>
      </c>
      <c r="D39" s="1419"/>
      <c r="E39" s="1419"/>
      <c r="F39" s="1419"/>
      <c r="G39" s="1419"/>
      <c r="H39" s="1419"/>
      <c r="I39" s="1419"/>
      <c r="J39" s="1419"/>
      <c r="K39" s="620"/>
      <c r="L39" s="1145"/>
      <c r="M39" s="1146"/>
      <c r="N39" s="1146"/>
      <c r="O39" s="1146"/>
      <c r="P39" s="3184" t="str">
        <f>A39</f>
        <v>估价对象XX用房的比较价值（楼面单价，元/平方米）</v>
      </c>
      <c r="Q39" s="3185"/>
      <c r="R39" s="3219" t="e">
        <f>IF(F1="售价",ROUND(AVERAGE(R38:V38),0),ROUND(AVERAGE(R38:V38),1))</f>
        <v>#DIV/0!</v>
      </c>
      <c r="S39" s="3219"/>
      <c r="T39" s="3219"/>
      <c r="U39" s="3219"/>
      <c r="V39" s="3219"/>
      <c r="W39" s="321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2707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2708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2709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2710</v>
      </c>
      <c r="B48" s="505"/>
      <c r="C48" s="1575" t="str">
        <f>YEAR(C7)&amp;"-"&amp;MONTH(C7)</f>
        <v>2017-9</v>
      </c>
      <c r="D48" s="1576">
        <f>EDATE(C48,-1)</f>
        <v>42948</v>
      </c>
      <c r="E48" s="1576">
        <f t="shared" ref="E48:O48" si="16">EDATE(D48,-1)</f>
        <v>42917</v>
      </c>
      <c r="F48" s="1576">
        <f t="shared" si="16"/>
        <v>42887</v>
      </c>
      <c r="G48" s="1576">
        <f t="shared" si="16"/>
        <v>42856</v>
      </c>
      <c r="H48" s="1576">
        <f t="shared" si="16"/>
        <v>42826</v>
      </c>
      <c r="I48" s="1576">
        <f t="shared" si="16"/>
        <v>42795</v>
      </c>
      <c r="J48" s="1576">
        <f t="shared" si="16"/>
        <v>42767</v>
      </c>
      <c r="K48" s="1576">
        <f t="shared" si="16"/>
        <v>42736</v>
      </c>
      <c r="L48" s="1576">
        <f t="shared" si="16"/>
        <v>42705</v>
      </c>
      <c r="M48" s="1576">
        <f t="shared" si="16"/>
        <v>42675</v>
      </c>
      <c r="N48" s="1576">
        <f t="shared" si="16"/>
        <v>42644</v>
      </c>
      <c r="O48" s="1576">
        <f t="shared" si="16"/>
        <v>42614</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2567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2532</v>
      </c>
      <c r="B51" s="509"/>
      <c r="C51" s="521" t="s">
        <v>2634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2570</v>
      </c>
      <c r="B53" s="527" t="s">
        <v>2536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2539</v>
      </c>
      <c r="C55" s="538" t="s">
        <v>2571</v>
      </c>
      <c r="D55" s="538" t="s">
        <v>2572</v>
      </c>
      <c r="E55" s="538" t="s">
        <v>2573</v>
      </c>
      <c r="F55" s="538" t="s">
        <v>2574</v>
      </c>
      <c r="G55" s="538" t="s">
        <v>2575</v>
      </c>
      <c r="H55" s="538" t="s">
        <v>2576</v>
      </c>
      <c r="I55" s="538" t="s">
        <v>2577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2541</v>
      </c>
      <c r="B63" s="527" t="s">
        <v>2584</v>
      </c>
      <c r="C63" s="572" t="s">
        <v>2579</v>
      </c>
      <c r="D63" s="572" t="s">
        <v>2580</v>
      </c>
      <c r="E63" s="572" t="s">
        <v>2581</v>
      </c>
      <c r="F63" s="572" t="s">
        <v>2582</v>
      </c>
      <c r="G63" s="572" t="s">
        <v>2583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2585</v>
      </c>
      <c r="C65" s="577" t="s">
        <v>2579</v>
      </c>
      <c r="D65" s="577" t="s">
        <v>2580</v>
      </c>
      <c r="E65" s="577" t="s">
        <v>2581</v>
      </c>
      <c r="F65" s="577" t="s">
        <v>2582</v>
      </c>
      <c r="G65" s="577" t="s">
        <v>2583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2671</v>
      </c>
      <c r="C67" s="659" t="s">
        <v>2657</v>
      </c>
      <c r="D67" s="659" t="s">
        <v>2658</v>
      </c>
      <c r="E67" s="659" t="s">
        <v>2659</v>
      </c>
      <c r="F67" s="659" t="s">
        <v>2660</v>
      </c>
      <c r="G67" s="659" t="s">
        <v>2661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2591</v>
      </c>
      <c r="C69" s="577" t="s">
        <v>2579</v>
      </c>
      <c r="D69" s="577" t="s">
        <v>2580</v>
      </c>
      <c r="E69" s="577" t="s">
        <v>2581</v>
      </c>
      <c r="F69" s="577" t="s">
        <v>2582</v>
      </c>
      <c r="G69" s="577" t="s">
        <v>2583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2545</v>
      </c>
      <c r="B79" s="527" t="s">
        <v>2712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2598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2717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2718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31"/>
      <c r="F1" s="2584"/>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48" t="s">
        <v>2630</v>
      </c>
      <c r="AC4" s="3147" t="s">
        <v>2631</v>
      </c>
    </row>
    <row r="5" spans="1:29" ht="15">
      <c r="A5" s="403"/>
      <c r="B5" s="404"/>
      <c r="C5" s="3218" t="s">
        <v>2524</v>
      </c>
      <c r="D5" s="3159"/>
      <c r="E5" s="3217" t="s">
        <v>2525</v>
      </c>
      <c r="F5" s="3157"/>
      <c r="G5" s="3218" t="s">
        <v>2526</v>
      </c>
      <c r="H5" s="3159"/>
      <c r="I5" s="3218" t="s">
        <v>2527</v>
      </c>
      <c r="J5" s="3159"/>
      <c r="K5" s="609"/>
      <c r="L5" s="1132"/>
      <c r="M5" s="1133"/>
      <c r="N5" s="1133"/>
      <c r="O5" s="1133"/>
      <c r="P5" s="3171"/>
      <c r="Q5" s="3172"/>
      <c r="R5" s="3154"/>
      <c r="S5" s="3155"/>
      <c r="T5" s="3154"/>
      <c r="U5" s="3155"/>
      <c r="V5" s="3177"/>
      <c r="W5" s="3177"/>
      <c r="X5" s="1814"/>
      <c r="Y5" s="3154"/>
      <c r="Z5" s="3155"/>
      <c r="AA5" s="3148"/>
      <c r="AB5" s="3148"/>
      <c r="AC5" s="3148"/>
    </row>
    <row r="6" spans="1:29" ht="15.75" thickBot="1">
      <c r="A6" s="405"/>
      <c r="B6" s="406"/>
      <c r="C6" s="3160" t="s">
        <v>2528</v>
      </c>
      <c r="D6" s="3161"/>
      <c r="E6" s="3162" t="s">
        <v>2528</v>
      </c>
      <c r="F6" s="3163"/>
      <c r="G6" s="3160" t="s">
        <v>2528</v>
      </c>
      <c r="H6" s="3161"/>
      <c r="I6" s="3160" t="s">
        <v>2528</v>
      </c>
      <c r="J6" s="3161"/>
      <c r="K6" s="609" t="s">
        <v>2529</v>
      </c>
      <c r="L6" s="1132"/>
      <c r="M6" s="1133"/>
      <c r="N6" s="1133"/>
      <c r="O6" s="1133"/>
      <c r="P6" s="3173"/>
      <c r="Q6" s="3174"/>
      <c r="R6" s="3154"/>
      <c r="S6" s="3155"/>
      <c r="T6" s="3175"/>
      <c r="U6" s="3176"/>
      <c r="V6" s="3177"/>
      <c r="W6" s="3177"/>
      <c r="X6" s="1814"/>
      <c r="Y6" s="3175"/>
      <c r="Z6" s="3176"/>
      <c r="AA6" s="3149"/>
      <c r="AB6" s="3149"/>
      <c r="AC6" s="3149"/>
    </row>
    <row r="7" spans="1:29" s="116" customFormat="1" ht="15.75" thickBot="1">
      <c r="A7" s="407" t="s">
        <v>2530</v>
      </c>
      <c r="B7" s="408"/>
      <c r="C7" s="409">
        <f>'数据-取费表'!B2</f>
        <v>42990</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50" t="s">
        <v>2531</v>
      </c>
      <c r="Q7" s="3178"/>
      <c r="R7" s="769" t="s">
        <v>17</v>
      </c>
      <c r="S7" s="770">
        <f t="shared" ref="S7:S14" si="0">F7</f>
        <v>0</v>
      </c>
      <c r="T7" s="769" t="s">
        <v>17</v>
      </c>
      <c r="U7" s="770">
        <f t="shared" ref="U7:U14" si="1">H7</f>
        <v>0</v>
      </c>
      <c r="V7" s="769" t="s">
        <v>17</v>
      </c>
      <c r="W7" s="770">
        <f t="shared" ref="W7:W14" si="2">J7</f>
        <v>0</v>
      </c>
      <c r="X7" s="771"/>
      <c r="Y7" s="3150" t="s">
        <v>2531</v>
      </c>
      <c r="Z7" s="3151"/>
      <c r="AA7" s="772" t="e">
        <f>D7/F7</f>
        <v>#DIV/0!</v>
      </c>
      <c r="AB7" s="772" t="e">
        <f>D7/H7</f>
        <v>#DIV/0!</v>
      </c>
      <c r="AC7" s="772" t="e">
        <f>D7/J7</f>
        <v>#DIV/0!</v>
      </c>
    </row>
    <row r="8" spans="1:29" s="116" customFormat="1" ht="15.75" thickBot="1">
      <c r="A8" s="407" t="s">
        <v>2532</v>
      </c>
      <c r="B8" s="408"/>
      <c r="C8" s="413" t="s">
        <v>2634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0" t="s">
        <v>2534</v>
      </c>
      <c r="Q8" s="3151"/>
      <c r="R8" s="769" t="s">
        <v>17</v>
      </c>
      <c r="S8" s="770">
        <f t="shared" si="0"/>
        <v>0</v>
      </c>
      <c r="T8" s="769" t="s">
        <v>17</v>
      </c>
      <c r="U8" s="770">
        <f t="shared" si="1"/>
        <v>0</v>
      </c>
      <c r="V8" s="769" t="s">
        <v>17</v>
      </c>
      <c r="W8" s="770">
        <f t="shared" si="2"/>
        <v>0</v>
      </c>
      <c r="X8" s="771"/>
      <c r="Y8" s="3150" t="s">
        <v>2534</v>
      </c>
      <c r="Z8" s="3151"/>
      <c r="AA8" s="772" t="e">
        <f t="shared" ref="AA8:AA34" si="3">D8/F8</f>
        <v>#DIV/0!</v>
      </c>
      <c r="AB8" s="772" t="e">
        <f t="shared" ref="AB8:AB34" si="4">D8/H8</f>
        <v>#DIV/0!</v>
      </c>
      <c r="AC8" s="772" t="e">
        <f t="shared" ref="AC8:AC34" si="5">D8/J8</f>
        <v>#DIV/0!</v>
      </c>
    </row>
    <row r="9" spans="1:29" s="116" customFormat="1">
      <c r="A9" s="414" t="s">
        <v>2535</v>
      </c>
      <c r="B9" s="71" t="s">
        <v>2536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4" t="s">
        <v>2537</v>
      </c>
      <c r="Q9" s="1796" t="str">
        <f t="shared" ref="Q9:Q14" si="6">B9</f>
        <v>用途</v>
      </c>
      <c r="R9" s="769" t="s">
        <v>17</v>
      </c>
      <c r="S9" s="770">
        <f t="shared" si="0"/>
        <v>100</v>
      </c>
      <c r="T9" s="769" t="s">
        <v>17</v>
      </c>
      <c r="U9" s="770">
        <f t="shared" si="1"/>
        <v>100</v>
      </c>
      <c r="V9" s="769" t="s">
        <v>17</v>
      </c>
      <c r="W9" s="770">
        <f t="shared" si="2"/>
        <v>100</v>
      </c>
      <c r="X9" s="771"/>
      <c r="Y9" s="3025" t="s">
        <v>2538</v>
      </c>
      <c r="Z9" s="55" t="str">
        <f t="shared" ref="Z9:Z14" si="7">Q9</f>
        <v>用途</v>
      </c>
      <c r="AA9" s="772">
        <f t="shared" si="3"/>
        <v>1</v>
      </c>
      <c r="AB9" s="772">
        <f t="shared" si="4"/>
        <v>1</v>
      </c>
      <c r="AC9" s="772">
        <f t="shared" si="5"/>
        <v>1</v>
      </c>
    </row>
    <row r="10" spans="1:29" s="426" customFormat="1" ht="27">
      <c r="A10" s="420"/>
      <c r="B10" s="421" t="s">
        <v>2539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4"/>
      <c r="Q10" s="1796"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4"/>
      <c r="Q11" s="1796">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4"/>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64"/>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39" t="s">
        <v>2541</v>
      </c>
      <c r="B14" s="69" t="s">
        <v>2691</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9" t="s">
        <v>2542</v>
      </c>
      <c r="Q14" s="1811" t="str">
        <f t="shared" si="6"/>
        <v>交通便捷度</v>
      </c>
      <c r="R14" s="773" t="s">
        <v>17</v>
      </c>
      <c r="S14" s="774">
        <f t="shared" si="0"/>
        <v>100</v>
      </c>
      <c r="T14" s="773" t="s">
        <v>17</v>
      </c>
      <c r="U14" s="774">
        <f t="shared" si="1"/>
        <v>100</v>
      </c>
      <c r="V14" s="773" t="s">
        <v>17</v>
      </c>
      <c r="W14" s="774">
        <f t="shared" si="2"/>
        <v>100</v>
      </c>
      <c r="X14" s="1814"/>
      <c r="Y14" s="3179" t="s">
        <v>2542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0"/>
      <c r="Q15" s="1811"/>
      <c r="R15" s="773"/>
      <c r="S15" s="774"/>
      <c r="T15" s="773"/>
      <c r="U15" s="774"/>
      <c r="V15" s="773"/>
      <c r="W15" s="774"/>
      <c r="X15" s="1814"/>
      <c r="Y15" s="3180"/>
      <c r="Z15" s="1815"/>
      <c r="AA15" s="1812">
        <v>1</v>
      </c>
      <c r="AB15" s="1812">
        <v>1</v>
      </c>
      <c r="AC15" s="1812">
        <v>1</v>
      </c>
    </row>
    <row r="16" spans="1:29" ht="42.75">
      <c r="A16" s="427"/>
      <c r="B16" s="450" t="s">
        <v>2670</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0"/>
      <c r="Q16" s="1811" t="str">
        <f>B16</f>
        <v>公共配套设施</v>
      </c>
      <c r="R16" s="773" t="s">
        <v>17</v>
      </c>
      <c r="S16" s="774">
        <f>F16</f>
        <v>100</v>
      </c>
      <c r="T16" s="773" t="s">
        <v>17</v>
      </c>
      <c r="U16" s="774">
        <f>H16</f>
        <v>100</v>
      </c>
      <c r="V16" s="773" t="s">
        <v>17</v>
      </c>
      <c r="W16" s="774">
        <f>J16</f>
        <v>100</v>
      </c>
      <c r="X16" s="1814"/>
      <c r="Y16" s="3180"/>
      <c r="Z16" s="1815" t="str">
        <f>Q16</f>
        <v>公共配套设施</v>
      </c>
      <c r="AA16" s="1812">
        <f t="shared" si="3"/>
        <v>1</v>
      </c>
      <c r="AB16" s="1812">
        <f t="shared" si="4"/>
        <v>1</v>
      </c>
      <c r="AC16" s="1812">
        <f t="shared" si="5"/>
        <v>1</v>
      </c>
    </row>
    <row r="17" spans="1:29" ht="15">
      <c r="A17" s="427"/>
      <c r="B17" s="455"/>
      <c r="C17" s="2608"/>
      <c r="D17" s="447"/>
      <c r="E17" s="446"/>
      <c r="F17" s="448"/>
      <c r="G17" s="446"/>
      <c r="H17" s="447"/>
      <c r="I17" s="446"/>
      <c r="J17" s="447"/>
      <c r="K17" s="614"/>
      <c r="L17" s="1142"/>
      <c r="M17" s="1133"/>
      <c r="N17" s="1133"/>
      <c r="O17" s="1141"/>
      <c r="P17" s="3180"/>
      <c r="Q17" s="1811"/>
      <c r="R17" s="773"/>
      <c r="S17" s="774"/>
      <c r="T17" s="773"/>
      <c r="U17" s="774"/>
      <c r="V17" s="773"/>
      <c r="W17" s="774"/>
      <c r="X17" s="1814"/>
      <c r="Y17" s="3180"/>
      <c r="Z17" s="1815"/>
      <c r="AA17" s="1812">
        <v>1</v>
      </c>
      <c r="AB17" s="1812">
        <v>1</v>
      </c>
      <c r="AC17" s="1812">
        <v>1</v>
      </c>
    </row>
    <row r="18" spans="1:29" ht="28.5">
      <c r="A18" s="427"/>
      <c r="B18" s="1386" t="s">
        <v>2671</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0"/>
      <c r="Q18" s="1811" t="str">
        <f>B18</f>
        <v>基础设施水平</v>
      </c>
      <c r="R18" s="773" t="s">
        <v>17</v>
      </c>
      <c r="S18" s="774">
        <f>F18</f>
        <v>100</v>
      </c>
      <c r="T18" s="773" t="s">
        <v>17</v>
      </c>
      <c r="U18" s="774">
        <f>H18</f>
        <v>100</v>
      </c>
      <c r="V18" s="773" t="s">
        <v>17</v>
      </c>
      <c r="W18" s="774">
        <f>J18</f>
        <v>100</v>
      </c>
      <c r="X18" s="1814"/>
      <c r="Y18" s="3180"/>
      <c r="Z18" s="1815" t="str">
        <f>Q18</f>
        <v>基础设施水平</v>
      </c>
      <c r="AA18" s="1812">
        <f t="shared" ref="AA18" si="8">D18/F18</f>
        <v>1</v>
      </c>
      <c r="AB18" s="1812">
        <f t="shared" ref="AB18" si="9">D18/H18</f>
        <v>1</v>
      </c>
      <c r="AC18" s="1812">
        <f t="shared" ref="AC18" si="10">D18/J18</f>
        <v>1</v>
      </c>
    </row>
    <row r="19" spans="1:29" ht="15">
      <c r="A19" s="427"/>
      <c r="B19" s="1386"/>
      <c r="C19" s="2608"/>
      <c r="D19" s="449"/>
      <c r="E19" s="2608"/>
      <c r="F19" s="452"/>
      <c r="G19" s="2608"/>
      <c r="H19" s="447"/>
      <c r="I19" s="446"/>
      <c r="J19" s="447"/>
      <c r="K19" s="1385"/>
      <c r="L19" s="1142"/>
      <c r="M19" s="1133"/>
      <c r="N19" s="1133"/>
      <c r="O19" s="1141"/>
      <c r="P19" s="3180"/>
      <c r="Q19" s="1811"/>
      <c r="R19" s="773"/>
      <c r="S19" s="774"/>
      <c r="T19" s="773"/>
      <c r="U19" s="774"/>
      <c r="V19" s="773"/>
      <c r="W19" s="774"/>
      <c r="X19" s="1814"/>
      <c r="Y19" s="3180"/>
      <c r="Z19" s="1815"/>
      <c r="AA19" s="1812">
        <v>1</v>
      </c>
      <c r="AB19" s="1812">
        <v>1</v>
      </c>
      <c r="AC19" s="1812">
        <v>1</v>
      </c>
    </row>
    <row r="20" spans="1:29" ht="57">
      <c r="A20" s="427"/>
      <c r="B20" s="450" t="s">
        <v>2692</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0"/>
      <c r="Q20" s="1811" t="str">
        <f>B20</f>
        <v>自然及人文环境</v>
      </c>
      <c r="R20" s="773" t="s">
        <v>17</v>
      </c>
      <c r="S20" s="774">
        <f>F20</f>
        <v>100</v>
      </c>
      <c r="T20" s="773" t="s">
        <v>17</v>
      </c>
      <c r="U20" s="774">
        <f>H20</f>
        <v>100</v>
      </c>
      <c r="V20" s="773" t="s">
        <v>17</v>
      </c>
      <c r="W20" s="774">
        <f>J20</f>
        <v>100</v>
      </c>
      <c r="X20" s="1814"/>
      <c r="Y20" s="3180"/>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0"/>
      <c r="Q21" s="1811"/>
      <c r="R21" s="773"/>
      <c r="S21" s="774"/>
      <c r="T21" s="773"/>
      <c r="U21" s="774"/>
      <c r="V21" s="773"/>
      <c r="W21" s="774"/>
      <c r="X21" s="1814"/>
      <c r="Y21" s="3180"/>
      <c r="Z21" s="1815"/>
      <c r="AA21" s="1812">
        <v>1</v>
      </c>
      <c r="AB21" s="1812">
        <v>1</v>
      </c>
      <c r="AC21" s="1812">
        <v>1</v>
      </c>
    </row>
    <row r="22" spans="1:29" ht="15">
      <c r="A22" s="427"/>
      <c r="B22" s="450" t="s">
        <v>2693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0"/>
      <c r="Q22" s="1811" t="str">
        <f>B22</f>
        <v>楼层</v>
      </c>
      <c r="R22" s="773" t="s">
        <v>17</v>
      </c>
      <c r="S22" s="774">
        <f>F22</f>
        <v>100</v>
      </c>
      <c r="T22" s="773" t="s">
        <v>17</v>
      </c>
      <c r="U22" s="774">
        <f>H22</f>
        <v>100</v>
      </c>
      <c r="V22" s="773" t="s">
        <v>17</v>
      </c>
      <c r="W22" s="774">
        <f>J22</f>
        <v>100</v>
      </c>
      <c r="X22" s="1814"/>
      <c r="Y22" s="3180"/>
      <c r="Z22" s="1815" t="str">
        <f>Q22</f>
        <v>楼层</v>
      </c>
      <c r="AA22" s="1812">
        <f t="shared" si="3"/>
        <v>1</v>
      </c>
      <c r="AB22" s="1812">
        <f t="shared" si="4"/>
        <v>1</v>
      </c>
      <c r="AC22" s="1812">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0"/>
      <c r="Q23" s="1811">
        <f>B23</f>
        <v>111</v>
      </c>
      <c r="R23" s="773" t="s">
        <v>17</v>
      </c>
      <c r="S23" s="774">
        <f>F23</f>
        <v>100</v>
      </c>
      <c r="T23" s="773" t="s">
        <v>17</v>
      </c>
      <c r="U23" s="774">
        <f>H23</f>
        <v>100</v>
      </c>
      <c r="V23" s="773" t="s">
        <v>17</v>
      </c>
      <c r="W23" s="774">
        <f>J23</f>
        <v>100</v>
      </c>
      <c r="X23" s="1814"/>
      <c r="Y23" s="3180"/>
      <c r="Z23" s="1815">
        <f>Q23</f>
        <v>111</v>
      </c>
      <c r="AA23" s="1812">
        <f t="shared" si="3"/>
        <v>1</v>
      </c>
      <c r="AB23" s="1812">
        <f t="shared" si="4"/>
        <v>1</v>
      </c>
      <c r="AC23" s="1812">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0"/>
      <c r="Q24" s="1811">
        <f t="shared" ref="Q24:Q34" si="11">B24</f>
        <v>111</v>
      </c>
      <c r="R24" s="773" t="s">
        <v>17</v>
      </c>
      <c r="S24" s="774">
        <f>F24</f>
        <v>100</v>
      </c>
      <c r="T24" s="773" t="s">
        <v>17</v>
      </c>
      <c r="U24" s="774">
        <f>H24</f>
        <v>100</v>
      </c>
      <c r="V24" s="773" t="s">
        <v>17</v>
      </c>
      <c r="W24" s="774">
        <f>J24</f>
        <v>100</v>
      </c>
      <c r="X24" s="1814"/>
      <c r="Y24" s="3180"/>
      <c r="Z24" s="1815">
        <f>Q24</f>
        <v>111</v>
      </c>
      <c r="AA24" s="1812">
        <f t="shared" si="3"/>
        <v>1</v>
      </c>
      <c r="AB24" s="1812">
        <f t="shared" si="4"/>
        <v>1</v>
      </c>
      <c r="AC24" s="1812">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80"/>
      <c r="Q25" s="1796">
        <f t="shared" si="11"/>
        <v>111</v>
      </c>
      <c r="R25" s="769" t="s">
        <v>17</v>
      </c>
      <c r="S25" s="770">
        <f>F25</f>
        <v>100</v>
      </c>
      <c r="T25" s="769" t="s">
        <v>17</v>
      </c>
      <c r="U25" s="770">
        <f>H25</f>
        <v>100</v>
      </c>
      <c r="V25" s="769" t="s">
        <v>17</v>
      </c>
      <c r="W25" s="770">
        <f>J25</f>
        <v>100</v>
      </c>
      <c r="X25" s="771"/>
      <c r="Y25" s="3180"/>
      <c r="Z25" s="55">
        <f>Q25</f>
        <v>111</v>
      </c>
      <c r="AA25" s="1812">
        <f>D25/F25</f>
        <v>1</v>
      </c>
      <c r="AB25" s="1812">
        <f>D25/H25</f>
        <v>1</v>
      </c>
      <c r="AC25" s="1812">
        <f>D25/J25</f>
        <v>1</v>
      </c>
    </row>
    <row r="26" spans="1:29" ht="15">
      <c r="A26" s="465" t="s">
        <v>2545</v>
      </c>
      <c r="B26" s="71" t="s">
        <v>2696</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181" t="s">
        <v>2547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2" t="s">
        <v>2547</v>
      </c>
      <c r="Z26" s="1815" t="str">
        <f t="shared" ref="Z26:Z34" si="15">Q26</f>
        <v>公共部分装修</v>
      </c>
      <c r="AA26" s="1812">
        <f t="shared" si="3"/>
        <v>1</v>
      </c>
      <c r="AB26" s="1812">
        <f t="shared" si="4"/>
        <v>1</v>
      </c>
      <c r="AC26" s="1812">
        <f t="shared" si="5"/>
        <v>1</v>
      </c>
    </row>
    <row r="27" spans="1:29" s="470" customFormat="1" ht="15">
      <c r="A27" s="467"/>
      <c r="B27" s="421" t="s">
        <v>2697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2"/>
      <c r="Q27" s="775" t="str">
        <f t="shared" si="11"/>
        <v>成新率</v>
      </c>
      <c r="R27" s="776" t="s">
        <v>17</v>
      </c>
      <c r="S27" s="777" t="e">
        <f t="shared" si="12"/>
        <v>#N/A</v>
      </c>
      <c r="T27" s="776" t="s">
        <v>17</v>
      </c>
      <c r="U27" s="777" t="e">
        <f t="shared" si="13"/>
        <v>#N/A</v>
      </c>
      <c r="V27" s="776" t="s">
        <v>17</v>
      </c>
      <c r="W27" s="777" t="e">
        <f t="shared" si="14"/>
        <v>#N/A</v>
      </c>
      <c r="X27" s="778"/>
      <c r="Y27" s="3182"/>
      <c r="Z27" s="779" t="str">
        <f t="shared" si="15"/>
        <v>成新率</v>
      </c>
      <c r="AA27" s="1812" t="e">
        <f t="shared" si="3"/>
        <v>#N/A</v>
      </c>
      <c r="AB27" s="1812" t="e">
        <f t="shared" si="4"/>
        <v>#N/A</v>
      </c>
      <c r="AC27" s="1812" t="e">
        <f t="shared" si="5"/>
        <v>#N/A</v>
      </c>
    </row>
    <row r="28" spans="1:29" ht="15">
      <c r="A28" s="471"/>
      <c r="B28" s="421" t="s">
        <v>2698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2"/>
      <c r="Q28" s="1811" t="str">
        <f t="shared" si="11"/>
        <v>物业等级</v>
      </c>
      <c r="R28" s="773" t="s">
        <v>17</v>
      </c>
      <c r="S28" s="774">
        <f t="shared" si="12"/>
        <v>100</v>
      </c>
      <c r="T28" s="773" t="s">
        <v>17</v>
      </c>
      <c r="U28" s="774">
        <f t="shared" si="13"/>
        <v>100</v>
      </c>
      <c r="V28" s="773" t="s">
        <v>17</v>
      </c>
      <c r="W28" s="774">
        <f t="shared" si="14"/>
        <v>100</v>
      </c>
      <c r="X28" s="1814"/>
      <c r="Y28" s="3182"/>
      <c r="Z28" s="1815" t="str">
        <f t="shared" si="15"/>
        <v>物业等级</v>
      </c>
      <c r="AA28" s="1812">
        <f t="shared" si="3"/>
        <v>1</v>
      </c>
      <c r="AB28" s="1812">
        <f t="shared" si="4"/>
        <v>1</v>
      </c>
      <c r="AC28" s="1812">
        <f t="shared" si="5"/>
        <v>1</v>
      </c>
    </row>
    <row r="29" spans="1:29" ht="15">
      <c r="A29" s="471"/>
      <c r="B29" s="421" t="s">
        <v>2719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2"/>
      <c r="Q29" s="1811" t="str">
        <f t="shared" si="11"/>
        <v>有无电梯</v>
      </c>
      <c r="R29" s="773" t="s">
        <v>17</v>
      </c>
      <c r="S29" s="774">
        <f t="shared" si="12"/>
        <v>100</v>
      </c>
      <c r="T29" s="773" t="s">
        <v>17</v>
      </c>
      <c r="U29" s="774">
        <f t="shared" si="13"/>
        <v>100</v>
      </c>
      <c r="V29" s="773" t="s">
        <v>17</v>
      </c>
      <c r="W29" s="774">
        <f t="shared" si="14"/>
        <v>100</v>
      </c>
      <c r="X29" s="1814"/>
      <c r="Y29" s="3182"/>
      <c r="Z29" s="1815" t="str">
        <f t="shared" si="15"/>
        <v>有无电梯</v>
      </c>
      <c r="AA29" s="1812">
        <f t="shared" si="3"/>
        <v>1</v>
      </c>
      <c r="AB29" s="1812">
        <f t="shared" si="4"/>
        <v>1</v>
      </c>
      <c r="AC29" s="1812">
        <f t="shared" si="5"/>
        <v>1</v>
      </c>
    </row>
    <row r="30" spans="1:29" ht="15">
      <c r="A30" s="471"/>
      <c r="B30" s="421" t="s">
        <v>2720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2"/>
      <c r="Q30" s="1811" t="str">
        <f t="shared" si="11"/>
        <v>建筑面积</v>
      </c>
      <c r="R30" s="773" t="s">
        <v>17</v>
      </c>
      <c r="S30" s="774" t="e">
        <f t="shared" si="12"/>
        <v>#N/A</v>
      </c>
      <c r="T30" s="773" t="s">
        <v>17</v>
      </c>
      <c r="U30" s="774" t="e">
        <f t="shared" si="13"/>
        <v>#N/A</v>
      </c>
      <c r="V30" s="773" t="s">
        <v>17</v>
      </c>
      <c r="W30" s="774" t="e">
        <f t="shared" si="14"/>
        <v>#N/A</v>
      </c>
      <c r="X30" s="1814"/>
      <c r="Y30" s="3182"/>
      <c r="Z30" s="1815" t="str">
        <f t="shared" si="15"/>
        <v>建筑面积</v>
      </c>
      <c r="AA30" s="1812" t="e">
        <f t="shared" si="3"/>
        <v>#N/A</v>
      </c>
      <c r="AB30" s="1812" t="e">
        <f t="shared" si="4"/>
        <v>#N/A</v>
      </c>
      <c r="AC30" s="1812" t="e">
        <f t="shared" si="5"/>
        <v>#N/A</v>
      </c>
    </row>
    <row r="31" spans="1:29" s="116" customFormat="1" ht="15">
      <c r="A31" s="472"/>
      <c r="B31" s="421" t="s">
        <v>2721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2"/>
      <c r="Q31" s="1796" t="str">
        <f t="shared" si="11"/>
        <v>是否封闭</v>
      </c>
      <c r="R31" s="769" t="s">
        <v>17</v>
      </c>
      <c r="S31" s="770">
        <f t="shared" si="12"/>
        <v>100</v>
      </c>
      <c r="T31" s="769" t="s">
        <v>17</v>
      </c>
      <c r="U31" s="770">
        <f t="shared" si="13"/>
        <v>100</v>
      </c>
      <c r="V31" s="769" t="s">
        <v>17</v>
      </c>
      <c r="W31" s="770">
        <f t="shared" si="14"/>
        <v>100</v>
      </c>
      <c r="X31" s="771"/>
      <c r="Y31" s="3182"/>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2" t="s">
        <v>2547</v>
      </c>
      <c r="Q32" s="1811">
        <f t="shared" si="11"/>
        <v>111</v>
      </c>
      <c r="R32" s="773" t="s">
        <v>17</v>
      </c>
      <c r="S32" s="774">
        <f t="shared" si="12"/>
        <v>100</v>
      </c>
      <c r="T32" s="773" t="s">
        <v>17</v>
      </c>
      <c r="U32" s="774">
        <f t="shared" si="13"/>
        <v>100</v>
      </c>
      <c r="V32" s="773" t="s">
        <v>17</v>
      </c>
      <c r="W32" s="774">
        <f t="shared" si="14"/>
        <v>100</v>
      </c>
      <c r="X32" s="1814"/>
      <c r="Y32" s="3182" t="s">
        <v>2547</v>
      </c>
      <c r="Z32" s="1815">
        <f t="shared" si="15"/>
        <v>111</v>
      </c>
      <c r="AA32" s="1812">
        <f t="shared" si="3"/>
        <v>1</v>
      </c>
      <c r="AB32" s="1812">
        <f t="shared" si="4"/>
        <v>1</v>
      </c>
      <c r="AC32" s="1812">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2"/>
      <c r="Q33" s="1811">
        <f t="shared" si="11"/>
        <v>111</v>
      </c>
      <c r="R33" s="773" t="s">
        <v>17</v>
      </c>
      <c r="S33" s="774">
        <f t="shared" si="12"/>
        <v>100</v>
      </c>
      <c r="T33" s="773" t="s">
        <v>17</v>
      </c>
      <c r="U33" s="774">
        <f t="shared" si="13"/>
        <v>100</v>
      </c>
      <c r="V33" s="773" t="s">
        <v>17</v>
      </c>
      <c r="W33" s="774">
        <f t="shared" si="14"/>
        <v>100</v>
      </c>
      <c r="X33" s="1814"/>
      <c r="Y33" s="3182"/>
      <c r="Z33" s="1815">
        <f t="shared" si="15"/>
        <v>111</v>
      </c>
      <c r="AA33" s="1812">
        <f t="shared" si="3"/>
        <v>1</v>
      </c>
      <c r="AB33" s="1812">
        <f t="shared" si="4"/>
        <v>1</v>
      </c>
      <c r="AC33" s="1812">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82"/>
      <c r="Q34" s="1811">
        <f t="shared" si="11"/>
        <v>111</v>
      </c>
      <c r="R34" s="773" t="s">
        <v>17</v>
      </c>
      <c r="S34" s="774">
        <f t="shared" si="12"/>
        <v>100</v>
      </c>
      <c r="T34" s="773" t="s">
        <v>17</v>
      </c>
      <c r="U34" s="774">
        <f t="shared" si="13"/>
        <v>100</v>
      </c>
      <c r="V34" s="773" t="s">
        <v>17</v>
      </c>
      <c r="W34" s="774">
        <f t="shared" si="14"/>
        <v>100</v>
      </c>
      <c r="X34" s="1814"/>
      <c r="Y34" s="3182"/>
      <c r="Z34" s="1815">
        <f t="shared" si="15"/>
        <v>111</v>
      </c>
      <c r="AA34" s="1812">
        <f t="shared" si="3"/>
        <v>1</v>
      </c>
      <c r="AB34" s="1812">
        <f t="shared" si="4"/>
        <v>1</v>
      </c>
      <c r="AC34" s="1812">
        <f t="shared" si="5"/>
        <v>1</v>
      </c>
    </row>
    <row r="35" spans="1:29" ht="15">
      <c r="A35" s="478" t="s">
        <v>2559</v>
      </c>
      <c r="B35" s="479"/>
      <c r="C35" s="1409" t="s">
        <v>1</v>
      </c>
      <c r="D35" s="1410"/>
      <c r="E35" s="1411"/>
      <c r="F35" s="1412"/>
      <c r="G35" s="1413"/>
      <c r="H35" s="1414"/>
      <c r="I35" s="1411"/>
      <c r="J35" s="1414"/>
      <c r="K35" s="782"/>
      <c r="L35" s="1145"/>
      <c r="M35" s="1146"/>
      <c r="N35" s="1133"/>
      <c r="O35" s="1146"/>
      <c r="P35" s="3164" t="str">
        <f>A35</f>
        <v>成交单价（元/平方米）</v>
      </c>
      <c r="Q35" s="3164"/>
      <c r="R35" s="3220">
        <f>E35</f>
        <v>0</v>
      </c>
      <c r="S35" s="3220"/>
      <c r="T35" s="3220">
        <f>G35</f>
        <v>0</v>
      </c>
      <c r="U35" s="3220"/>
      <c r="V35" s="3220">
        <f>I35</f>
        <v>0</v>
      </c>
      <c r="W35" s="3220"/>
      <c r="X35" s="758"/>
      <c r="Y35" s="780"/>
      <c r="Z35" s="758"/>
      <c r="AA35" s="758"/>
      <c r="AB35" s="758"/>
      <c r="AC35" s="758"/>
    </row>
    <row r="36" spans="1:29" ht="15.75" thickBot="1">
      <c r="A36" s="485" t="s">
        <v>2651</v>
      </c>
      <c r="B36" s="486"/>
      <c r="C36" s="1415" t="e">
        <f>R37</f>
        <v>#DIV/0!</v>
      </c>
      <c r="D36" s="1416"/>
      <c r="E36" s="1417" t="e">
        <f>R36</f>
        <v>#DIV/0!</v>
      </c>
      <c r="F36" s="1417"/>
      <c r="G36" s="1415" t="e">
        <f>T36</f>
        <v>#DIV/0!</v>
      </c>
      <c r="H36" s="1416"/>
      <c r="I36" s="1417" t="e">
        <f>V36</f>
        <v>#DIV/0!</v>
      </c>
      <c r="J36" s="1416"/>
      <c r="K36" s="783"/>
      <c r="L36" s="1145"/>
      <c r="M36" s="1146"/>
      <c r="N36" s="1133"/>
      <c r="O36" s="1146"/>
      <c r="P36" s="3164" t="str">
        <f>A36</f>
        <v>比较价值（元/平方米）</v>
      </c>
      <c r="Q36" s="3164"/>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1" t="s">
        <v>2652</v>
      </c>
      <c r="B37" s="492"/>
      <c r="C37" s="1419" t="e">
        <f>R37</f>
        <v>#DIV/0!</v>
      </c>
      <c r="D37" s="1419"/>
      <c r="E37" s="1419"/>
      <c r="F37" s="1419"/>
      <c r="G37" s="1419"/>
      <c r="H37" s="1419"/>
      <c r="I37" s="1419"/>
      <c r="J37" s="1419"/>
      <c r="K37" s="784"/>
      <c r="L37" s="1145"/>
      <c r="M37" s="1146"/>
      <c r="N37" s="1146"/>
      <c r="O37" s="1146"/>
      <c r="P37" s="3184" t="str">
        <f>A37</f>
        <v>估价对象XX用房的比较价值（楼面单价，元/平方米）</v>
      </c>
      <c r="Q37" s="3185"/>
      <c r="R37" s="3219" t="e">
        <f>IF(F1="售价",ROUND(AVERAGE(R36:V36),0),ROUND(AVERAGE(R36:V36),1))</f>
        <v>#DIV/0!</v>
      </c>
      <c r="S37" s="3219"/>
      <c r="T37" s="3219"/>
      <c r="U37" s="3219"/>
      <c r="V37" s="3219"/>
      <c r="W37" s="321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2656</v>
      </c>
      <c r="B45" s="758"/>
      <c r="C45" s="763"/>
      <c r="D45" s="763"/>
      <c r="E45" s="763"/>
      <c r="F45" s="764"/>
      <c r="G45" s="764"/>
      <c r="H45" s="763"/>
      <c r="I45" s="763"/>
      <c r="J45" s="763"/>
      <c r="K45" s="765"/>
      <c r="L45" s="766"/>
      <c r="M45" s="763"/>
      <c r="N45" s="763"/>
      <c r="O45" s="763"/>
      <c r="P45" s="502"/>
      <c r="Q45" s="503"/>
    </row>
    <row r="46" spans="1:29" s="507" customFormat="1" ht="15">
      <c r="A46" s="504" t="s">
        <v>2530</v>
      </c>
      <c r="B46" s="505"/>
      <c r="C46" s="1575" t="str">
        <f>YEAR(C7)&amp;"-"&amp;MONTH(C7)</f>
        <v>2017-9</v>
      </c>
      <c r="D46" s="1576">
        <f>EDATE(C46,-1)</f>
        <v>42948</v>
      </c>
      <c r="E46" s="1576">
        <f t="shared" ref="E46:O46" si="16">EDATE(D46,-1)</f>
        <v>42917</v>
      </c>
      <c r="F46" s="1576">
        <f t="shared" si="16"/>
        <v>42887</v>
      </c>
      <c r="G46" s="1576">
        <f t="shared" si="16"/>
        <v>42856</v>
      </c>
      <c r="H46" s="1576">
        <f t="shared" si="16"/>
        <v>42826</v>
      </c>
      <c r="I46" s="1576">
        <f t="shared" si="16"/>
        <v>42795</v>
      </c>
      <c r="J46" s="1576">
        <f t="shared" si="16"/>
        <v>42767</v>
      </c>
      <c r="K46" s="1576">
        <f t="shared" si="16"/>
        <v>42736</v>
      </c>
      <c r="L46" s="1576">
        <f t="shared" si="16"/>
        <v>42705</v>
      </c>
      <c r="M46" s="1576">
        <f t="shared" si="16"/>
        <v>42675</v>
      </c>
      <c r="N46" s="1576">
        <f t="shared" si="16"/>
        <v>42644</v>
      </c>
      <c r="O46" s="1576">
        <f t="shared" si="16"/>
        <v>42614</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2567</v>
      </c>
      <c r="B48" s="515"/>
      <c r="C48" s="516"/>
      <c r="D48" s="517"/>
      <c r="E48" s="517"/>
      <c r="F48" s="517"/>
      <c r="G48" s="517"/>
      <c r="H48" s="517"/>
      <c r="I48" s="517"/>
      <c r="J48" s="517"/>
      <c r="K48" s="517"/>
      <c r="L48" s="517"/>
      <c r="M48" s="518"/>
      <c r="N48" s="517"/>
      <c r="O48" s="519"/>
      <c r="P48" s="503"/>
      <c r="Q48" s="503"/>
    </row>
    <row r="49" spans="1:17" s="116" customFormat="1" ht="15">
      <c r="A49" s="520" t="s">
        <v>2532</v>
      </c>
      <c r="B49" s="509"/>
      <c r="C49" s="521" t="s">
        <v>2634</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2570</v>
      </c>
      <c r="B51" s="527" t="s">
        <v>2536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2539</v>
      </c>
      <c r="C53" s="538" t="s">
        <v>2571</v>
      </c>
      <c r="D53" s="538" t="s">
        <v>2572</v>
      </c>
      <c r="E53" s="538" t="s">
        <v>2573</v>
      </c>
      <c r="F53" s="538" t="s">
        <v>2574</v>
      </c>
      <c r="G53" s="538" t="s">
        <v>2575</v>
      </c>
      <c r="H53" s="538" t="s">
        <v>2576</v>
      </c>
      <c r="I53" s="538" t="s">
        <v>2577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2541</v>
      </c>
      <c r="B61" s="527" t="s">
        <v>2584</v>
      </c>
      <c r="C61" s="572" t="s">
        <v>2579</v>
      </c>
      <c r="D61" s="572" t="s">
        <v>2580</v>
      </c>
      <c r="E61" s="572" t="s">
        <v>2581</v>
      </c>
      <c r="F61" s="572" t="s">
        <v>2582</v>
      </c>
      <c r="G61" s="572" t="s">
        <v>2583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2722</v>
      </c>
      <c r="C63" s="577" t="s">
        <v>2579</v>
      </c>
      <c r="D63" s="577" t="s">
        <v>2580</v>
      </c>
      <c r="E63" s="577" t="s">
        <v>2581</v>
      </c>
      <c r="F63" s="577" t="s">
        <v>2582</v>
      </c>
      <c r="G63" s="577" t="s">
        <v>2583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2671</v>
      </c>
      <c r="C65" s="659" t="s">
        <v>2657</v>
      </c>
      <c r="D65" s="659" t="s">
        <v>2658</v>
      </c>
      <c r="E65" s="659" t="s">
        <v>2659</v>
      </c>
      <c r="F65" s="659" t="s">
        <v>2660</v>
      </c>
      <c r="G65" s="659" t="s">
        <v>2661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2591</v>
      </c>
      <c r="C67" s="577" t="s">
        <v>2579</v>
      </c>
      <c r="D67" s="577" t="s">
        <v>2580</v>
      </c>
      <c r="E67" s="577" t="s">
        <v>2581</v>
      </c>
      <c r="F67" s="577" t="s">
        <v>2582</v>
      </c>
      <c r="G67" s="577" t="s">
        <v>2583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2545</v>
      </c>
      <c r="B77" s="527" t="s">
        <v>2598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1618</v>
      </c>
      <c r="B1" s="1960"/>
      <c r="C1" s="1960"/>
      <c r="D1" s="1960"/>
      <c r="E1" s="1960"/>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2"/>
      <c r="B4" s="2964" t="s">
        <v>1627</v>
      </c>
      <c r="C4" s="2964"/>
      <c r="D4" s="2964"/>
      <c r="E4" s="1962"/>
    </row>
    <row r="5" spans="1:5" ht="16.5" thickTop="1">
      <c r="A5" s="1960"/>
      <c r="B5" s="2962" t="s">
        <v>1619</v>
      </c>
      <c r="C5" s="1963" t="s">
        <v>1620</v>
      </c>
      <c r="D5" s="1042">
        <f ca="1">结果表!H101</f>
        <v>51203</v>
      </c>
      <c r="E5" s="1960"/>
    </row>
    <row r="6" spans="1:5" ht="15.75">
      <c r="A6" s="1960"/>
      <c r="B6" s="2962"/>
      <c r="C6" s="1963" t="s">
        <v>1621</v>
      </c>
      <c r="D6" s="1042" t="str">
        <f ca="1">NUMBERSTRING(INT(D5*10000),2)&amp;"元整"</f>
        <v>伍亿壹仟贰佰零叁万元整</v>
      </c>
      <c r="E6" s="1960"/>
    </row>
    <row r="7" spans="1:5" ht="15.75">
      <c r="A7" s="1960"/>
      <c r="B7" s="2967"/>
      <c r="C7" s="1964" t="s">
        <v>1622</v>
      </c>
      <c r="D7" s="1043">
        <f ca="1">结果表!H102</f>
        <v>2301</v>
      </c>
      <c r="E7" s="1960"/>
    </row>
    <row r="8" spans="1:5" ht="15.75">
      <c r="A8" s="1960"/>
      <c r="B8" s="2968" t="str">
        <f>结果表!E103</f>
        <v>2.估价师知悉的法定优先受偿款</v>
      </c>
      <c r="C8" s="1965" t="s">
        <v>1623</v>
      </c>
      <c r="D8" s="1043">
        <f>结果表!H103</f>
        <v>0</v>
      </c>
      <c r="E8" s="1960"/>
    </row>
    <row r="9" spans="1:5" ht="15.75">
      <c r="A9" s="1960"/>
      <c r="B9" s="2970"/>
      <c r="C9" s="1963" t="s">
        <v>1621</v>
      </c>
      <c r="D9" s="1042" t="str">
        <f>NUMBERSTRING(INT(D8*10000),2)&amp;"元整"</f>
        <v>零元整</v>
      </c>
      <c r="E9" s="1960"/>
    </row>
    <row r="10" spans="1:5" ht="15">
      <c r="A10" s="1960"/>
      <c r="B10" s="1966" t="s">
        <v>1626</v>
      </c>
      <c r="C10" s="1967" t="s">
        <v>1624</v>
      </c>
      <c r="D10" s="1044">
        <f>结果表!H104</f>
        <v>0</v>
      </c>
      <c r="E10" s="1960"/>
    </row>
    <row r="11" spans="1:5" ht="15">
      <c r="A11" s="1960"/>
      <c r="B11" s="1966" t="s">
        <v>1628</v>
      </c>
      <c r="C11" s="1967" t="s">
        <v>1629</v>
      </c>
      <c r="D11" s="1044">
        <f>结果表!H105</f>
        <v>0</v>
      </c>
      <c r="E11" s="1960"/>
    </row>
    <row r="12" spans="1:5" ht="15">
      <c r="A12" s="1960"/>
      <c r="B12" s="1966" t="s">
        <v>1630</v>
      </c>
      <c r="C12" s="1967" t="s">
        <v>1629</v>
      </c>
      <c r="D12" s="1044">
        <f>结果表!H106</f>
        <v>0</v>
      </c>
      <c r="E12" s="1960"/>
    </row>
    <row r="13" spans="1:5" ht="15.75">
      <c r="A13" s="1960"/>
      <c r="B13" s="2961" t="str">
        <f>结果表!E107</f>
        <v>3.房地产抵押价值</v>
      </c>
      <c r="C13" s="1968" t="s">
        <v>1620</v>
      </c>
      <c r="D13" s="1045">
        <f ca="1">结果表!H107</f>
        <v>51203</v>
      </c>
      <c r="E13" s="1960"/>
    </row>
    <row r="14" spans="1:5" ht="15.75">
      <c r="A14" s="1960"/>
      <c r="B14" s="2962"/>
      <c r="C14" s="1963" t="s">
        <v>1621</v>
      </c>
      <c r="D14" s="1042" t="str">
        <f ca="1">NUMBERSTRING(INT(D13*10000),2)&amp;"元整"</f>
        <v>伍亿壹仟贰佰零叁万元整</v>
      </c>
      <c r="E14" s="1960"/>
    </row>
    <row r="15" spans="1:5" ht="15">
      <c r="A15" s="1960"/>
      <c r="B15" s="2967"/>
      <c r="C15" s="1964" t="s">
        <v>1631</v>
      </c>
      <c r="D15" s="1054">
        <f ca="1">结果表!H108</f>
        <v>2301</v>
      </c>
      <c r="E15" s="1960"/>
    </row>
    <row r="16" spans="1:5" ht="15">
      <c r="A16" s="1960"/>
      <c r="B16" s="2968" t="str">
        <f>结果表!E109</f>
        <v>——</v>
      </c>
      <c r="C16" s="1968" t="s">
        <v>1632</v>
      </c>
      <c r="D16" s="1969" t="str">
        <f>结果表!H109</f>
        <v>——</v>
      </c>
      <c r="E16" s="1960"/>
    </row>
    <row r="17" spans="1:5" ht="15.75">
      <c r="A17" s="1960"/>
      <c r="B17" s="2969"/>
      <c r="C17" s="1963" t="s">
        <v>1633</v>
      </c>
      <c r="D17" s="1042" t="e">
        <f>NUMBERSTRING(INT(D16*10000),2)&amp;"元整"</f>
        <v>#VALUE!</v>
      </c>
      <c r="E17" s="1960"/>
    </row>
    <row r="18" spans="1:5" ht="15">
      <c r="A18" s="1960"/>
      <c r="B18" s="2970"/>
      <c r="C18" s="1964" t="s">
        <v>1622</v>
      </c>
      <c r="D18" s="1054" t="str">
        <f>结果表!H110</f>
        <v>——</v>
      </c>
      <c r="E18" s="1960"/>
    </row>
    <row r="19" spans="1:5" ht="15.75">
      <c r="A19" s="1960"/>
      <c r="B19" s="2961" t="str">
        <f>结果表!E111</f>
        <v>——</v>
      </c>
      <c r="C19" s="1968" t="s">
        <v>1620</v>
      </c>
      <c r="D19" s="1043" t="str">
        <f>结果表!H111</f>
        <v>——</v>
      </c>
      <c r="E19" s="1960"/>
    </row>
    <row r="20" spans="1:5" ht="15.75">
      <c r="A20" s="1960"/>
      <c r="B20" s="2962"/>
      <c r="C20" s="1963" t="s">
        <v>1633</v>
      </c>
      <c r="D20" s="1042" t="e">
        <f>NUMBERSTRING(INT(D19*10000),2)&amp;"元整"</f>
        <v>#VALUE!</v>
      </c>
      <c r="E20" s="1960"/>
    </row>
    <row r="21" spans="1:5" ht="15.75" thickBot="1">
      <c r="A21" s="1960"/>
      <c r="B21" s="2963"/>
      <c r="C21" s="1970" t="s">
        <v>1631</v>
      </c>
      <c r="D21" s="1055" t="str">
        <f>结果表!H112</f>
        <v>——</v>
      </c>
      <c r="E21" s="1960"/>
    </row>
    <row r="22" spans="1:5" ht="15" thickTop="1">
      <c r="A22" s="1960"/>
      <c r="B22" s="1971" t="s">
        <v>1634</v>
      </c>
      <c r="C22" s="1960"/>
      <c r="D22" s="1960"/>
      <c r="E22" s="1960"/>
    </row>
    <row r="23" spans="1:5">
      <c r="A23" s="1960"/>
      <c r="B23" s="1960"/>
      <c r="C23" s="1960"/>
      <c r="D23" s="1960"/>
      <c r="E23" s="1960"/>
    </row>
    <row r="24" spans="1:5" ht="18.75">
      <c r="A24" s="1972"/>
      <c r="B24" s="1973" t="s">
        <v>1625</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2726</v>
      </c>
      <c r="B1" s="394"/>
      <c r="C1" s="395" t="s">
        <v>2776</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ROUND(IF(D3="",B2*10000/'数据-汇总表'!E3,B2*10000/D3),0)</f>
        <v>#DIV/0!</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165" t="s">
        <v>2628</v>
      </c>
      <c r="D4" s="3166"/>
      <c r="E4" s="3167" t="s">
        <v>2629</v>
      </c>
      <c r="F4" s="3168"/>
      <c r="G4" s="3165" t="s">
        <v>2630</v>
      </c>
      <c r="H4" s="3166"/>
      <c r="I4" s="3165" t="s">
        <v>2631</v>
      </c>
      <c r="J4" s="3166"/>
      <c r="K4" s="609" t="s">
        <v>2632</v>
      </c>
      <c r="L4" s="1132"/>
      <c r="M4" s="1133"/>
      <c r="N4" s="1133"/>
      <c r="O4" s="1133"/>
      <c r="P4" s="3169" t="s">
        <v>2633</v>
      </c>
      <c r="Q4" s="3170"/>
      <c r="R4" s="3152" t="s">
        <v>2629</v>
      </c>
      <c r="S4" s="3153"/>
      <c r="T4" s="3152" t="s">
        <v>2630</v>
      </c>
      <c r="U4" s="3153"/>
      <c r="V4" s="3177" t="s">
        <v>2631</v>
      </c>
      <c r="W4" s="3177"/>
      <c r="X4" s="1814"/>
      <c r="Y4" s="3152" t="s">
        <v>2633</v>
      </c>
      <c r="Z4" s="3153"/>
      <c r="AA4" s="3147" t="s">
        <v>2629</v>
      </c>
      <c r="AB4" s="3148" t="s">
        <v>2630</v>
      </c>
      <c r="AC4" s="3147" t="s">
        <v>2631</v>
      </c>
    </row>
    <row r="5" spans="1:29" ht="15">
      <c r="A5" s="403"/>
      <c r="B5" s="404"/>
      <c r="C5" s="3218" t="s">
        <v>2524</v>
      </c>
      <c r="D5" s="3159"/>
      <c r="E5" s="3217" t="s">
        <v>2525</v>
      </c>
      <c r="F5" s="3157"/>
      <c r="G5" s="3218" t="s">
        <v>2526</v>
      </c>
      <c r="H5" s="3159"/>
      <c r="I5" s="3218" t="s">
        <v>2527</v>
      </c>
      <c r="J5" s="3159"/>
      <c r="K5" s="609"/>
      <c r="L5" s="1132"/>
      <c r="M5" s="1133"/>
      <c r="N5" s="1133"/>
      <c r="O5" s="1133"/>
      <c r="P5" s="3171"/>
      <c r="Q5" s="3172"/>
      <c r="R5" s="3154"/>
      <c r="S5" s="3155"/>
      <c r="T5" s="3154"/>
      <c r="U5" s="3155"/>
      <c r="V5" s="3177"/>
      <c r="W5" s="3177"/>
      <c r="X5" s="1814"/>
      <c r="Y5" s="3154"/>
      <c r="Z5" s="3155"/>
      <c r="AA5" s="3148"/>
      <c r="AB5" s="3148"/>
      <c r="AC5" s="3148"/>
    </row>
    <row r="6" spans="1:29" ht="15.75" thickBot="1">
      <c r="A6" s="405"/>
      <c r="B6" s="406"/>
      <c r="C6" s="3242" t="s">
        <v>2777</v>
      </c>
      <c r="D6" s="3243"/>
      <c r="E6" s="3244" t="s">
        <v>2777</v>
      </c>
      <c r="F6" s="3245"/>
      <c r="G6" s="3242" t="s">
        <v>2777</v>
      </c>
      <c r="H6" s="3243"/>
      <c r="I6" s="3242" t="s">
        <v>2777</v>
      </c>
      <c r="J6" s="3243"/>
      <c r="K6" s="609" t="s">
        <v>2529</v>
      </c>
      <c r="L6" s="1132"/>
      <c r="M6" s="1133"/>
      <c r="N6" s="1133"/>
      <c r="O6" s="1133"/>
      <c r="P6" s="3173"/>
      <c r="Q6" s="3174"/>
      <c r="R6" s="3154"/>
      <c r="S6" s="3155"/>
      <c r="T6" s="3175"/>
      <c r="U6" s="3176"/>
      <c r="V6" s="3177"/>
      <c r="W6" s="3177"/>
      <c r="X6" s="1814"/>
      <c r="Y6" s="3175"/>
      <c r="Z6" s="3176"/>
      <c r="AA6" s="3149"/>
      <c r="AB6" s="3149"/>
      <c r="AC6" s="3149"/>
    </row>
    <row r="7" spans="1:29" s="116" customFormat="1" ht="15.75" thickBot="1">
      <c r="A7" s="407" t="s">
        <v>2530</v>
      </c>
      <c r="B7" s="408"/>
      <c r="C7" s="409">
        <f>'数据-取费表'!B2</f>
        <v>42990</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150" t="s">
        <v>2531</v>
      </c>
      <c r="Q7" s="3178"/>
      <c r="R7" s="769" t="s">
        <v>17</v>
      </c>
      <c r="S7" s="770">
        <f t="shared" ref="S7:S15" si="0">F7</f>
        <v>0</v>
      </c>
      <c r="T7" s="769" t="s">
        <v>17</v>
      </c>
      <c r="U7" s="770">
        <f t="shared" ref="U7:U15" si="1">H7</f>
        <v>0</v>
      </c>
      <c r="V7" s="769" t="s">
        <v>17</v>
      </c>
      <c r="W7" s="770">
        <f t="shared" ref="W7:W15" si="2">J7</f>
        <v>0</v>
      </c>
      <c r="X7" s="771"/>
      <c r="Y7" s="3150" t="s">
        <v>2531</v>
      </c>
      <c r="Z7" s="3151"/>
      <c r="AA7" s="772" t="e">
        <f>D7/F7</f>
        <v>#DIV/0!</v>
      </c>
      <c r="AB7" s="772" t="e">
        <f>D7/H7</f>
        <v>#DIV/0!</v>
      </c>
      <c r="AC7" s="772" t="e">
        <f>D7/J7</f>
        <v>#DIV/0!</v>
      </c>
    </row>
    <row r="8" spans="1:29" s="116" customFormat="1" ht="15.75" thickBot="1">
      <c r="A8" s="407" t="s">
        <v>2532</v>
      </c>
      <c r="B8" s="408"/>
      <c r="C8" s="413" t="s">
        <v>2533</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0" t="s">
        <v>2534</v>
      </c>
      <c r="Q8" s="3151"/>
      <c r="R8" s="769" t="s">
        <v>17</v>
      </c>
      <c r="S8" s="770">
        <f t="shared" si="0"/>
        <v>0</v>
      </c>
      <c r="T8" s="769" t="s">
        <v>17</v>
      </c>
      <c r="U8" s="770">
        <f t="shared" si="1"/>
        <v>0</v>
      </c>
      <c r="V8" s="769" t="s">
        <v>17</v>
      </c>
      <c r="W8" s="770">
        <f t="shared" si="2"/>
        <v>0</v>
      </c>
      <c r="X8" s="771"/>
      <c r="Y8" s="3150" t="s">
        <v>2534</v>
      </c>
      <c r="Z8" s="3151"/>
      <c r="AA8" s="772" t="e">
        <f t="shared" ref="AA8:AA40" si="3">D8/F8</f>
        <v>#DIV/0!</v>
      </c>
      <c r="AB8" s="772" t="e">
        <f t="shared" ref="AB8:AB40" si="4">D8/H8</f>
        <v>#DIV/0!</v>
      </c>
      <c r="AC8" s="772" t="e">
        <f t="shared" ref="AC8:AC40" si="5">D8/J8</f>
        <v>#DIV/0!</v>
      </c>
    </row>
    <row r="9" spans="1:29" s="116" customFormat="1">
      <c r="A9" s="414" t="s">
        <v>2535</v>
      </c>
      <c r="B9" s="71" t="s">
        <v>2536</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164" t="s">
        <v>2537</v>
      </c>
      <c r="Q9" s="1796" t="str">
        <f t="shared" ref="Q9:Q15" si="6">B9</f>
        <v>用途</v>
      </c>
      <c r="R9" s="769" t="s">
        <v>17</v>
      </c>
      <c r="S9" s="770">
        <f t="shared" si="0"/>
        <v>100</v>
      </c>
      <c r="T9" s="769" t="s">
        <v>17</v>
      </c>
      <c r="U9" s="770">
        <f t="shared" si="1"/>
        <v>100</v>
      </c>
      <c r="V9" s="769" t="s">
        <v>17</v>
      </c>
      <c r="W9" s="770">
        <f t="shared" si="2"/>
        <v>100</v>
      </c>
      <c r="X9" s="771"/>
      <c r="Y9" s="3025" t="s">
        <v>2538</v>
      </c>
      <c r="Z9" s="55" t="str">
        <f t="shared" ref="Z9:Z15" si="7">Q9</f>
        <v>用途</v>
      </c>
      <c r="AA9" s="772">
        <f t="shared" si="3"/>
        <v>1</v>
      </c>
      <c r="AB9" s="772">
        <f t="shared" si="4"/>
        <v>1</v>
      </c>
      <c r="AC9" s="772">
        <f t="shared" si="5"/>
        <v>1</v>
      </c>
    </row>
    <row r="10" spans="1:29" s="426" customFormat="1" ht="27">
      <c r="A10" s="420"/>
      <c r="B10" s="421" t="s">
        <v>2539</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164"/>
      <c r="Q10" s="1796" t="str">
        <f t="shared" si="6"/>
        <v>土地使用年限（年）</v>
      </c>
      <c r="R10" s="769" t="s">
        <v>17</v>
      </c>
      <c r="S10" s="770">
        <f t="shared" si="0"/>
        <v>101</v>
      </c>
      <c r="T10" s="769" t="s">
        <v>17</v>
      </c>
      <c r="U10" s="770">
        <f t="shared" si="1"/>
        <v>101</v>
      </c>
      <c r="V10" s="769" t="s">
        <v>17</v>
      </c>
      <c r="W10" s="770">
        <f t="shared" si="2"/>
        <v>101</v>
      </c>
      <c r="X10" s="771"/>
      <c r="Y10" s="3025"/>
      <c r="Z10" s="55" t="str">
        <f t="shared" si="7"/>
        <v>土地使用年限（年）</v>
      </c>
      <c r="AA10" s="772">
        <f t="shared" si="3"/>
        <v>0.99009900990099009</v>
      </c>
      <c r="AB10" s="772">
        <f t="shared" si="4"/>
        <v>0.99009900990099009</v>
      </c>
      <c r="AC10" s="772">
        <f t="shared" si="5"/>
        <v>0.99009900990099009</v>
      </c>
    </row>
    <row r="11" spans="1:29" ht="15">
      <c r="A11" s="427"/>
      <c r="B11" s="421" t="s">
        <v>2540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4"/>
      <c r="Q11" s="1796"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4"/>
      <c r="Q12" s="1796">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4"/>
      <c r="Q13" s="1796">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4"/>
      <c r="Q14" s="1796">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57">
      <c r="A15" s="439" t="s">
        <v>2541</v>
      </c>
      <c r="B15" s="628" t="s">
        <v>2778</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9" t="s">
        <v>2542</v>
      </c>
      <c r="Q15" s="1811" t="str">
        <f t="shared" si="6"/>
        <v>产业集聚程度</v>
      </c>
      <c r="R15" s="773" t="s">
        <v>17</v>
      </c>
      <c r="S15" s="774">
        <f t="shared" si="0"/>
        <v>100</v>
      </c>
      <c r="T15" s="773" t="s">
        <v>17</v>
      </c>
      <c r="U15" s="774">
        <f t="shared" si="1"/>
        <v>100</v>
      </c>
      <c r="V15" s="773" t="s">
        <v>17</v>
      </c>
      <c r="W15" s="774">
        <f t="shared" si="2"/>
        <v>100</v>
      </c>
      <c r="X15" s="1814"/>
      <c r="Y15" s="3179" t="s">
        <v>2542</v>
      </c>
      <c r="Z15" s="1815" t="str">
        <f t="shared" si="7"/>
        <v>产业集聚程度</v>
      </c>
      <c r="AA15" s="1812">
        <f t="shared" si="3"/>
        <v>1</v>
      </c>
      <c r="AB15" s="1812">
        <f t="shared" si="4"/>
        <v>1</v>
      </c>
      <c r="AC15" s="1812">
        <f t="shared" si="5"/>
        <v>1</v>
      </c>
    </row>
    <row r="16" spans="1:29" ht="15">
      <c r="A16" s="427"/>
      <c r="B16" s="629"/>
      <c r="C16" s="446"/>
      <c r="D16" s="447"/>
      <c r="E16" s="2611"/>
      <c r="F16" s="447"/>
      <c r="G16" s="2611"/>
      <c r="H16" s="449"/>
      <c r="I16" s="2611"/>
      <c r="J16" s="447"/>
      <c r="K16" s="671"/>
      <c r="L16" s="1142"/>
      <c r="M16" s="1133"/>
      <c r="N16" s="1133"/>
      <c r="O16" s="1141"/>
      <c r="P16" s="3180"/>
      <c r="Q16" s="1811"/>
      <c r="R16" s="773"/>
      <c r="S16" s="774"/>
      <c r="T16" s="773"/>
      <c r="U16" s="774"/>
      <c r="V16" s="773"/>
      <c r="W16" s="774"/>
      <c r="X16" s="1814"/>
      <c r="Y16" s="3180"/>
      <c r="Z16" s="1815"/>
      <c r="AA16" s="1812">
        <v>1</v>
      </c>
      <c r="AB16" s="1812">
        <v>1</v>
      </c>
      <c r="AC16" s="1812">
        <v>1</v>
      </c>
    </row>
    <row r="17" spans="1:29" ht="85.5">
      <c r="A17" s="427"/>
      <c r="B17" s="630" t="s">
        <v>2691</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0"/>
      <c r="Q17" s="1811" t="str">
        <f>B17</f>
        <v>交通便捷度</v>
      </c>
      <c r="R17" s="773" t="s">
        <v>17</v>
      </c>
      <c r="S17" s="774">
        <f>F17</f>
        <v>100</v>
      </c>
      <c r="T17" s="773" t="s">
        <v>17</v>
      </c>
      <c r="U17" s="774">
        <f>H17</f>
        <v>100</v>
      </c>
      <c r="V17" s="773" t="s">
        <v>17</v>
      </c>
      <c r="W17" s="774">
        <f>J17</f>
        <v>100</v>
      </c>
      <c r="X17" s="1814"/>
      <c r="Y17" s="3180"/>
      <c r="Z17" s="1815" t="str">
        <f>Q17</f>
        <v>交通便捷度</v>
      </c>
      <c r="AA17" s="1812">
        <f t="shared" si="3"/>
        <v>1</v>
      </c>
      <c r="AB17" s="1812">
        <f t="shared" si="4"/>
        <v>1</v>
      </c>
      <c r="AC17" s="1812">
        <f t="shared" si="5"/>
        <v>1</v>
      </c>
    </row>
    <row r="18" spans="1:29" ht="15">
      <c r="A18" s="427"/>
      <c r="B18" s="631"/>
      <c r="C18" s="446"/>
      <c r="D18" s="447"/>
      <c r="E18" s="2605"/>
      <c r="F18" s="447"/>
      <c r="G18" s="2605"/>
      <c r="H18" s="447"/>
      <c r="I18" s="2604"/>
      <c r="J18" s="447"/>
      <c r="K18" s="671"/>
      <c r="L18" s="1142"/>
      <c r="M18" s="1133"/>
      <c r="N18" s="1133"/>
      <c r="O18" s="1141"/>
      <c r="P18" s="3180"/>
      <c r="Q18" s="1811"/>
      <c r="R18" s="773"/>
      <c r="S18" s="774"/>
      <c r="T18" s="773"/>
      <c r="U18" s="774"/>
      <c r="V18" s="773"/>
      <c r="W18" s="774"/>
      <c r="X18" s="1814"/>
      <c r="Y18" s="3180"/>
      <c r="Z18" s="1815"/>
      <c r="AA18" s="1812">
        <v>1</v>
      </c>
      <c r="AB18" s="1812">
        <v>1</v>
      </c>
      <c r="AC18" s="1812">
        <v>1</v>
      </c>
    </row>
    <row r="19" spans="1:29" ht="15">
      <c r="A19" s="427"/>
      <c r="B19" s="630" t="s">
        <v>2729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0"/>
      <c r="Q19" s="1811" t="str">
        <f t="shared" ref="Q19:Q33" si="8">B19</f>
        <v>区域土地利用方向</v>
      </c>
      <c r="R19" s="773" t="s">
        <v>17</v>
      </c>
      <c r="S19" s="774">
        <f>F19</f>
        <v>100</v>
      </c>
      <c r="T19" s="773" t="s">
        <v>17</v>
      </c>
      <c r="U19" s="774">
        <f>H19</f>
        <v>100</v>
      </c>
      <c r="V19" s="773" t="s">
        <v>17</v>
      </c>
      <c r="W19" s="774">
        <f>J19</f>
        <v>100</v>
      </c>
      <c r="X19" s="1814"/>
      <c r="Y19" s="3180"/>
      <c r="Z19" s="1815" t="str">
        <f>Q19</f>
        <v>区域土地利用方向</v>
      </c>
      <c r="AA19" s="1812">
        <f t="shared" si="3"/>
        <v>1</v>
      </c>
      <c r="AB19" s="1812">
        <f t="shared" si="4"/>
        <v>1</v>
      </c>
      <c r="AC19" s="1812">
        <f t="shared" si="5"/>
        <v>1</v>
      </c>
    </row>
    <row r="20" spans="1:29" ht="15">
      <c r="A20" s="403"/>
      <c r="B20" s="631"/>
      <c r="C20" s="446"/>
      <c r="D20" s="447"/>
      <c r="E20" s="2605"/>
      <c r="F20" s="447"/>
      <c r="G20" s="2605"/>
      <c r="H20" s="447"/>
      <c r="I20" s="2605"/>
      <c r="J20" s="447"/>
      <c r="K20" s="811"/>
      <c r="L20" s="1142"/>
      <c r="M20" s="1133"/>
      <c r="N20" s="1133"/>
      <c r="O20" s="1141"/>
      <c r="P20" s="3180"/>
      <c r="Q20" s="1811"/>
      <c r="R20" s="773"/>
      <c r="S20" s="774"/>
      <c r="T20" s="773"/>
      <c r="U20" s="774"/>
      <c r="V20" s="773"/>
      <c r="W20" s="774"/>
      <c r="X20" s="1814"/>
      <c r="Y20" s="3180"/>
      <c r="Z20" s="1815"/>
      <c r="AA20" s="1812"/>
      <c r="AB20" s="1812"/>
      <c r="AC20" s="1812"/>
    </row>
    <row r="21" spans="1:29" ht="71.25">
      <c r="A21" s="403"/>
      <c r="B21" s="630" t="s">
        <v>2779</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0"/>
      <c r="Q21" s="1811" t="str">
        <f t="shared" si="8"/>
        <v>环境状况</v>
      </c>
      <c r="R21" s="773" t="s">
        <v>17</v>
      </c>
      <c r="S21" s="774">
        <f>F21</f>
        <v>100</v>
      </c>
      <c r="T21" s="773" t="s">
        <v>17</v>
      </c>
      <c r="U21" s="774">
        <f>H21</f>
        <v>100</v>
      </c>
      <c r="V21" s="773" t="s">
        <v>17</v>
      </c>
      <c r="W21" s="774">
        <f>J21</f>
        <v>100</v>
      </c>
      <c r="X21" s="1814"/>
      <c r="Y21" s="3180"/>
      <c r="Z21" s="1815" t="str">
        <f>Q21</f>
        <v>环境状况</v>
      </c>
      <c r="AA21" s="1812">
        <f t="shared" si="3"/>
        <v>1</v>
      </c>
      <c r="AB21" s="1812">
        <f t="shared" si="4"/>
        <v>1</v>
      </c>
      <c r="AC21" s="1812">
        <f t="shared" si="5"/>
        <v>1</v>
      </c>
    </row>
    <row r="22" spans="1:29" ht="15">
      <c r="A22" s="403"/>
      <c r="B22" s="631"/>
      <c r="C22" s="446"/>
      <c r="D22" s="447"/>
      <c r="E22" s="2611"/>
      <c r="F22" s="447"/>
      <c r="G22" s="2611"/>
      <c r="H22" s="447"/>
      <c r="I22" s="446"/>
      <c r="J22" s="447"/>
      <c r="K22" s="671"/>
      <c r="L22" s="1142"/>
      <c r="M22" s="1133"/>
      <c r="N22" s="1133"/>
      <c r="O22" s="1141"/>
      <c r="P22" s="3180"/>
      <c r="Q22" s="1811"/>
      <c r="R22" s="773"/>
      <c r="S22" s="774"/>
      <c r="T22" s="773"/>
      <c r="U22" s="774"/>
      <c r="V22" s="773"/>
      <c r="W22" s="774"/>
      <c r="X22" s="1814"/>
      <c r="Y22" s="3180"/>
      <c r="Z22" s="1815"/>
      <c r="AA22" s="1812">
        <v>1</v>
      </c>
      <c r="AB22" s="1812">
        <v>1</v>
      </c>
      <c r="AC22" s="1812">
        <v>1</v>
      </c>
    </row>
    <row r="23" spans="1:29" s="116" customFormat="1" ht="42.75">
      <c r="A23" s="648"/>
      <c r="B23" s="632" t="s">
        <v>2636</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0"/>
      <c r="Q23" s="1796" t="str">
        <f t="shared" si="8"/>
        <v>公共配套设施</v>
      </c>
      <c r="R23" s="769" t="s">
        <v>17</v>
      </c>
      <c r="S23" s="770">
        <f>F23</f>
        <v>100</v>
      </c>
      <c r="T23" s="769" t="s">
        <v>17</v>
      </c>
      <c r="U23" s="770">
        <f>H23</f>
        <v>100</v>
      </c>
      <c r="V23" s="769" t="s">
        <v>17</v>
      </c>
      <c r="W23" s="770">
        <f>J23</f>
        <v>100</v>
      </c>
      <c r="X23" s="771"/>
      <c r="Y23" s="3180"/>
      <c r="Z23" s="55" t="str">
        <f>Q23</f>
        <v>公共配套设施</v>
      </c>
      <c r="AA23" s="1812">
        <f>D23/F23</f>
        <v>1</v>
      </c>
      <c r="AB23" s="1812">
        <f>D23/H23</f>
        <v>1</v>
      </c>
      <c r="AC23" s="1812">
        <f>D23/J23</f>
        <v>1</v>
      </c>
    </row>
    <row r="24" spans="1:29" s="116" customFormat="1" ht="15">
      <c r="A24" s="648"/>
      <c r="B24" s="631"/>
      <c r="C24" s="2700"/>
      <c r="D24" s="447"/>
      <c r="E24" s="2611"/>
      <c r="F24" s="447"/>
      <c r="G24" s="2611"/>
      <c r="H24" s="447"/>
      <c r="I24" s="446"/>
      <c r="J24" s="447"/>
      <c r="K24" s="671"/>
      <c r="L24" s="1134"/>
      <c r="M24" s="1135"/>
      <c r="N24" s="1135"/>
      <c r="O24" s="1136"/>
      <c r="P24" s="3180"/>
      <c r="Q24" s="1796"/>
      <c r="R24" s="769"/>
      <c r="S24" s="770"/>
      <c r="T24" s="769"/>
      <c r="U24" s="770"/>
      <c r="V24" s="769"/>
      <c r="W24" s="770"/>
      <c r="X24" s="771"/>
      <c r="Y24" s="3180"/>
      <c r="Z24" s="55"/>
      <c r="AA24" s="772">
        <v>1</v>
      </c>
      <c r="AB24" s="772">
        <v>1</v>
      </c>
      <c r="AC24" s="772">
        <v>1</v>
      </c>
    </row>
    <row r="25" spans="1:29" s="116" customFormat="1" ht="28.5">
      <c r="A25" s="648"/>
      <c r="B25" s="632" t="s">
        <v>2637</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0"/>
      <c r="Q25" s="1796" t="str">
        <f t="shared" ref="Q25" si="9">B25</f>
        <v>基础设施水平</v>
      </c>
      <c r="R25" s="769" t="s">
        <v>17</v>
      </c>
      <c r="S25" s="770">
        <f>F25</f>
        <v>100</v>
      </c>
      <c r="T25" s="769" t="s">
        <v>17</v>
      </c>
      <c r="U25" s="770">
        <f>H25</f>
        <v>100</v>
      </c>
      <c r="V25" s="769" t="s">
        <v>17</v>
      </c>
      <c r="W25" s="770">
        <f>J25</f>
        <v>100</v>
      </c>
      <c r="X25" s="771"/>
      <c r="Y25" s="3180"/>
      <c r="Z25" s="55" t="str">
        <f>Q25</f>
        <v>基础设施水平</v>
      </c>
      <c r="AA25" s="1812">
        <f>D25/F25</f>
        <v>1</v>
      </c>
      <c r="AB25" s="1812">
        <f>D25/H25</f>
        <v>1</v>
      </c>
      <c r="AC25" s="1812">
        <f>D25/J25</f>
        <v>1</v>
      </c>
    </row>
    <row r="26" spans="1:29" s="116" customFormat="1" ht="15">
      <c r="A26" s="648"/>
      <c r="B26" s="631"/>
      <c r="C26" s="2700"/>
      <c r="D26" s="447"/>
      <c r="E26" s="2701"/>
      <c r="F26" s="447"/>
      <c r="G26" s="2701"/>
      <c r="H26" s="447"/>
      <c r="I26" s="2701"/>
      <c r="J26" s="447"/>
      <c r="K26" s="671"/>
      <c r="L26" s="1134"/>
      <c r="M26" s="1135"/>
      <c r="N26" s="1135"/>
      <c r="O26" s="1136"/>
      <c r="P26" s="3180"/>
      <c r="Q26" s="1796"/>
      <c r="R26" s="769"/>
      <c r="S26" s="770"/>
      <c r="T26" s="769"/>
      <c r="U26" s="770"/>
      <c r="V26" s="769"/>
      <c r="W26" s="770"/>
      <c r="X26" s="771"/>
      <c r="Y26" s="3180"/>
      <c r="Z26" s="55"/>
      <c r="AA26" s="772">
        <v>1</v>
      </c>
      <c r="AB26" s="772">
        <v>1</v>
      </c>
      <c r="AC26" s="772">
        <v>1</v>
      </c>
    </row>
    <row r="27" spans="1:29" ht="15">
      <c r="A27" s="427"/>
      <c r="B27" s="631" t="s">
        <v>2638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0"/>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0"/>
      <c r="Z27" s="1815" t="str">
        <f t="shared" ref="Z27:Z40" si="13">Q27</f>
        <v>临街状况</v>
      </c>
      <c r="AA27" s="1812">
        <f t="shared" si="3"/>
        <v>1</v>
      </c>
      <c r="AB27" s="1812">
        <f t="shared" si="4"/>
        <v>1</v>
      </c>
      <c r="AC27" s="1812">
        <f t="shared" si="5"/>
        <v>1</v>
      </c>
    </row>
    <row r="28" spans="1:29" ht="27">
      <c r="A28" s="427"/>
      <c r="B28" s="632" t="s">
        <v>2673</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0"/>
      <c r="Q28" s="1811" t="str">
        <f t="shared" si="8"/>
        <v>毗邻道路的类型与等级</v>
      </c>
      <c r="R28" s="773" t="s">
        <v>17</v>
      </c>
      <c r="S28" s="774">
        <f t="shared" si="10"/>
        <v>100</v>
      </c>
      <c r="T28" s="773" t="s">
        <v>17</v>
      </c>
      <c r="U28" s="774">
        <f t="shared" si="11"/>
        <v>100</v>
      </c>
      <c r="V28" s="773" t="s">
        <v>17</v>
      </c>
      <c r="W28" s="774">
        <f t="shared" si="12"/>
        <v>100</v>
      </c>
      <c r="X28" s="1814"/>
      <c r="Y28" s="3180"/>
      <c r="Z28" s="1815" t="str">
        <f t="shared" si="13"/>
        <v>毗邻道路的类型与等级</v>
      </c>
      <c r="AA28" s="1812">
        <f t="shared" si="3"/>
        <v>1</v>
      </c>
      <c r="AB28" s="1812">
        <f t="shared" si="4"/>
        <v>1</v>
      </c>
      <c r="AC28" s="1812">
        <f t="shared" si="5"/>
        <v>1</v>
      </c>
    </row>
    <row r="29" spans="1:29" ht="15">
      <c r="A29" s="427"/>
      <c r="B29" s="631"/>
      <c r="C29" s="446"/>
      <c r="D29" s="447"/>
      <c r="E29" s="2611"/>
      <c r="F29" s="447"/>
      <c r="G29" s="2611"/>
      <c r="H29" s="447"/>
      <c r="I29" s="2611"/>
      <c r="J29" s="447"/>
      <c r="K29" s="612"/>
      <c r="L29" s="1142"/>
      <c r="M29" s="1133"/>
      <c r="N29" s="1133"/>
      <c r="O29" s="1141"/>
      <c r="P29" s="3180"/>
      <c r="Q29" s="1811"/>
      <c r="R29" s="773"/>
      <c r="S29" s="774"/>
      <c r="T29" s="773"/>
      <c r="U29" s="774"/>
      <c r="V29" s="773"/>
      <c r="W29" s="774"/>
      <c r="X29" s="1814"/>
      <c r="Y29" s="3180"/>
      <c r="Z29" s="1815"/>
      <c r="AA29" s="1812">
        <v>1</v>
      </c>
      <c r="AB29" s="1812">
        <v>1</v>
      </c>
      <c r="AC29" s="1812">
        <v>1</v>
      </c>
    </row>
    <row r="30" spans="1:29" ht="15">
      <c r="A30" s="427"/>
      <c r="B30" s="653" t="s">
        <v>2731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0"/>
      <c r="Q30" s="1811" t="str">
        <f t="shared" si="8"/>
        <v>土地级别</v>
      </c>
      <c r="R30" s="773" t="s">
        <v>17</v>
      </c>
      <c r="S30" s="774">
        <f t="shared" si="10"/>
        <v>100</v>
      </c>
      <c r="T30" s="773" t="s">
        <v>17</v>
      </c>
      <c r="U30" s="774">
        <f t="shared" si="11"/>
        <v>100</v>
      </c>
      <c r="V30" s="773" t="s">
        <v>17</v>
      </c>
      <c r="W30" s="774">
        <f t="shared" si="12"/>
        <v>100</v>
      </c>
      <c r="X30" s="1814"/>
      <c r="Y30" s="3180"/>
      <c r="Z30" s="1815" t="str">
        <f t="shared" si="13"/>
        <v>土地级别</v>
      </c>
      <c r="AA30" s="1812">
        <f t="shared" si="3"/>
        <v>1</v>
      </c>
      <c r="AB30" s="1812">
        <f t="shared" si="4"/>
        <v>1</v>
      </c>
      <c r="AC30" s="1812">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0"/>
      <c r="Q31" s="1811">
        <f t="shared" si="8"/>
        <v>111</v>
      </c>
      <c r="R31" s="773" t="s">
        <v>17</v>
      </c>
      <c r="S31" s="774">
        <f t="shared" si="10"/>
        <v>100</v>
      </c>
      <c r="T31" s="773" t="s">
        <v>17</v>
      </c>
      <c r="U31" s="774">
        <f t="shared" si="11"/>
        <v>100</v>
      </c>
      <c r="V31" s="773" t="s">
        <v>17</v>
      </c>
      <c r="W31" s="774">
        <f t="shared" si="12"/>
        <v>100</v>
      </c>
      <c r="X31" s="1814"/>
      <c r="Y31" s="3180"/>
      <c r="Z31" s="1815">
        <f t="shared" si="13"/>
        <v>111</v>
      </c>
      <c r="AA31" s="1812">
        <f t="shared" si="3"/>
        <v>1</v>
      </c>
      <c r="AB31" s="1812">
        <f t="shared" si="4"/>
        <v>1</v>
      </c>
      <c r="AC31" s="1812">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1" t="s">
        <v>2547</v>
      </c>
      <c r="Q32" s="1811">
        <f t="shared" si="8"/>
        <v>111</v>
      </c>
      <c r="R32" s="773" t="s">
        <v>17</v>
      </c>
      <c r="S32" s="774">
        <f t="shared" si="10"/>
        <v>100</v>
      </c>
      <c r="T32" s="773" t="s">
        <v>17</v>
      </c>
      <c r="U32" s="774">
        <f t="shared" si="11"/>
        <v>100</v>
      </c>
      <c r="V32" s="773" t="s">
        <v>17</v>
      </c>
      <c r="W32" s="774">
        <f t="shared" si="12"/>
        <v>100</v>
      </c>
      <c r="X32" s="1814"/>
      <c r="Y32" s="3182" t="s">
        <v>2547</v>
      </c>
      <c r="Z32" s="1815">
        <f t="shared" si="13"/>
        <v>111</v>
      </c>
      <c r="AA32" s="1812">
        <f t="shared" si="3"/>
        <v>1</v>
      </c>
      <c r="AB32" s="1812">
        <f t="shared" si="4"/>
        <v>1</v>
      </c>
      <c r="AC32" s="1812">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2"/>
      <c r="Q33" s="1811">
        <f t="shared" si="8"/>
        <v>111</v>
      </c>
      <c r="R33" s="776" t="s">
        <v>17</v>
      </c>
      <c r="S33" s="777">
        <f t="shared" si="10"/>
        <v>100</v>
      </c>
      <c r="T33" s="776" t="s">
        <v>17</v>
      </c>
      <c r="U33" s="777">
        <f t="shared" si="11"/>
        <v>100</v>
      </c>
      <c r="V33" s="776" t="s">
        <v>17</v>
      </c>
      <c r="W33" s="777">
        <f t="shared" si="12"/>
        <v>100</v>
      </c>
      <c r="X33" s="778"/>
      <c r="Y33" s="3182"/>
      <c r="Z33" s="779">
        <f t="shared" si="13"/>
        <v>111</v>
      </c>
      <c r="AA33" s="1812">
        <f t="shared" si="3"/>
        <v>1</v>
      </c>
      <c r="AB33" s="1812">
        <f t="shared" si="4"/>
        <v>1</v>
      </c>
      <c r="AC33" s="1812">
        <f t="shared" si="5"/>
        <v>1</v>
      </c>
    </row>
    <row r="34" spans="1:29" ht="15">
      <c r="A34" s="439" t="s">
        <v>2545</v>
      </c>
      <c r="B34" s="455" t="s">
        <v>2732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2"/>
      <c r="Q34" s="1811" t="str">
        <f>B34</f>
        <v>宗地面积</v>
      </c>
      <c r="R34" s="773" t="s">
        <v>17</v>
      </c>
      <c r="S34" s="774" t="e">
        <f t="shared" si="10"/>
        <v>#N/A</v>
      </c>
      <c r="T34" s="773" t="s">
        <v>17</v>
      </c>
      <c r="U34" s="774" t="e">
        <f t="shared" si="11"/>
        <v>#N/A</v>
      </c>
      <c r="V34" s="773" t="s">
        <v>17</v>
      </c>
      <c r="W34" s="774" t="e">
        <f t="shared" si="12"/>
        <v>#N/A</v>
      </c>
      <c r="X34" s="1814"/>
      <c r="Y34" s="3182"/>
      <c r="Z34" s="1815" t="str">
        <f t="shared" si="13"/>
        <v>宗地面积</v>
      </c>
      <c r="AA34" s="1812" t="e">
        <f t="shared" si="3"/>
        <v>#N/A</v>
      </c>
      <c r="AB34" s="1812" t="e">
        <f t="shared" si="4"/>
        <v>#N/A</v>
      </c>
      <c r="AC34" s="1812" t="e">
        <f t="shared" si="5"/>
        <v>#N/A</v>
      </c>
    </row>
    <row r="35" spans="1:29" ht="15">
      <c r="A35" s="471"/>
      <c r="B35" s="421" t="s">
        <v>2733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82"/>
      <c r="Q35" s="1811" t="str">
        <f t="shared" ref="Q35:Q40" si="14">B35</f>
        <v>宗地形状</v>
      </c>
      <c r="R35" s="773" t="s">
        <v>17</v>
      </c>
      <c r="S35" s="774">
        <f t="shared" si="10"/>
        <v>100</v>
      </c>
      <c r="T35" s="773" t="s">
        <v>17</v>
      </c>
      <c r="U35" s="774">
        <f t="shared" si="11"/>
        <v>100</v>
      </c>
      <c r="V35" s="773" t="s">
        <v>17</v>
      </c>
      <c r="W35" s="774">
        <f t="shared" si="12"/>
        <v>100</v>
      </c>
      <c r="X35" s="1814"/>
      <c r="Y35" s="3182"/>
      <c r="Z35" s="1815" t="str">
        <f t="shared" si="13"/>
        <v>宗地形状</v>
      </c>
      <c r="AA35" s="1812">
        <f t="shared" si="3"/>
        <v>1</v>
      </c>
      <c r="AB35" s="1812">
        <f t="shared" si="4"/>
        <v>1</v>
      </c>
      <c r="AC35" s="1812">
        <f t="shared" si="5"/>
        <v>1</v>
      </c>
    </row>
    <row r="36" spans="1:29" s="116" customFormat="1" ht="15">
      <c r="A36" s="472"/>
      <c r="B36" s="421" t="s">
        <v>2735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82"/>
      <c r="Q36" s="1811" t="str">
        <f t="shared" si="14"/>
        <v>宗地开发程度</v>
      </c>
      <c r="R36" s="769" t="s">
        <v>17</v>
      </c>
      <c r="S36" s="770">
        <f t="shared" si="10"/>
        <v>100</v>
      </c>
      <c r="T36" s="769" t="s">
        <v>17</v>
      </c>
      <c r="U36" s="770">
        <f t="shared" si="11"/>
        <v>100</v>
      </c>
      <c r="V36" s="769" t="s">
        <v>17</v>
      </c>
      <c r="W36" s="770">
        <f t="shared" si="12"/>
        <v>100</v>
      </c>
      <c r="X36" s="771"/>
      <c r="Y36" s="3182"/>
      <c r="Z36" s="55" t="str">
        <f t="shared" si="13"/>
        <v>宗地开发程度</v>
      </c>
      <c r="AA36" s="772">
        <f t="shared" si="3"/>
        <v>1</v>
      </c>
      <c r="AB36" s="772">
        <f t="shared" si="4"/>
        <v>1</v>
      </c>
      <c r="AC36" s="772">
        <f t="shared" si="5"/>
        <v>1</v>
      </c>
    </row>
    <row r="37" spans="1:29" ht="15">
      <c r="A37" s="471"/>
      <c r="B37" s="421" t="s">
        <v>2736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82" t="s">
        <v>2547</v>
      </c>
      <c r="Q37" s="1811" t="str">
        <f t="shared" si="14"/>
        <v>工程地质条件</v>
      </c>
      <c r="R37" s="773" t="s">
        <v>17</v>
      </c>
      <c r="S37" s="774">
        <f t="shared" si="10"/>
        <v>100</v>
      </c>
      <c r="T37" s="773" t="s">
        <v>17</v>
      </c>
      <c r="U37" s="774">
        <f t="shared" si="11"/>
        <v>100</v>
      </c>
      <c r="V37" s="773" t="s">
        <v>17</v>
      </c>
      <c r="W37" s="774">
        <f t="shared" si="12"/>
        <v>100</v>
      </c>
      <c r="X37" s="1814"/>
      <c r="Y37" s="3182" t="s">
        <v>2547</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2"/>
      <c r="Q38" s="1811">
        <f t="shared" si="14"/>
        <v>111</v>
      </c>
      <c r="R38" s="773" t="s">
        <v>17</v>
      </c>
      <c r="S38" s="774">
        <f t="shared" si="10"/>
        <v>100</v>
      </c>
      <c r="T38" s="773" t="s">
        <v>17</v>
      </c>
      <c r="U38" s="774">
        <f t="shared" si="11"/>
        <v>100</v>
      </c>
      <c r="V38" s="773" t="s">
        <v>17</v>
      </c>
      <c r="W38" s="774">
        <f t="shared" si="12"/>
        <v>100</v>
      </c>
      <c r="X38" s="1814"/>
      <c r="Y38" s="3182"/>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2"/>
      <c r="Q39" s="1811">
        <f t="shared" si="14"/>
        <v>111</v>
      </c>
      <c r="R39" s="773" t="s">
        <v>17</v>
      </c>
      <c r="S39" s="774">
        <f t="shared" si="10"/>
        <v>100</v>
      </c>
      <c r="T39" s="773" t="s">
        <v>17</v>
      </c>
      <c r="U39" s="774">
        <f t="shared" si="11"/>
        <v>100</v>
      </c>
      <c r="V39" s="773" t="s">
        <v>17</v>
      </c>
      <c r="W39" s="774">
        <f t="shared" si="12"/>
        <v>100</v>
      </c>
      <c r="X39" s="1814"/>
      <c r="Y39" s="3182"/>
      <c r="Z39" s="1815">
        <f t="shared" si="13"/>
        <v>111</v>
      </c>
      <c r="AA39" s="1812">
        <f t="shared" si="3"/>
        <v>1</v>
      </c>
      <c r="AB39" s="1812">
        <f t="shared" si="4"/>
        <v>1</v>
      </c>
      <c r="AC39" s="1812">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2"/>
      <c r="Q40" s="1811">
        <f t="shared" si="14"/>
        <v>111</v>
      </c>
      <c r="R40" s="776" t="s">
        <v>17</v>
      </c>
      <c r="S40" s="777">
        <f t="shared" si="10"/>
        <v>100</v>
      </c>
      <c r="T40" s="776" t="s">
        <v>17</v>
      </c>
      <c r="U40" s="777">
        <f t="shared" si="11"/>
        <v>100</v>
      </c>
      <c r="V40" s="776" t="s">
        <v>17</v>
      </c>
      <c r="W40" s="777">
        <f t="shared" si="12"/>
        <v>100</v>
      </c>
      <c r="X40" s="778"/>
      <c r="Y40" s="3182"/>
      <c r="Z40" s="779">
        <f t="shared" si="13"/>
        <v>111</v>
      </c>
      <c r="AA40" s="1812">
        <f t="shared" si="3"/>
        <v>1</v>
      </c>
      <c r="AB40" s="1812">
        <f t="shared" si="4"/>
        <v>1</v>
      </c>
      <c r="AC40" s="1812">
        <f t="shared" si="5"/>
        <v>1</v>
      </c>
    </row>
    <row r="41" spans="1:29" ht="15">
      <c r="A41" s="478" t="s">
        <v>2702</v>
      </c>
      <c r="B41" s="2704" t="s">
        <v>2780</v>
      </c>
      <c r="C41" s="681" t="s">
        <v>1</v>
      </c>
      <c r="D41" s="480"/>
      <c r="E41" s="481"/>
      <c r="F41" s="482"/>
      <c r="G41" s="483"/>
      <c r="H41" s="484"/>
      <c r="I41" s="481"/>
      <c r="J41" s="484"/>
      <c r="K41" s="782"/>
      <c r="L41" s="1145"/>
      <c r="M41" s="1133"/>
      <c r="N41" s="1133"/>
      <c r="O41" s="1146"/>
      <c r="P41" s="3164" t="str">
        <f>A41</f>
        <v>成交单价</v>
      </c>
      <c r="Q41" s="3164"/>
      <c r="R41" s="3177">
        <f>E41</f>
        <v>0</v>
      </c>
      <c r="S41" s="3177"/>
      <c r="T41" s="3177">
        <f>G41</f>
        <v>0</v>
      </c>
      <c r="U41" s="3177"/>
      <c r="V41" s="3177">
        <f>I41</f>
        <v>0</v>
      </c>
      <c r="W41" s="3177"/>
      <c r="X41" s="758"/>
      <c r="Y41" s="780"/>
      <c r="Z41" s="758"/>
      <c r="AA41" s="758"/>
      <c r="AB41" s="758"/>
      <c r="AC41" s="758"/>
    </row>
    <row r="42" spans="1:29" ht="15.75" thickBot="1">
      <c r="A42" s="485" t="s">
        <v>2651</v>
      </c>
      <c r="B42" s="682"/>
      <c r="C42" s="489" t="e">
        <f>R43</f>
        <v>#DIV/0!</v>
      </c>
      <c r="D42" s="488"/>
      <c r="E42" s="489" t="e">
        <f>R42</f>
        <v>#DIV/0!</v>
      </c>
      <c r="F42" s="490"/>
      <c r="G42" s="487" t="e">
        <f>T42</f>
        <v>#DIV/0!</v>
      </c>
      <c r="H42" s="488"/>
      <c r="I42" s="489" t="e">
        <f>V42</f>
        <v>#DIV/0!</v>
      </c>
      <c r="J42" s="488"/>
      <c r="K42" s="783"/>
      <c r="L42" s="1145"/>
      <c r="M42" s="1133"/>
      <c r="N42" s="1133"/>
      <c r="O42" s="1146"/>
      <c r="P42" s="3164" t="str">
        <f>A42</f>
        <v>比较价值（元/平方米）</v>
      </c>
      <c r="Q42" s="3164"/>
      <c r="R42" s="3183" t="e">
        <f>ROUND(PRODUCT(R41,AA7:AA40),0)</f>
        <v>#DIV/0!</v>
      </c>
      <c r="S42" s="3183"/>
      <c r="T42" s="3183" t="e">
        <f>ROUND(PRODUCT(T41,AB7:AB40),0)</f>
        <v>#DIV/0!</v>
      </c>
      <c r="U42" s="3183"/>
      <c r="V42" s="3183" t="e">
        <f>ROUND(PRODUCT(V41,AC7:AC40),0)</f>
        <v>#DIV/0!</v>
      </c>
      <c r="W42" s="3183"/>
      <c r="X42" s="758"/>
      <c r="Y42" s="758"/>
      <c r="Z42" s="758"/>
      <c r="AA42" s="758"/>
      <c r="AB42" s="758"/>
      <c r="AC42" s="758"/>
    </row>
    <row r="43" spans="1:29" ht="15.75" thickBot="1">
      <c r="A43" s="491" t="s">
        <v>2652</v>
      </c>
      <c r="B43" s="492"/>
      <c r="C43" s="493" t="e">
        <f>R43</f>
        <v>#DIV/0!</v>
      </c>
      <c r="D43" s="493"/>
      <c r="E43" s="493"/>
      <c r="F43" s="493"/>
      <c r="G43" s="493"/>
      <c r="H43" s="493"/>
      <c r="I43" s="493"/>
      <c r="J43" s="493"/>
      <c r="K43" s="784"/>
      <c r="L43" s="1145"/>
      <c r="M43" s="1133"/>
      <c r="N43" s="1133"/>
      <c r="O43" s="1146"/>
      <c r="P43" s="3184" t="str">
        <f>A43</f>
        <v>估价对象XX用房的比较价值（楼面单价，元/平方米）</v>
      </c>
      <c r="Q43" s="3185"/>
      <c r="R43" s="3186" t="e">
        <f>ROUND(AVERAGE(R42:V42),0)</f>
        <v>#DIV/0!</v>
      </c>
      <c r="S43" s="3186"/>
      <c r="T43" s="3186"/>
      <c r="U43" s="3186"/>
      <c r="V43" s="3186"/>
      <c r="W43" s="318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2739</v>
      </c>
      <c r="B50" s="684" t="s">
        <v>2740</v>
      </c>
      <c r="C50" s="2705" t="s">
        <v>2741</v>
      </c>
      <c r="D50" s="2706" t="s">
        <v>2742</v>
      </c>
      <c r="E50" s="685" t="s">
        <v>2743</v>
      </c>
      <c r="F50" s="686" t="s">
        <v>2744</v>
      </c>
      <c r="G50" s="3165" t="s">
        <v>2745</v>
      </c>
      <c r="H50" s="3187"/>
      <c r="I50" s="1815" t="s">
        <v>2781</v>
      </c>
      <c r="J50" s="1815">
        <f>项目基本情况!F35</f>
        <v>0</v>
      </c>
      <c r="K50" s="2708" t="s">
        <v>2747</v>
      </c>
      <c r="L50" s="1108"/>
      <c r="M50" s="1146"/>
      <c r="N50" s="1146"/>
      <c r="O50" s="1146"/>
    </row>
    <row r="51" spans="1:17" s="691" customFormat="1">
      <c r="A51" s="687" t="s">
        <v>2748</v>
      </c>
      <c r="B51" s="688" t="e">
        <f>C43</f>
        <v>#DIV/0!</v>
      </c>
      <c r="C51" s="689">
        <v>1</v>
      </c>
      <c r="D51" s="1165">
        <v>1</v>
      </c>
      <c r="E51" s="689">
        <f>'数据-汇总表'!E8+'数据-汇总表'!E9</f>
        <v>162699</v>
      </c>
      <c r="F51" s="690" t="e">
        <f t="shared" ref="F51:F60" si="15">ROUND(B51*E51/10000,0)</f>
        <v>#DIV/0!</v>
      </c>
      <c r="G51" s="3188"/>
      <c r="H51" s="3164"/>
      <c r="I51" s="944">
        <v>1</v>
      </c>
      <c r="J51" s="944">
        <v>1</v>
      </c>
      <c r="K51" s="1147"/>
      <c r="L51" s="943"/>
      <c r="M51" s="943"/>
      <c r="N51" s="943"/>
      <c r="O51" s="943"/>
    </row>
    <row r="52" spans="1:17" s="691" customFormat="1">
      <c r="A52" s="692" t="s">
        <v>2749</v>
      </c>
      <c r="B52" s="261" t="e">
        <f>ROUND($C$43*C52*D52,0)</f>
        <v>#DIV/0!</v>
      </c>
      <c r="C52" s="199">
        <f t="shared" ref="C52:C60" si="16">IF($C$50="北京市系数",I52,J52)</f>
        <v>0.6</v>
      </c>
      <c r="D52" s="1166">
        <v>0.25</v>
      </c>
      <c r="E52" s="693"/>
      <c r="F52" s="690" t="e">
        <f t="shared" si="15"/>
        <v>#DIV/0!</v>
      </c>
      <c r="G52" s="3189" t="s">
        <v>2750</v>
      </c>
      <c r="H52" s="1106" t="str">
        <f>项目基本情况!B37</f>
        <v>八级</v>
      </c>
      <c r="I52" s="944">
        <f>SUMIF(修正!A45:A56,H52,修正!B45:B56)</f>
        <v>0.6</v>
      </c>
      <c r="J52" s="945"/>
      <c r="K52" s="1146"/>
      <c r="L52" s="943"/>
      <c r="M52" s="943"/>
      <c r="N52" s="943"/>
      <c r="O52" s="943"/>
    </row>
    <row r="53" spans="1:17" s="691" customFormat="1">
      <c r="A53" s="692" t="s">
        <v>2751</v>
      </c>
      <c r="B53" s="261" t="e">
        <f t="shared" ref="B53:B60" si="17">ROUND($C$43*C53*D53,0)</f>
        <v>#DIV/0!</v>
      </c>
      <c r="C53" s="199">
        <f t="shared" si="16"/>
        <v>0.3</v>
      </c>
      <c r="D53" s="1166">
        <v>0.25</v>
      </c>
      <c r="E53" s="693"/>
      <c r="F53" s="690" t="e">
        <f t="shared" si="15"/>
        <v>#DIV/0!</v>
      </c>
      <c r="G53" s="3189"/>
      <c r="H53" s="1106" t="str">
        <f>项目基本情况!B37</f>
        <v>八级</v>
      </c>
      <c r="I53" s="944">
        <f>SUMIF(修正!A45:A56,H53,修正!C45:C56)</f>
        <v>0.3</v>
      </c>
      <c r="J53" s="945"/>
      <c r="K53" s="1147"/>
      <c r="L53" s="943"/>
      <c r="M53" s="943"/>
      <c r="N53" s="943"/>
      <c r="O53" s="943"/>
    </row>
    <row r="54" spans="1:17" s="691" customFormat="1">
      <c r="A54" s="692" t="s">
        <v>2752</v>
      </c>
      <c r="B54" s="261" t="e">
        <f t="shared" si="17"/>
        <v>#DIV/0!</v>
      </c>
      <c r="C54" s="199">
        <f t="shared" si="16"/>
        <v>0.2</v>
      </c>
      <c r="D54" s="1166">
        <v>0.25</v>
      </c>
      <c r="E54" s="693"/>
      <c r="F54" s="690" t="e">
        <f t="shared" si="15"/>
        <v>#DIV/0!</v>
      </c>
      <c r="G54" s="3189"/>
      <c r="H54" s="1106" t="str">
        <f>项目基本情况!B37</f>
        <v>八级</v>
      </c>
      <c r="I54" s="944">
        <f>SUMIF(修正!A45:A56,H54,修正!D45:D56)</f>
        <v>0.2</v>
      </c>
      <c r="J54" s="945"/>
      <c r="K54" s="1146"/>
      <c r="L54" s="943"/>
      <c r="M54" s="943"/>
      <c r="N54" s="943"/>
      <c r="O54" s="943"/>
    </row>
    <row r="55" spans="1:17" s="691" customFormat="1">
      <c r="A55" s="692" t="s">
        <v>2753</v>
      </c>
      <c r="B55" s="261" t="e">
        <f t="shared" si="17"/>
        <v>#DIV/0!</v>
      </c>
      <c r="C55" s="199">
        <f t="shared" si="16"/>
        <v>0.2</v>
      </c>
      <c r="D55" s="1166">
        <v>0.25</v>
      </c>
      <c r="E55" s="693"/>
      <c r="F55" s="690" t="e">
        <f t="shared" si="15"/>
        <v>#DIV/0!</v>
      </c>
      <c r="G55" s="3189"/>
      <c r="H55" s="1106" t="str">
        <f>项目基本情况!B37</f>
        <v>八级</v>
      </c>
      <c r="I55" s="944">
        <f>SUMIF(修正!A45:A56,H55,修正!E45:E56)</f>
        <v>0.2</v>
      </c>
      <c r="J55" s="945"/>
      <c r="K55" s="1147"/>
      <c r="L55" s="943"/>
      <c r="M55" s="943"/>
      <c r="N55" s="943"/>
      <c r="O55" s="943"/>
    </row>
    <row r="56" spans="1:17" s="691" customFormat="1">
      <c r="A56" s="692" t="s">
        <v>2754</v>
      </c>
      <c r="B56" s="261" t="e">
        <f t="shared" si="17"/>
        <v>#DIV/0!</v>
      </c>
      <c r="C56" s="199">
        <f t="shared" si="16"/>
        <v>0.2</v>
      </c>
      <c r="D56" s="1166">
        <v>0.25</v>
      </c>
      <c r="E56" s="260">
        <f>'数据-汇总表'!E11</f>
        <v>0</v>
      </c>
      <c r="F56" s="690" t="e">
        <f t="shared" si="15"/>
        <v>#DIV/0!</v>
      </c>
      <c r="G56" s="2709" t="s">
        <v>2755</v>
      </c>
      <c r="H56" s="1106" t="str">
        <f>项目基本情况!C37</f>
        <v>八级</v>
      </c>
      <c r="I56" s="944">
        <f>SUMIF(修正!A45:A56,H56,修正!F45:F56)</f>
        <v>0.2</v>
      </c>
      <c r="J56" s="945"/>
      <c r="K56" s="1146"/>
      <c r="L56" s="943"/>
      <c r="M56" s="943"/>
      <c r="N56" s="943"/>
      <c r="O56" s="943"/>
    </row>
    <row r="57" spans="1:17" s="691" customFormat="1">
      <c r="A57" s="692" t="s">
        <v>2756</v>
      </c>
      <c r="B57" s="261" t="e">
        <f t="shared" si="17"/>
        <v>#DIV/0!</v>
      </c>
      <c r="C57" s="199">
        <f t="shared" si="16"/>
        <v>0.2</v>
      </c>
      <c r="D57" s="1166">
        <v>0.25</v>
      </c>
      <c r="E57" s="260">
        <f>'数据-汇总表'!E12</f>
        <v>0</v>
      </c>
      <c r="F57" s="690" t="e">
        <f t="shared" si="15"/>
        <v>#DIV/0!</v>
      </c>
      <c r="G57" s="1111" t="s">
        <v>2757</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2758</v>
      </c>
      <c r="B58" s="261" t="e">
        <f t="shared" si="17"/>
        <v>#DIV/0!</v>
      </c>
      <c r="C58" s="199">
        <f t="shared" si="16"/>
        <v>0.15</v>
      </c>
      <c r="D58" s="1166">
        <v>0.25</v>
      </c>
      <c r="E58" s="260">
        <f>'数据-汇总表'!E13</f>
        <v>26841</v>
      </c>
      <c r="F58" s="690" t="e">
        <f t="shared" si="15"/>
        <v>#DIV/0!</v>
      </c>
      <c r="G58" s="1111" t="s">
        <v>2759</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2760</v>
      </c>
      <c r="B59" s="261" t="e">
        <f t="shared" si="17"/>
        <v>#DIV/0!</v>
      </c>
      <c r="C59" s="199">
        <f t="shared" si="16"/>
        <v>0.15</v>
      </c>
      <c r="D59" s="1166">
        <v>0.25</v>
      </c>
      <c r="E59" s="260">
        <f>'数据-汇总表'!E14</f>
        <v>0</v>
      </c>
      <c r="F59" s="690" t="e">
        <f t="shared" si="15"/>
        <v>#DIV/0!</v>
      </c>
      <c r="G59" s="2709" t="s">
        <v>2750</v>
      </c>
      <c r="H59" s="1106" t="str">
        <f>项目基本情况!B37</f>
        <v>八级</v>
      </c>
      <c r="I59" s="944">
        <f>SUMIF(修正!A45:A56,H59,修正!H45:H56)</f>
        <v>0.15</v>
      </c>
      <c r="J59" s="945"/>
      <c r="K59" s="1147"/>
      <c r="L59" s="943"/>
      <c r="M59" s="943"/>
      <c r="N59" s="943"/>
      <c r="O59" s="943"/>
    </row>
    <row r="60" spans="1:17" s="691" customFormat="1" ht="15" thickBot="1">
      <c r="A60" s="692" t="s">
        <v>2761</v>
      </c>
      <c r="B60" s="261" t="e">
        <f t="shared" si="17"/>
        <v>#DIV/0!</v>
      </c>
      <c r="C60" s="199">
        <f t="shared" si="16"/>
        <v>0.15</v>
      </c>
      <c r="D60" s="1166">
        <v>0.25</v>
      </c>
      <c r="E60" s="260">
        <f>'数据-汇总表'!E15</f>
        <v>0</v>
      </c>
      <c r="F60" s="690" t="e">
        <f t="shared" si="15"/>
        <v>#DIV/0!</v>
      </c>
      <c r="G60" s="2710" t="s">
        <v>2755</v>
      </c>
      <c r="H60" s="1116" t="str">
        <f>项目基本情况!C37</f>
        <v>八级</v>
      </c>
      <c r="I60" s="944">
        <f>SUMIF(修正!A45:A56,H60,修正!H45:H56)</f>
        <v>0.15</v>
      </c>
      <c r="J60" s="945"/>
      <c r="K60" s="1146"/>
      <c r="L60" s="943"/>
      <c r="M60" s="943"/>
      <c r="N60" s="943"/>
      <c r="O60" s="943"/>
    </row>
    <row r="61" spans="1:17" s="691" customFormat="1" ht="15" thickBot="1">
      <c r="A61" s="694" t="s">
        <v>2762</v>
      </c>
      <c r="B61" s="695" t="s">
        <v>28</v>
      </c>
      <c r="C61" s="695" t="s">
        <v>29</v>
      </c>
      <c r="D61" s="695" t="s">
        <v>1028</v>
      </c>
      <c r="E61" s="695">
        <f>IF(B41="楼面地价",SUM(E51:E60),'数据-汇总表'!D3)</f>
        <v>53758.79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2017-9-1</v>
      </c>
      <c r="D63" s="760">
        <f>EDATE(C63,-3)</f>
        <v>42887</v>
      </c>
      <c r="E63" s="760">
        <f>EDATE(D63,-3)</f>
        <v>42795</v>
      </c>
      <c r="F63" s="760">
        <f t="shared" ref="F63:O63" si="18">EDATE(E63,-3)</f>
        <v>42705</v>
      </c>
      <c r="G63" s="760">
        <f t="shared" si="18"/>
        <v>42614</v>
      </c>
      <c r="H63" s="760">
        <f t="shared" si="18"/>
        <v>42522</v>
      </c>
      <c r="I63" s="760">
        <f t="shared" si="18"/>
        <v>42430</v>
      </c>
      <c r="J63" s="760">
        <f t="shared" si="18"/>
        <v>42339</v>
      </c>
      <c r="K63" s="760">
        <f t="shared" si="18"/>
        <v>42248</v>
      </c>
      <c r="L63" s="760">
        <f t="shared" si="18"/>
        <v>42156</v>
      </c>
      <c r="M63" s="760">
        <f t="shared" si="18"/>
        <v>42064</v>
      </c>
      <c r="N63" s="760">
        <f t="shared" si="18"/>
        <v>41974</v>
      </c>
      <c r="O63" s="760">
        <f t="shared" si="18"/>
        <v>41883</v>
      </c>
    </row>
    <row r="64" spans="1:17" ht="21.75" thickBot="1">
      <c r="A64" s="762" t="s">
        <v>2656</v>
      </c>
      <c r="B64" s="758"/>
      <c r="C64" s="763"/>
      <c r="D64" s="763"/>
      <c r="E64" s="763"/>
      <c r="F64" s="764"/>
      <c r="G64" s="764"/>
      <c r="H64" s="763"/>
      <c r="I64" s="763"/>
      <c r="J64" s="763"/>
      <c r="K64" s="765"/>
      <c r="L64" s="766"/>
      <c r="M64" s="763"/>
      <c r="N64" s="763"/>
      <c r="O64" s="1161"/>
      <c r="P64" s="502"/>
      <c r="Q64" s="503"/>
    </row>
    <row r="65" spans="1:17" s="507" customFormat="1" ht="15">
      <c r="A65" s="2711" t="s">
        <v>2763</v>
      </c>
      <c r="B65" s="1361"/>
      <c r="C65" s="1573" t="str">
        <f>YEAR(C63)&amp;"-"&amp;ROUNDUP(MONTH(C63)/3,0)</f>
        <v>2017-3</v>
      </c>
      <c r="D65" s="1573" t="str">
        <f t="shared" ref="D65:O65" si="19">YEAR(D63)&amp;"-"&amp;ROUNDUP(MONTH(D63)/3,0)</f>
        <v>2017-2</v>
      </c>
      <c r="E65" s="1573" t="str">
        <f t="shared" si="19"/>
        <v>2017-1</v>
      </c>
      <c r="F65" s="1573" t="str">
        <f t="shared" si="19"/>
        <v>2016-4</v>
      </c>
      <c r="G65" s="1573" t="str">
        <f t="shared" si="19"/>
        <v>2016-3</v>
      </c>
      <c r="H65" s="1573" t="str">
        <f t="shared" si="19"/>
        <v>2016-2</v>
      </c>
      <c r="I65" s="1573" t="str">
        <f t="shared" si="19"/>
        <v>2016-1</v>
      </c>
      <c r="J65" s="1573" t="str">
        <f t="shared" si="19"/>
        <v>2015-4</v>
      </c>
      <c r="K65" s="1573" t="str">
        <f t="shared" si="19"/>
        <v>2015-3</v>
      </c>
      <c r="L65" s="1573" t="str">
        <f t="shared" si="19"/>
        <v>2015-2</v>
      </c>
      <c r="M65" s="1573" t="str">
        <f t="shared" si="19"/>
        <v>2015-1</v>
      </c>
      <c r="N65" s="1573" t="str">
        <f t="shared" si="19"/>
        <v>2014-4</v>
      </c>
      <c r="O65" s="1573" t="str">
        <f t="shared" si="19"/>
        <v>2014-3</v>
      </c>
      <c r="P65" s="506"/>
    </row>
    <row r="66" spans="1:17" s="116" customFormat="1" ht="30.75" customHeight="1">
      <c r="A66" s="2716" t="s">
        <v>2782</v>
      </c>
      <c r="B66" s="331" t="str">
        <f>"北京市平均增长率"&amp;TEXT('基准地价修正-居住'!P24,"0.00%")</f>
        <v>北京市平均增长率1.39%</v>
      </c>
      <c r="C66" s="602">
        <v>100</v>
      </c>
      <c r="D66" s="594"/>
      <c r="E66" s="594"/>
      <c r="F66" s="594"/>
      <c r="G66" s="594"/>
      <c r="H66" s="594"/>
      <c r="I66" s="594"/>
      <c r="J66" s="594"/>
      <c r="K66" s="594"/>
      <c r="L66" s="594"/>
      <c r="M66" s="1569"/>
      <c r="N66" s="1569"/>
      <c r="O66" s="1570"/>
      <c r="P66" s="503"/>
    </row>
    <row r="67" spans="1:17" s="116" customFormat="1" ht="15.75" thickBot="1">
      <c r="A67" s="514" t="s">
        <v>2567</v>
      </c>
      <c r="B67" s="515"/>
      <c r="C67" s="516"/>
      <c r="D67" s="517"/>
      <c r="E67" s="517"/>
      <c r="F67" s="517"/>
      <c r="G67" s="517"/>
      <c r="H67" s="517"/>
      <c r="I67" s="517"/>
      <c r="J67" s="517"/>
      <c r="K67" s="517"/>
      <c r="L67" s="517"/>
      <c r="M67" s="518"/>
      <c r="N67" s="518"/>
      <c r="O67" s="519"/>
      <c r="P67" s="503"/>
      <c r="Q67" s="503"/>
    </row>
    <row r="68" spans="1:17" s="116" customFormat="1" ht="15">
      <c r="A68" s="520" t="s">
        <v>2532</v>
      </c>
      <c r="B68" s="509"/>
      <c r="C68" s="521" t="s">
        <v>2634</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2570</v>
      </c>
      <c r="B70" s="527" t="s">
        <v>2536</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2539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2541</v>
      </c>
      <c r="B83" s="527" t="s">
        <v>2687</v>
      </c>
      <c r="C83" s="572" t="s">
        <v>2579</v>
      </c>
      <c r="D83" s="572" t="s">
        <v>2580</v>
      </c>
      <c r="E83" s="572" t="s">
        <v>2581</v>
      </c>
      <c r="F83" s="572" t="s">
        <v>2582</v>
      </c>
      <c r="G83" s="572" t="s">
        <v>2583</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2584</v>
      </c>
      <c r="C85" s="577" t="s">
        <v>2579</v>
      </c>
      <c r="D85" s="577" t="s">
        <v>2580</v>
      </c>
      <c r="E85" s="577" t="s">
        <v>2581</v>
      </c>
      <c r="F85" s="577" t="s">
        <v>2582</v>
      </c>
      <c r="G85" s="577" t="s">
        <v>2583</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2765</v>
      </c>
      <c r="C87" s="572" t="s">
        <v>2579</v>
      </c>
      <c r="D87" s="572" t="s">
        <v>2580</v>
      </c>
      <c r="E87" s="572" t="s">
        <v>2581</v>
      </c>
      <c r="F87" s="572" t="s">
        <v>2582</v>
      </c>
      <c r="G87" s="572" t="s">
        <v>2583</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2766</v>
      </c>
      <c r="C89" s="572" t="s">
        <v>2579</v>
      </c>
      <c r="D89" s="572" t="s">
        <v>2580</v>
      </c>
      <c r="E89" s="572" t="s">
        <v>2581</v>
      </c>
      <c r="F89" s="572" t="s">
        <v>2582</v>
      </c>
      <c r="G89" s="572" t="s">
        <v>2583</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2636</v>
      </c>
      <c r="C91" s="572" t="s">
        <v>2579</v>
      </c>
      <c r="D91" s="572" t="s">
        <v>2580</v>
      </c>
      <c r="E91" s="572" t="s">
        <v>2581</v>
      </c>
      <c r="F91" s="572" t="s">
        <v>2582</v>
      </c>
      <c r="G91" s="572" t="s">
        <v>2583</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2783</v>
      </c>
      <c r="C93" s="659" t="s">
        <v>2657</v>
      </c>
      <c r="D93" s="659" t="s">
        <v>2658</v>
      </c>
      <c r="E93" s="659" t="s">
        <v>2659</v>
      </c>
      <c r="F93" s="659" t="s">
        <v>2660</v>
      </c>
      <c r="G93" s="659" t="s">
        <v>2661</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2767</v>
      </c>
      <c r="D95" s="538" t="s">
        <v>2768</v>
      </c>
      <c r="E95" s="538" t="s">
        <v>2769</v>
      </c>
      <c r="F95" s="538" t="s">
        <v>2770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2545</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66" t="s">
        <v>183</v>
      </c>
      <c r="B18" s="881" t="s">
        <v>560</v>
      </c>
      <c r="C18" s="882" t="s">
        <v>561</v>
      </c>
      <c r="D18" s="883"/>
      <c r="E18" s="881">
        <v>1</v>
      </c>
      <c r="F18" s="884" t="s">
        <v>562</v>
      </c>
      <c r="G18" s="885"/>
      <c r="H18" s="877"/>
      <c r="I18" s="877"/>
    </row>
    <row r="19" spans="1:9" s="886" customFormat="1" ht="19.5" customHeight="1">
      <c r="A19" s="3266"/>
      <c r="B19" s="3266" t="s">
        <v>563</v>
      </c>
      <c r="C19" s="882" t="s">
        <v>564</v>
      </c>
      <c r="D19" s="883"/>
      <c r="E19" s="881">
        <v>0.9</v>
      </c>
      <c r="F19" s="884" t="s">
        <v>565</v>
      </c>
      <c r="G19" s="885"/>
      <c r="H19" s="877"/>
      <c r="I19" s="877"/>
    </row>
    <row r="20" spans="1:9" s="886" customFormat="1" ht="19.5" customHeight="1">
      <c r="A20" s="3266"/>
      <c r="B20" s="3266"/>
      <c r="C20" s="882" t="s">
        <v>566</v>
      </c>
      <c r="D20" s="883"/>
      <c r="E20" s="881">
        <v>1.1000000000000001</v>
      </c>
      <c r="F20" s="884" t="s">
        <v>567</v>
      </c>
      <c r="G20" s="885"/>
      <c r="H20" s="877"/>
      <c r="I20" s="877"/>
    </row>
    <row r="21" spans="1:9" s="886" customFormat="1" ht="19.5" customHeight="1">
      <c r="A21" s="3266"/>
      <c r="B21" s="3266"/>
      <c r="C21" s="882" t="s">
        <v>568</v>
      </c>
      <c r="D21" s="883"/>
      <c r="E21" s="881">
        <v>0.8</v>
      </c>
      <c r="F21" s="884" t="s">
        <v>569</v>
      </c>
      <c r="G21" s="885"/>
      <c r="H21" s="877"/>
      <c r="I21" s="877"/>
    </row>
    <row r="22" spans="1:9" s="886" customFormat="1" ht="19.5" customHeight="1">
      <c r="A22" s="3266"/>
      <c r="B22" s="3266"/>
      <c r="C22" s="882" t="s">
        <v>570</v>
      </c>
      <c r="D22" s="883"/>
      <c r="E22" s="881">
        <v>0.5</v>
      </c>
      <c r="F22" s="884"/>
      <c r="G22" s="885"/>
      <c r="H22" s="877"/>
      <c r="I22" s="877"/>
    </row>
    <row r="23" spans="1:9" s="886" customFormat="1" ht="19.5" customHeight="1">
      <c r="A23" s="3266" t="s">
        <v>184</v>
      </c>
      <c r="B23" s="881" t="s">
        <v>560</v>
      </c>
      <c r="C23" s="882" t="s">
        <v>571</v>
      </c>
      <c r="D23" s="883"/>
      <c r="E23" s="881">
        <v>1</v>
      </c>
      <c r="F23" s="884" t="s">
        <v>572</v>
      </c>
      <c r="G23" s="885"/>
      <c r="H23" s="877"/>
      <c r="I23" s="877"/>
    </row>
    <row r="24" spans="1:9" s="886" customFormat="1" ht="19.5" customHeight="1">
      <c r="A24" s="3266"/>
      <c r="B24" s="3266" t="s">
        <v>563</v>
      </c>
      <c r="C24" s="882" t="s">
        <v>573</v>
      </c>
      <c r="D24" s="883"/>
      <c r="E24" s="881">
        <v>0.5</v>
      </c>
      <c r="F24" s="884"/>
      <c r="G24" s="885"/>
      <c r="H24" s="877"/>
      <c r="I24" s="877"/>
    </row>
    <row r="25" spans="1:9" s="886" customFormat="1" ht="19.5" customHeight="1">
      <c r="A25" s="3266"/>
      <c r="B25" s="3266"/>
      <c r="C25" s="882" t="s">
        <v>574</v>
      </c>
      <c r="D25" s="883"/>
      <c r="E25" s="881">
        <v>1.1000000000000001</v>
      </c>
      <c r="F25" s="884"/>
      <c r="G25" s="885"/>
      <c r="H25" s="877"/>
      <c r="I25" s="877"/>
    </row>
    <row r="26" spans="1:9" s="886" customFormat="1" ht="19.5" customHeight="1">
      <c r="A26" s="3266"/>
      <c r="B26" s="3266"/>
      <c r="C26" s="882" t="s">
        <v>575</v>
      </c>
      <c r="D26" s="883"/>
      <c r="E26" s="881">
        <v>1.1000000000000001</v>
      </c>
      <c r="F26" s="884"/>
      <c r="G26" s="885"/>
      <c r="H26" s="877"/>
      <c r="I26" s="877"/>
    </row>
    <row r="27" spans="1:9" s="886" customFormat="1" ht="19.5" customHeight="1">
      <c r="A27" s="3266"/>
      <c r="B27" s="3266"/>
      <c r="C27" s="882" t="s">
        <v>576</v>
      </c>
      <c r="D27" s="883"/>
      <c r="E27" s="881">
        <v>0.9</v>
      </c>
      <c r="F27" s="884" t="s">
        <v>577</v>
      </c>
      <c r="G27" s="885"/>
      <c r="H27" s="877"/>
      <c r="I27" s="877"/>
    </row>
    <row r="28" spans="1:9" s="886" customFormat="1" ht="19.5" customHeight="1">
      <c r="A28" s="3266"/>
      <c r="B28" s="3266"/>
      <c r="C28" s="882" t="s">
        <v>578</v>
      </c>
      <c r="D28" s="883"/>
      <c r="E28" s="881">
        <v>0.9</v>
      </c>
      <c r="F28" s="884" t="s">
        <v>579</v>
      </c>
      <c r="G28" s="885"/>
      <c r="H28" s="877"/>
      <c r="I28" s="877"/>
    </row>
    <row r="29" spans="1:9" s="886" customFormat="1" ht="19.5" customHeight="1">
      <c r="A29" s="3266"/>
      <c r="B29" s="3266"/>
      <c r="C29" s="882" t="s">
        <v>580</v>
      </c>
      <c r="D29" s="883"/>
      <c r="E29" s="881">
        <v>0.9</v>
      </c>
      <c r="F29" s="884" t="s">
        <v>581</v>
      </c>
      <c r="G29" s="885"/>
      <c r="H29" s="877"/>
      <c r="I29" s="877"/>
    </row>
    <row r="30" spans="1:9" s="886" customFormat="1" ht="19.5" customHeight="1">
      <c r="A30" s="3266"/>
      <c r="B30" s="3266"/>
      <c r="C30" s="882" t="s">
        <v>582</v>
      </c>
      <c r="D30" s="883"/>
      <c r="E30" s="881">
        <v>0.9</v>
      </c>
      <c r="F30" s="884" t="s">
        <v>583</v>
      </c>
      <c r="G30" s="885"/>
      <c r="H30" s="877"/>
      <c r="I30" s="877"/>
    </row>
    <row r="31" spans="1:9" s="886" customFormat="1" ht="19.5" customHeight="1">
      <c r="A31" s="3266"/>
      <c r="B31" s="3266"/>
      <c r="C31" s="882" t="s">
        <v>584</v>
      </c>
      <c r="D31" s="883"/>
      <c r="E31" s="881">
        <v>0.8</v>
      </c>
      <c r="F31" s="884" t="s">
        <v>585</v>
      </c>
      <c r="G31" s="885"/>
      <c r="H31" s="877"/>
      <c r="I31" s="877"/>
    </row>
    <row r="32" spans="1:9" s="886" customFormat="1" ht="19.5" customHeight="1">
      <c r="A32" s="3266"/>
      <c r="B32" s="3266"/>
      <c r="C32" s="882" t="s">
        <v>586</v>
      </c>
      <c r="D32" s="883"/>
      <c r="E32" s="881">
        <v>0.8</v>
      </c>
      <c r="F32" s="884" t="s">
        <v>587</v>
      </c>
      <c r="G32" s="885"/>
      <c r="H32" s="877"/>
      <c r="I32" s="877"/>
    </row>
    <row r="33" spans="1:9" s="886" customFormat="1" ht="19.5" customHeight="1">
      <c r="A33" s="3266" t="s">
        <v>185</v>
      </c>
      <c r="B33" s="881" t="s">
        <v>560</v>
      </c>
      <c r="C33" s="882" t="s">
        <v>588</v>
      </c>
      <c r="D33" s="883"/>
      <c r="E33" s="881">
        <v>1</v>
      </c>
      <c r="F33" s="884" t="s">
        <v>589</v>
      </c>
      <c r="G33" s="885"/>
      <c r="H33" s="877"/>
      <c r="I33" s="877"/>
    </row>
    <row r="34" spans="1:9" s="886" customFormat="1" ht="19.5" customHeight="1">
      <c r="A34" s="3266"/>
      <c r="B34" s="881" t="s">
        <v>563</v>
      </c>
      <c r="C34" s="882" t="s">
        <v>590</v>
      </c>
      <c r="D34" s="883"/>
      <c r="E34" s="881">
        <v>1.5</v>
      </c>
      <c r="F34" s="884" t="s">
        <v>591</v>
      </c>
      <c r="G34" s="885"/>
      <c r="H34" s="877"/>
      <c r="I34" s="877"/>
    </row>
    <row r="35" spans="1:9" s="886" customFormat="1" ht="19.5" customHeight="1">
      <c r="A35" s="3266" t="s">
        <v>186</v>
      </c>
      <c r="B35" s="881" t="s">
        <v>560</v>
      </c>
      <c r="C35" s="882" t="s">
        <v>592</v>
      </c>
      <c r="D35" s="883"/>
      <c r="E35" s="881">
        <v>1</v>
      </c>
      <c r="F35" s="884" t="s">
        <v>593</v>
      </c>
      <c r="G35" s="885"/>
      <c r="H35" s="877"/>
      <c r="I35" s="877"/>
    </row>
    <row r="36" spans="1:9" s="886" customFormat="1" ht="19.5" customHeight="1">
      <c r="A36" s="3266"/>
      <c r="B36" s="3266" t="s">
        <v>563</v>
      </c>
      <c r="C36" s="882" t="s">
        <v>594</v>
      </c>
      <c r="D36" s="883"/>
      <c r="E36" s="881">
        <v>1</v>
      </c>
      <c r="F36" s="884" t="s">
        <v>595</v>
      </c>
      <c r="G36" s="885"/>
      <c r="H36" s="877"/>
      <c r="I36" s="877"/>
    </row>
    <row r="37" spans="1:9" s="886" customFormat="1" ht="19.5" customHeight="1">
      <c r="A37" s="3266"/>
      <c r="B37" s="3266"/>
      <c r="C37" s="882" t="s">
        <v>596</v>
      </c>
      <c r="D37" s="883"/>
      <c r="E37" s="881">
        <v>1.5</v>
      </c>
      <c r="F37" s="884" t="s">
        <v>597</v>
      </c>
      <c r="G37" s="885"/>
      <c r="H37" s="877"/>
      <c r="I37" s="877"/>
    </row>
    <row r="38" spans="1:9" s="886" customFormat="1" ht="19.5" customHeight="1">
      <c r="A38" s="3266"/>
      <c r="B38" s="3266"/>
      <c r="C38" s="882" t="s">
        <v>598</v>
      </c>
      <c r="D38" s="883"/>
      <c r="E38" s="881">
        <v>1</v>
      </c>
      <c r="F38" s="884" t="s">
        <v>599</v>
      </c>
      <c r="G38" s="885"/>
      <c r="H38" s="877"/>
      <c r="I38" s="877"/>
    </row>
    <row r="39" spans="1:9" s="886" customFormat="1" ht="19.5" customHeight="1">
      <c r="A39" s="3266"/>
      <c r="B39" s="326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6" t="s">
        <v>614</v>
      </c>
      <c r="C61" s="817" t="s">
        <v>615</v>
      </c>
      <c r="D61" s="817" t="s">
        <v>616</v>
      </c>
      <c r="E61" s="894">
        <v>0.5</v>
      </c>
      <c r="F61" s="881">
        <v>80</v>
      </c>
    </row>
    <row r="62" spans="1:8" s="877" customFormat="1" ht="24">
      <c r="A62" s="881">
        <v>2</v>
      </c>
      <c r="B62" s="3266"/>
      <c r="C62" s="817" t="s">
        <v>617</v>
      </c>
      <c r="D62" s="817" t="s">
        <v>618</v>
      </c>
      <c r="E62" s="894">
        <v>0.5</v>
      </c>
      <c r="F62" s="881">
        <v>80</v>
      </c>
    </row>
    <row r="63" spans="1:8" s="877" customFormat="1" ht="36">
      <c r="A63" s="881">
        <v>3</v>
      </c>
      <c r="B63" s="3266"/>
      <c r="C63" s="817" t="s">
        <v>619</v>
      </c>
      <c r="D63" s="817" t="s">
        <v>620</v>
      </c>
      <c r="E63" s="894">
        <v>0.5</v>
      </c>
      <c r="F63" s="881">
        <v>80</v>
      </c>
    </row>
    <row r="64" spans="1:8" s="877" customFormat="1" ht="36">
      <c r="A64" s="881">
        <v>4</v>
      </c>
      <c r="B64" s="3266"/>
      <c r="C64" s="817" t="s">
        <v>621</v>
      </c>
      <c r="D64" s="817" t="s">
        <v>622</v>
      </c>
      <c r="E64" s="894">
        <v>0.4</v>
      </c>
      <c r="F64" s="881">
        <v>60</v>
      </c>
    </row>
    <row r="65" spans="1:6" s="877" customFormat="1" ht="36">
      <c r="A65" s="881">
        <v>5</v>
      </c>
      <c r="B65" s="3266"/>
      <c r="C65" s="817" t="s">
        <v>623</v>
      </c>
      <c r="D65" s="817" t="s">
        <v>624</v>
      </c>
      <c r="E65" s="894">
        <v>0.2</v>
      </c>
      <c r="F65" s="881">
        <v>30</v>
      </c>
    </row>
    <row r="66" spans="1:6" s="877" customFormat="1" ht="36">
      <c r="A66" s="881">
        <v>6</v>
      </c>
      <c r="B66" s="3266"/>
      <c r="C66" s="817" t="s">
        <v>625</v>
      </c>
      <c r="D66" s="817" t="s">
        <v>626</v>
      </c>
      <c r="E66" s="894">
        <v>0.3</v>
      </c>
      <c r="F66" s="881">
        <v>50</v>
      </c>
    </row>
    <row r="67" spans="1:6" s="877" customFormat="1" ht="36">
      <c r="A67" s="881">
        <v>7</v>
      </c>
      <c r="B67" s="3266"/>
      <c r="C67" s="817" t="s">
        <v>627</v>
      </c>
      <c r="D67" s="817" t="s">
        <v>628</v>
      </c>
      <c r="E67" s="894">
        <v>0.2</v>
      </c>
      <c r="F67" s="881">
        <v>30</v>
      </c>
    </row>
    <row r="68" spans="1:6" s="877" customFormat="1" ht="36">
      <c r="A68" s="881">
        <v>8</v>
      </c>
      <c r="B68" s="3266"/>
      <c r="C68" s="817" t="s">
        <v>629</v>
      </c>
      <c r="D68" s="817" t="s">
        <v>630</v>
      </c>
      <c r="E68" s="894">
        <v>0.2</v>
      </c>
      <c r="F68" s="881">
        <v>30</v>
      </c>
    </row>
    <row r="69" spans="1:6" s="877" customFormat="1" ht="36">
      <c r="A69" s="881">
        <v>9</v>
      </c>
      <c r="B69" s="3266"/>
      <c r="C69" s="817" t="s">
        <v>631</v>
      </c>
      <c r="D69" s="817" t="s">
        <v>632</v>
      </c>
      <c r="E69" s="894">
        <v>0.2</v>
      </c>
      <c r="F69" s="881">
        <v>30</v>
      </c>
    </row>
    <row r="70" spans="1:6" s="877" customFormat="1" ht="48">
      <c r="A70" s="881">
        <v>10</v>
      </c>
      <c r="B70" s="3266"/>
      <c r="C70" s="817" t="s">
        <v>633</v>
      </c>
      <c r="D70" s="817" t="s">
        <v>634</v>
      </c>
      <c r="E70" s="894">
        <v>0.2</v>
      </c>
      <c r="F70" s="881">
        <v>30</v>
      </c>
    </row>
    <row r="71" spans="1:6" s="877" customFormat="1" ht="48">
      <c r="A71" s="881">
        <v>11</v>
      </c>
      <c r="B71" s="3266"/>
      <c r="C71" s="817" t="s">
        <v>635</v>
      </c>
      <c r="D71" s="817" t="s">
        <v>636</v>
      </c>
      <c r="E71" s="894">
        <v>0.2</v>
      </c>
      <c r="F71" s="881">
        <v>30</v>
      </c>
    </row>
    <row r="72" spans="1:6" s="877" customFormat="1" ht="36">
      <c r="A72" s="881">
        <v>12</v>
      </c>
      <c r="B72" s="3266"/>
      <c r="C72" s="817" t="s">
        <v>637</v>
      </c>
      <c r="D72" s="817" t="s">
        <v>638</v>
      </c>
      <c r="E72" s="894">
        <v>0.5</v>
      </c>
      <c r="F72" s="881">
        <v>80</v>
      </c>
    </row>
    <row r="73" spans="1:6" s="877" customFormat="1" ht="24">
      <c r="A73" s="881">
        <v>13</v>
      </c>
      <c r="B73" s="3266"/>
      <c r="C73" s="817" t="s">
        <v>639</v>
      </c>
      <c r="D73" s="817" t="s">
        <v>640</v>
      </c>
      <c r="E73" s="894">
        <v>0.4</v>
      </c>
      <c r="F73" s="881">
        <v>60</v>
      </c>
    </row>
    <row r="74" spans="1:6" s="877" customFormat="1" ht="24">
      <c r="A74" s="881">
        <v>14</v>
      </c>
      <c r="B74" s="3266"/>
      <c r="C74" s="817" t="s">
        <v>641</v>
      </c>
      <c r="D74" s="817" t="s">
        <v>642</v>
      </c>
      <c r="E74" s="894">
        <v>0.2</v>
      </c>
      <c r="F74" s="881">
        <v>30</v>
      </c>
    </row>
    <row r="75" spans="1:6" s="877" customFormat="1" ht="24">
      <c r="A75" s="881">
        <v>15</v>
      </c>
      <c r="B75" s="3266"/>
      <c r="C75" s="817" t="s">
        <v>643</v>
      </c>
      <c r="D75" s="817" t="s">
        <v>644</v>
      </c>
      <c r="E75" s="894">
        <v>0.2</v>
      </c>
      <c r="F75" s="881">
        <v>30</v>
      </c>
    </row>
    <row r="76" spans="1:6" s="877" customFormat="1" ht="24">
      <c r="A76" s="881">
        <v>16</v>
      </c>
      <c r="B76" s="3266" t="s">
        <v>645</v>
      </c>
      <c r="C76" s="817" t="s">
        <v>646</v>
      </c>
      <c r="D76" s="817" t="s">
        <v>647</v>
      </c>
      <c r="E76" s="894">
        <v>0.5</v>
      </c>
      <c r="F76" s="881">
        <v>80</v>
      </c>
    </row>
    <row r="77" spans="1:6" s="877" customFormat="1" ht="24">
      <c r="A77" s="881">
        <v>17</v>
      </c>
      <c r="B77" s="3266"/>
      <c r="C77" s="817" t="s">
        <v>648</v>
      </c>
      <c r="D77" s="817" t="s">
        <v>649</v>
      </c>
      <c r="E77" s="894">
        <v>0.5</v>
      </c>
      <c r="F77" s="881">
        <v>80</v>
      </c>
    </row>
    <row r="78" spans="1:6" s="877" customFormat="1" ht="24">
      <c r="A78" s="881">
        <v>18</v>
      </c>
      <c r="B78" s="3266"/>
      <c r="C78" s="817" t="s">
        <v>650</v>
      </c>
      <c r="D78" s="817" t="s">
        <v>651</v>
      </c>
      <c r="E78" s="894">
        <v>0.2</v>
      </c>
      <c r="F78" s="881">
        <v>30</v>
      </c>
    </row>
    <row r="79" spans="1:6" s="877" customFormat="1" ht="24">
      <c r="A79" s="881">
        <v>19</v>
      </c>
      <c r="B79" s="3266"/>
      <c r="C79" s="817" t="s">
        <v>652</v>
      </c>
      <c r="D79" s="817" t="s">
        <v>653</v>
      </c>
      <c r="E79" s="894">
        <v>0.5</v>
      </c>
      <c r="F79" s="881">
        <v>80</v>
      </c>
    </row>
    <row r="80" spans="1:6" s="877" customFormat="1" ht="36">
      <c r="A80" s="881">
        <v>20</v>
      </c>
      <c r="B80" s="3266"/>
      <c r="C80" s="817" t="s">
        <v>654</v>
      </c>
      <c r="D80" s="817" t="s">
        <v>655</v>
      </c>
      <c r="E80" s="894">
        <v>0.2</v>
      </c>
      <c r="F80" s="881">
        <v>30</v>
      </c>
    </row>
    <row r="81" spans="1:6" s="877" customFormat="1" ht="36">
      <c r="A81" s="881">
        <v>21</v>
      </c>
      <c r="B81" s="3266"/>
      <c r="C81" s="817" t="s">
        <v>656</v>
      </c>
      <c r="D81" s="817" t="s">
        <v>657</v>
      </c>
      <c r="E81" s="894">
        <v>0.2</v>
      </c>
      <c r="F81" s="881">
        <v>30</v>
      </c>
    </row>
    <row r="82" spans="1:6" s="877" customFormat="1" ht="48">
      <c r="A82" s="881">
        <v>22</v>
      </c>
      <c r="B82" s="3266"/>
      <c r="C82" s="817" t="s">
        <v>658</v>
      </c>
      <c r="D82" s="817" t="s">
        <v>659</v>
      </c>
      <c r="E82" s="894">
        <v>0.2</v>
      </c>
      <c r="F82" s="881">
        <v>30</v>
      </c>
    </row>
    <row r="83" spans="1:6" s="877" customFormat="1" ht="48">
      <c r="A83" s="881">
        <v>23</v>
      </c>
      <c r="B83" s="3266"/>
      <c r="C83" s="817" t="s">
        <v>660</v>
      </c>
      <c r="D83" s="817" t="s">
        <v>661</v>
      </c>
      <c r="E83" s="894">
        <v>0.2</v>
      </c>
      <c r="F83" s="881">
        <v>30</v>
      </c>
    </row>
    <row r="84" spans="1:6" s="877" customFormat="1" ht="36">
      <c r="A84" s="881">
        <v>24</v>
      </c>
      <c r="B84" s="3266"/>
      <c r="C84" s="817" t="s">
        <v>662</v>
      </c>
      <c r="D84" s="817" t="s">
        <v>663</v>
      </c>
      <c r="E84" s="894">
        <v>0.2</v>
      </c>
      <c r="F84" s="881">
        <v>30</v>
      </c>
    </row>
    <row r="85" spans="1:6" s="877" customFormat="1" ht="36">
      <c r="A85" s="881">
        <v>25</v>
      </c>
      <c r="B85" s="3266"/>
      <c r="C85" s="817" t="s">
        <v>664</v>
      </c>
      <c r="D85" s="817" t="s">
        <v>665</v>
      </c>
      <c r="E85" s="894">
        <v>0.5</v>
      </c>
      <c r="F85" s="881">
        <v>80</v>
      </c>
    </row>
    <row r="86" spans="1:6" s="877" customFormat="1" ht="36">
      <c r="A86" s="881">
        <v>26</v>
      </c>
      <c r="B86" s="3266"/>
      <c r="C86" s="817" t="s">
        <v>666</v>
      </c>
      <c r="D86" s="817" t="s">
        <v>667</v>
      </c>
      <c r="E86" s="894">
        <v>0.2</v>
      </c>
      <c r="F86" s="881">
        <v>30</v>
      </c>
    </row>
    <row r="87" spans="1:6" s="877" customFormat="1" ht="36">
      <c r="A87" s="881">
        <v>27</v>
      </c>
      <c r="B87" s="3266"/>
      <c r="C87" s="817" t="s">
        <v>668</v>
      </c>
      <c r="D87" s="817" t="s">
        <v>669</v>
      </c>
      <c r="E87" s="894">
        <v>0.2</v>
      </c>
      <c r="F87" s="881">
        <v>30</v>
      </c>
    </row>
    <row r="88" spans="1:6" s="877" customFormat="1" ht="36">
      <c r="A88" s="881">
        <v>28</v>
      </c>
      <c r="B88" s="3266"/>
      <c r="C88" s="817" t="s">
        <v>670</v>
      </c>
      <c r="D88" s="817" t="s">
        <v>671</v>
      </c>
      <c r="E88" s="894">
        <v>0.2</v>
      </c>
      <c r="F88" s="881">
        <v>30</v>
      </c>
    </row>
    <row r="89" spans="1:6" s="877" customFormat="1" ht="24">
      <c r="A89" s="881">
        <v>29</v>
      </c>
      <c r="B89" s="3266"/>
      <c r="C89" s="817" t="s">
        <v>672</v>
      </c>
      <c r="D89" s="817" t="s">
        <v>673</v>
      </c>
      <c r="E89" s="894">
        <v>0.2</v>
      </c>
      <c r="F89" s="881">
        <v>30</v>
      </c>
    </row>
    <row r="90" spans="1:6" s="877" customFormat="1" ht="24">
      <c r="A90" s="881">
        <v>30</v>
      </c>
      <c r="B90" s="3266"/>
      <c r="C90" s="817" t="s">
        <v>674</v>
      </c>
      <c r="D90" s="817" t="s">
        <v>675</v>
      </c>
      <c r="E90" s="894">
        <v>0.2</v>
      </c>
      <c r="F90" s="881">
        <v>30</v>
      </c>
    </row>
    <row r="91" spans="1:6" s="877" customFormat="1" ht="36">
      <c r="A91" s="881">
        <v>31</v>
      </c>
      <c r="B91" s="3266"/>
      <c r="C91" s="817" t="s">
        <v>676</v>
      </c>
      <c r="D91" s="817" t="s">
        <v>677</v>
      </c>
      <c r="E91" s="894">
        <v>0.2</v>
      </c>
      <c r="F91" s="881">
        <v>30</v>
      </c>
    </row>
    <row r="92" spans="1:6" s="877" customFormat="1" ht="24">
      <c r="A92" s="881">
        <v>32</v>
      </c>
      <c r="B92" s="3266" t="s">
        <v>678</v>
      </c>
      <c r="C92" s="881" t="s">
        <v>679</v>
      </c>
      <c r="D92" s="817" t="s">
        <v>680</v>
      </c>
      <c r="E92" s="894">
        <v>0.2</v>
      </c>
      <c r="F92" s="881">
        <v>30</v>
      </c>
    </row>
    <row r="93" spans="1:6" s="877" customFormat="1" ht="36">
      <c r="A93" s="881">
        <v>33</v>
      </c>
      <c r="B93" s="3266"/>
      <c r="C93" s="881" t="s">
        <v>681</v>
      </c>
      <c r="D93" s="817" t="s">
        <v>682</v>
      </c>
      <c r="E93" s="894">
        <v>0.2</v>
      </c>
      <c r="F93" s="881">
        <v>30</v>
      </c>
    </row>
    <row r="94" spans="1:6" s="877" customFormat="1" ht="48">
      <c r="A94" s="881">
        <v>34</v>
      </c>
      <c r="B94" s="3266"/>
      <c r="C94" s="881" t="s">
        <v>683</v>
      </c>
      <c r="D94" s="817" t="s">
        <v>684</v>
      </c>
      <c r="E94" s="894">
        <v>0.2</v>
      </c>
      <c r="F94" s="881">
        <v>30</v>
      </c>
    </row>
    <row r="95" spans="1:6" s="877" customFormat="1" ht="36">
      <c r="A95" s="881">
        <v>35</v>
      </c>
      <c r="B95" s="3266"/>
      <c r="C95" s="881" t="s">
        <v>685</v>
      </c>
      <c r="D95" s="817" t="s">
        <v>686</v>
      </c>
      <c r="E95" s="894">
        <v>0.2</v>
      </c>
      <c r="F95" s="881">
        <v>30</v>
      </c>
    </row>
    <row r="96" spans="1:6" s="877" customFormat="1" ht="48">
      <c r="A96" s="881">
        <v>36</v>
      </c>
      <c r="B96" s="3266"/>
      <c r="C96" s="817" t="s">
        <v>687</v>
      </c>
      <c r="D96" s="817" t="s">
        <v>688</v>
      </c>
      <c r="E96" s="894">
        <v>0.2</v>
      </c>
      <c r="F96" s="881">
        <v>30</v>
      </c>
    </row>
    <row r="97" spans="1:6" s="877" customFormat="1" ht="36">
      <c r="A97" s="881">
        <v>37</v>
      </c>
      <c r="B97" s="3266"/>
      <c r="C97" s="881" t="s">
        <v>689</v>
      </c>
      <c r="D97" s="817" t="s">
        <v>690</v>
      </c>
      <c r="E97" s="894">
        <v>0.2</v>
      </c>
      <c r="F97" s="881">
        <v>30</v>
      </c>
    </row>
    <row r="98" spans="1:6" s="877" customFormat="1" ht="36">
      <c r="A98" s="881">
        <v>38</v>
      </c>
      <c r="B98" s="3266"/>
      <c r="C98" s="881" t="s">
        <v>691</v>
      </c>
      <c r="D98" s="817" t="s">
        <v>692</v>
      </c>
      <c r="E98" s="894">
        <v>0.2</v>
      </c>
      <c r="F98" s="881">
        <v>30</v>
      </c>
    </row>
    <row r="99" spans="1:6" s="877" customFormat="1" ht="36">
      <c r="A99" s="881">
        <v>39</v>
      </c>
      <c r="B99" s="3266" t="s">
        <v>693</v>
      </c>
      <c r="C99" s="881" t="s">
        <v>694</v>
      </c>
      <c r="D99" s="817" t="s">
        <v>695</v>
      </c>
      <c r="E99" s="894">
        <v>0.3</v>
      </c>
      <c r="F99" s="881">
        <v>50</v>
      </c>
    </row>
    <row r="100" spans="1:6" s="877" customFormat="1" ht="24">
      <c r="A100" s="881">
        <v>40</v>
      </c>
      <c r="B100" s="3266"/>
      <c r="C100" s="881" t="s">
        <v>696</v>
      </c>
      <c r="D100" s="817" t="s">
        <v>697</v>
      </c>
      <c r="E100" s="894">
        <v>0.2</v>
      </c>
      <c r="F100" s="881">
        <v>30</v>
      </c>
    </row>
    <row r="101" spans="1:6" s="877" customFormat="1" ht="36">
      <c r="A101" s="881">
        <v>41</v>
      </c>
      <c r="B101" s="326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6" t="s">
        <v>708</v>
      </c>
      <c r="C105" s="881" t="s">
        <v>709</v>
      </c>
      <c r="D105" s="817" t="s">
        <v>710</v>
      </c>
      <c r="E105" s="894">
        <v>0.2</v>
      </c>
      <c r="F105" s="881">
        <v>30</v>
      </c>
    </row>
    <row r="106" spans="1:6" s="877" customFormat="1" ht="36">
      <c r="A106" s="881">
        <v>46</v>
      </c>
      <c r="B106" s="3266"/>
      <c r="C106" s="881" t="s">
        <v>711</v>
      </c>
      <c r="D106" s="817" t="s">
        <v>712</v>
      </c>
      <c r="E106" s="894">
        <v>0.2</v>
      </c>
      <c r="F106" s="881">
        <v>30</v>
      </c>
    </row>
    <row r="107" spans="1:6" s="877" customFormat="1" ht="36">
      <c r="A107" s="881">
        <v>47</v>
      </c>
      <c r="B107" s="3266" t="s">
        <v>713</v>
      </c>
      <c r="C107" s="881" t="s">
        <v>714</v>
      </c>
      <c r="D107" s="817" t="s">
        <v>715</v>
      </c>
      <c r="E107" s="894">
        <v>0.3</v>
      </c>
      <c r="F107" s="881">
        <v>50</v>
      </c>
    </row>
    <row r="108" spans="1:6" s="877" customFormat="1" ht="36">
      <c r="A108" s="881">
        <v>48</v>
      </c>
      <c r="B108" s="326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6" t="s">
        <v>724</v>
      </c>
      <c r="C111" s="881" t="s">
        <v>725</v>
      </c>
      <c r="D111" s="817" t="s">
        <v>726</v>
      </c>
      <c r="E111" s="894">
        <v>0.2</v>
      </c>
      <c r="F111" s="881">
        <v>30</v>
      </c>
    </row>
    <row r="112" spans="1:6" s="877" customFormat="1" ht="24">
      <c r="A112" s="881">
        <v>52</v>
      </c>
      <c r="B112" s="3266"/>
      <c r="C112" s="881" t="s">
        <v>727</v>
      </c>
      <c r="D112" s="817" t="s">
        <v>728</v>
      </c>
      <c r="E112" s="894">
        <v>0.2</v>
      </c>
      <c r="F112" s="881">
        <v>30</v>
      </c>
    </row>
    <row r="113" spans="1:6" s="877" customFormat="1" ht="24">
      <c r="A113" s="881">
        <v>53</v>
      </c>
      <c r="B113" s="326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6" t="s">
        <v>737</v>
      </c>
      <c r="C116" s="881" t="s">
        <v>738</v>
      </c>
      <c r="D116" s="817" t="s">
        <v>739</v>
      </c>
      <c r="E116" s="894">
        <v>0.2</v>
      </c>
      <c r="F116" s="881">
        <v>30</v>
      </c>
    </row>
    <row r="117" spans="1:6" ht="36">
      <c r="A117" s="881">
        <v>57</v>
      </c>
      <c r="B117" s="326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SUMPRODUCT((A105:A204=ROUNDDOWN('基准地价修正-居住'!G3,1))*(B104:M104='基准地价修正-居住'!G2)*(B105:M204))</f>
        <v>0.89119999999999999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2983</v>
      </c>
    </row>
    <row r="2" spans="1:5" ht="15.75">
      <c r="A2" s="2909" t="s">
        <v>2975</v>
      </c>
      <c r="B2" s="2910">
        <f ca="1">SUMIF(B6:B13,"&lt;&gt;#ref!",B6:B13)</f>
        <v>0</v>
      </c>
      <c r="C2" s="2909" t="s">
        <v>2976</v>
      </c>
      <c r="D2" s="2909" t="s">
        <v>2977</v>
      </c>
      <c r="E2" s="2910" t="e">
        <f ca="1">SUM(E6:E13)</f>
        <v>#REF!</v>
      </c>
    </row>
    <row r="3" spans="1:5" ht="15.75">
      <c r="A3" s="2909" t="s">
        <v>2978</v>
      </c>
      <c r="B3" s="2910" t="e">
        <f ca="1">ROUND(B2*10000/E2,0)</f>
        <v>#REF!</v>
      </c>
      <c r="C3" s="2909" t="s">
        <v>2984</v>
      </c>
      <c r="D3" s="2911"/>
      <c r="E3" s="2911"/>
    </row>
    <row r="4" spans="1:5" ht="15.75">
      <c r="A4" s="2912"/>
      <c r="B4" s="2911"/>
      <c r="C4" s="2911"/>
      <c r="D4" s="2911"/>
      <c r="E4" s="2911"/>
    </row>
    <row r="5" spans="1:5" ht="28.5">
      <c r="A5" s="2913" t="s">
        <v>2979</v>
      </c>
      <c r="B5" s="2909" t="s">
        <v>2980</v>
      </c>
      <c r="C5" s="2910"/>
      <c r="D5" s="2911"/>
      <c r="E5" s="2909" t="s">
        <v>2981</v>
      </c>
    </row>
    <row r="6" spans="1:5" ht="15.75">
      <c r="A6" s="2914" t="s">
        <v>2982</v>
      </c>
      <c r="B6" s="2910" t="e">
        <f ca="1">SUMIF(INDIRECT("'"&amp;A6&amp;"'"&amp;"!A:A"),"总价",INDIRECT("'"&amp;A6&amp;"'"&amp;"!B:B"))</f>
        <v>#REF!</v>
      </c>
      <c r="C6" s="2909" t="s">
        <v>2976</v>
      </c>
      <c r="D6" s="2911"/>
      <c r="E6" s="2575" t="e">
        <f ca="1">SUMIF(INDIRECT("'"&amp;A6&amp;"'"&amp;"!C:C"),"建筑面积",INDIRECT("'"&amp;A6&amp;"'"&amp;"!D:D"))</f>
        <v>#REF!</v>
      </c>
    </row>
    <row r="7" spans="1:5" ht="15.75">
      <c r="A7" s="2914"/>
      <c r="B7" s="2910" t="e">
        <f ca="1">SUMIF(INDIRECT("'"&amp;A7&amp;"'"&amp;"!A:A"),"总价",INDIRECT("'"&amp;A7&amp;"'"&amp;"!B:B"))</f>
        <v>#REF!</v>
      </c>
      <c r="C7" s="2909" t="s">
        <v>2976</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2976</v>
      </c>
      <c r="D8" s="2911"/>
      <c r="E8" s="2575" t="e">
        <f t="shared" ca="1" si="0"/>
        <v>#REF!</v>
      </c>
    </row>
    <row r="9" spans="1:5" ht="15.75">
      <c r="A9" s="2914"/>
      <c r="B9" s="2910" t="e">
        <f t="shared" ca="1" si="1"/>
        <v>#REF!</v>
      </c>
      <c r="C9" s="2909" t="s">
        <v>2976</v>
      </c>
      <c r="D9" s="2911"/>
      <c r="E9" s="2575" t="e">
        <f t="shared" ca="1" si="0"/>
        <v>#REF!</v>
      </c>
    </row>
    <row r="10" spans="1:5" ht="15.75">
      <c r="A10" s="2914"/>
      <c r="B10" s="2910" t="e">
        <f t="shared" ca="1" si="1"/>
        <v>#REF!</v>
      </c>
      <c r="C10" s="2909" t="s">
        <v>2976</v>
      </c>
      <c r="D10" s="2911"/>
      <c r="E10" s="2575" t="e">
        <f t="shared" ca="1" si="0"/>
        <v>#REF!</v>
      </c>
    </row>
    <row r="11" spans="1:5" ht="15.75">
      <c r="A11" s="2914"/>
      <c r="B11" s="2910" t="e">
        <f t="shared" ca="1" si="1"/>
        <v>#REF!</v>
      </c>
      <c r="C11" s="2909" t="s">
        <v>2976</v>
      </c>
      <c r="D11" s="2911"/>
      <c r="E11" s="2575" t="e">
        <f t="shared" ca="1" si="0"/>
        <v>#REF!</v>
      </c>
    </row>
    <row r="12" spans="1:5" ht="15.75">
      <c r="A12" s="2914"/>
      <c r="B12" s="2910" t="e">
        <f t="shared" ca="1" si="1"/>
        <v>#REF!</v>
      </c>
      <c r="C12" s="2909" t="s">
        <v>2976</v>
      </c>
      <c r="D12" s="2911"/>
      <c r="E12" s="2575" t="e">
        <f t="shared" ca="1" si="0"/>
        <v>#REF!</v>
      </c>
    </row>
    <row r="13" spans="1:5" ht="15.75">
      <c r="A13" s="2914"/>
      <c r="B13" s="2910" t="e">
        <f t="shared" ca="1" si="1"/>
        <v>#REF!</v>
      </c>
      <c r="C13" s="2909" t="s">
        <v>2976</v>
      </c>
      <c r="D13" s="2911"/>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2" t="s">
        <v>1146</v>
      </c>
      <c r="C1" s="3272"/>
      <c r="D1" s="3272"/>
      <c r="E1" s="3272"/>
      <c r="F1" s="3272"/>
      <c r="G1" s="3268" t="s">
        <v>1147</v>
      </c>
      <c r="H1" s="3268"/>
      <c r="I1" s="3268"/>
      <c r="J1" s="3268"/>
      <c r="K1" s="3268"/>
      <c r="L1" s="3268"/>
      <c r="N1" s="3268" t="s">
        <v>1148</v>
      </c>
      <c r="O1" s="3268"/>
      <c r="P1" s="3268"/>
      <c r="Q1" s="3268"/>
      <c r="R1" s="1448"/>
      <c r="S1" s="3268" t="s">
        <v>1149</v>
      </c>
      <c r="T1" s="3268"/>
      <c r="U1" s="3268"/>
      <c r="V1" s="3268"/>
      <c r="X1" s="3267" t="s">
        <v>1150</v>
      </c>
      <c r="Y1" s="3268"/>
      <c r="Z1" s="3268"/>
      <c r="AA1" s="3268"/>
      <c r="AB1" s="3268"/>
      <c r="AD1" s="3267" t="s">
        <v>1151</v>
      </c>
      <c r="AE1" s="3268"/>
      <c r="AF1" s="3268"/>
      <c r="AG1" s="3268"/>
      <c r="AH1" s="3268"/>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3022</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3021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5">
        <v>2018</v>
      </c>
      <c r="H5" s="1731">
        <v>1</v>
      </c>
      <c r="I5" s="2923">
        <v>0</v>
      </c>
      <c r="J5" s="2923">
        <v>0</v>
      </c>
      <c r="K5" s="2923">
        <v>0</v>
      </c>
      <c r="L5" s="2923">
        <v>0</v>
      </c>
      <c r="N5" s="1469">
        <f t="shared" ref="N5:N10" si="7">I5/100</f>
        <v>0</v>
      </c>
      <c r="O5" s="1469">
        <f t="shared" ref="O5" si="8">J5/100</f>
        <v>0</v>
      </c>
      <c r="P5" s="1469">
        <f t="shared" ref="P5" si="9">K5/100</f>
        <v>0</v>
      </c>
      <c r="Q5" s="1469">
        <f t="shared" ref="Q5" si="10">L5/100</f>
        <v>0</v>
      </c>
      <c r="R5" s="1733"/>
      <c r="S5" s="1734"/>
      <c r="T5" s="1733"/>
      <c r="U5" s="1733"/>
      <c r="V5" s="1733"/>
      <c r="W5" s="2927" t="s">
        <v>3023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3018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5">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3019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1"/>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3" t="s">
        <v>1382</v>
      </c>
      <c r="B8" s="1479">
        <f t="shared" si="21"/>
        <v>419.31181600000002</v>
      </c>
      <c r="C8" s="1479">
        <f t="shared" si="22"/>
        <v>313.95436800000004</v>
      </c>
      <c r="D8" s="1479">
        <f t="shared" si="23"/>
        <v>313.95436800000004</v>
      </c>
      <c r="E8" s="1479">
        <f t="shared" si="24"/>
        <v>596.63028431999999</v>
      </c>
      <c r="F8" s="1479">
        <f t="shared" si="25"/>
        <v>274.74220703999998</v>
      </c>
      <c r="G8" s="2920"/>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5"/>
      <c r="AD8" s="1790">
        <f>ROUND(AVERAGE(I8:I$21)/100,4)</f>
        <v>2.46E-2</v>
      </c>
      <c r="AE8" s="1790">
        <f>ROUND(AVERAGE(J8:J$21)/100,4)</f>
        <v>1.6E-2</v>
      </c>
      <c r="AF8" s="1790">
        <f t="shared" si="1"/>
        <v>1.6E-2</v>
      </c>
      <c r="AG8" s="1790">
        <f>ROUND(AVERAGE(K8:K$21)/100,4)</f>
        <v>2.75E-2</v>
      </c>
      <c r="AH8" s="1790">
        <f>ROUND(AVERAGE(L8:L$21)/100,4)</f>
        <v>1.37E-2</v>
      </c>
    </row>
    <row r="9" spans="1:34" s="1468" customFormat="1" ht="13.5" thickBot="1">
      <c r="A9" s="1463" t="s">
        <v>1157</v>
      </c>
      <c r="B9" s="1479">
        <f>B10*(1+N9)</f>
        <v>405.524</v>
      </c>
      <c r="C9" s="1479">
        <f>C10*(1+O9)</f>
        <v>307.79840000000002</v>
      </c>
      <c r="D9" s="1479">
        <f>C9</f>
        <v>307.79840000000002</v>
      </c>
      <c r="E9" s="1479">
        <f>E10*(1+P9)</f>
        <v>574.67759999999998</v>
      </c>
      <c r="F9" s="1479">
        <f>F10*(1+Q9)</f>
        <v>270.20280000000002</v>
      </c>
      <c r="G9" s="2921"/>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3" t="s">
        <v>154</v>
      </c>
      <c r="B10" s="1471">
        <v>392</v>
      </c>
      <c r="C10" s="1471">
        <v>302</v>
      </c>
      <c r="D10" s="1471">
        <f>C10</f>
        <v>302</v>
      </c>
      <c r="E10" s="1471">
        <v>553</v>
      </c>
      <c r="F10" s="1472">
        <v>266</v>
      </c>
      <c r="G10" s="3273">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0"/>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0"/>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1"/>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69">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0"/>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0"/>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1"/>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69">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0"/>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0"/>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1"/>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1158</v>
      </c>
      <c r="X21" s="1507">
        <v>1</v>
      </c>
      <c r="Y21" s="1507">
        <v>1</v>
      </c>
      <c r="Z21" s="1507">
        <v>1</v>
      </c>
      <c r="AA21" s="1507">
        <v>1</v>
      </c>
      <c r="AB21" s="1507">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3" t="s">
        <v>1159</v>
      </c>
      <c r="B22" s="1471">
        <v>299</v>
      </c>
      <c r="C22" s="1471">
        <v>252</v>
      </c>
      <c r="D22" s="1471">
        <f t="shared" si="35"/>
        <v>252</v>
      </c>
      <c r="E22" s="1471">
        <v>409</v>
      </c>
      <c r="F22" s="1472">
        <v>227</v>
      </c>
      <c r="G22" s="3274">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1160</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5"/>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1161</v>
      </c>
      <c r="B24" s="1479">
        <f t="shared" si="44"/>
        <v>288.2649053828776</v>
      </c>
      <c r="C24" s="1479">
        <f t="shared" si="44"/>
        <v>243.64564425013293</v>
      </c>
      <c r="D24" s="1479">
        <f t="shared" si="35"/>
        <v>243.64564425013293</v>
      </c>
      <c r="E24" s="1479">
        <f t="shared" si="45"/>
        <v>393.31080825986544</v>
      </c>
      <c r="F24" s="1479">
        <f t="shared" si="45"/>
        <v>223.07903790551154</v>
      </c>
      <c r="G24" s="3275"/>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1162</v>
      </c>
      <c r="B25" s="1479">
        <f t="shared" si="44"/>
        <v>282.50186729015837</v>
      </c>
      <c r="C25" s="1479">
        <f t="shared" si="44"/>
        <v>238.09796174155468</v>
      </c>
      <c r="D25" s="1479">
        <f t="shared" si="35"/>
        <v>238.09796174155468</v>
      </c>
      <c r="E25" s="1479">
        <f t="shared" si="45"/>
        <v>385.33438646014054</v>
      </c>
      <c r="F25" s="1479">
        <f t="shared" si="45"/>
        <v>221.55034055567739</v>
      </c>
      <c r="G25" s="3276"/>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1163</v>
      </c>
      <c r="B26" s="1513">
        <v>278</v>
      </c>
      <c r="C26" s="1513">
        <v>234</v>
      </c>
      <c r="D26" s="1513">
        <f t="shared" si="35"/>
        <v>234</v>
      </c>
      <c r="E26" s="1513">
        <v>379</v>
      </c>
      <c r="F26" s="1514">
        <v>220</v>
      </c>
      <c r="G26" s="3269">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1164</v>
      </c>
      <c r="B27" s="1479">
        <f>B26/(1+N26)</f>
        <v>275.49301357645425</v>
      </c>
      <c r="C27" s="1479">
        <f>C26/(1+O26)</f>
        <v>232.41954707985698</v>
      </c>
      <c r="D27" s="1479">
        <f t="shared" si="35"/>
        <v>232.41954707985698</v>
      </c>
      <c r="E27" s="1479">
        <f t="shared" ref="E27:F29" si="46">E26/(1+P26)</f>
        <v>375.32184591008121</v>
      </c>
      <c r="F27" s="1479">
        <f t="shared" si="46"/>
        <v>218.03766105054513</v>
      </c>
      <c r="G27" s="3270"/>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1165</v>
      </c>
      <c r="B28" s="1479">
        <f>B27/(1+N27)</f>
        <v>275.24529281292263</v>
      </c>
      <c r="C28" s="1479">
        <f>C27/(1+O27)</f>
        <v>231.74747938962707</v>
      </c>
      <c r="D28" s="1479">
        <f t="shared" si="35"/>
        <v>231.74747938962707</v>
      </c>
      <c r="E28" s="1479">
        <f t="shared" si="46"/>
        <v>375.35938184826603</v>
      </c>
      <c r="F28" s="1479">
        <f t="shared" si="46"/>
        <v>216.78033510692495</v>
      </c>
      <c r="G28" s="3270"/>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1166</v>
      </c>
      <c r="B29" s="1479">
        <f>B28/(1+N28)</f>
        <v>275.19025476197027</v>
      </c>
      <c r="C29" s="1515">
        <v>232</v>
      </c>
      <c r="D29" s="1515">
        <f t="shared" si="35"/>
        <v>232</v>
      </c>
      <c r="E29" s="1479">
        <f t="shared" si="46"/>
        <v>375.65990977608692</v>
      </c>
      <c r="F29" s="1479">
        <f t="shared" si="46"/>
        <v>214.12518283971252</v>
      </c>
      <c r="G29" s="3271"/>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1167</v>
      </c>
      <c r="B30" s="1471">
        <v>275</v>
      </c>
      <c r="C30" s="1471">
        <v>232</v>
      </c>
      <c r="D30" s="1471">
        <f t="shared" si="35"/>
        <v>232</v>
      </c>
      <c r="E30" s="1471">
        <v>376</v>
      </c>
      <c r="F30" s="1472">
        <v>213</v>
      </c>
      <c r="G30" s="3269">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1168</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0">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1169</v>
      </c>
      <c r="B32" s="1479">
        <f t="shared" si="47"/>
        <v>275.19335084830601</v>
      </c>
      <c r="C32" s="1479">
        <f t="shared" si="47"/>
        <v>230.18088050139744</v>
      </c>
      <c r="D32" s="1479">
        <f t="shared" si="35"/>
        <v>230.18088050139744</v>
      </c>
      <c r="E32" s="1479">
        <f t="shared" si="48"/>
        <v>377.58482925212331</v>
      </c>
      <c r="F32" s="1479">
        <f t="shared" si="48"/>
        <v>210.90687997847917</v>
      </c>
      <c r="G32" s="3270">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1170</v>
      </c>
      <c r="B33" s="1479">
        <f t="shared" si="47"/>
        <v>276.29854502841971</v>
      </c>
      <c r="C33" s="1479">
        <f t="shared" si="47"/>
        <v>229.79023709833027</v>
      </c>
      <c r="D33" s="1479">
        <f t="shared" si="35"/>
        <v>229.79023709833027</v>
      </c>
      <c r="E33" s="1479">
        <f t="shared" si="48"/>
        <v>379.78759731655936</v>
      </c>
      <c r="F33" s="1479">
        <f t="shared" si="48"/>
        <v>211.32953905659235</v>
      </c>
      <c r="G33" s="3271">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1171</v>
      </c>
      <c r="B34" s="1471">
        <v>269</v>
      </c>
      <c r="C34" s="1471">
        <v>221</v>
      </c>
      <c r="D34" s="1471">
        <f t="shared" si="35"/>
        <v>221</v>
      </c>
      <c r="E34" s="1471">
        <v>373</v>
      </c>
      <c r="F34" s="1472">
        <v>196</v>
      </c>
      <c r="G34" s="3269">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1172</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0">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1173</v>
      </c>
      <c r="B36" s="1479">
        <f t="shared" si="49"/>
        <v>242.95398227588385</v>
      </c>
      <c r="C36" s="1479">
        <f t="shared" si="49"/>
        <v>199.59137053614126</v>
      </c>
      <c r="D36" s="1479">
        <f t="shared" si="35"/>
        <v>199.59137053614126</v>
      </c>
      <c r="E36" s="1479">
        <f t="shared" si="50"/>
        <v>335.92189522342125</v>
      </c>
      <c r="F36" s="1479">
        <f t="shared" si="50"/>
        <v>183.10139991109489</v>
      </c>
      <c r="G36" s="3270">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1174</v>
      </c>
      <c r="B37" s="1479">
        <f t="shared" si="49"/>
        <v>232.06990378821649</v>
      </c>
      <c r="C37" s="1479">
        <f t="shared" si="49"/>
        <v>192.74878854286936</v>
      </c>
      <c r="D37" s="1479">
        <f t="shared" si="35"/>
        <v>192.74878854286936</v>
      </c>
      <c r="E37" s="1479">
        <f t="shared" si="50"/>
        <v>319.71247284992984</v>
      </c>
      <c r="F37" s="1479">
        <f t="shared" si="50"/>
        <v>175.67053622862409</v>
      </c>
      <c r="G37" s="3271">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1175</v>
      </c>
      <c r="B38" s="1471">
        <v>220</v>
      </c>
      <c r="C38" s="1471">
        <v>187</v>
      </c>
      <c r="D38" s="1471">
        <f t="shared" si="35"/>
        <v>187</v>
      </c>
      <c r="E38" s="1471">
        <v>301</v>
      </c>
      <c r="F38" s="1472">
        <v>168</v>
      </c>
      <c r="G38" s="3269">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1176</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0">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1177</v>
      </c>
      <c r="B40" s="1479">
        <f t="shared" si="51"/>
        <v>210.630522469011</v>
      </c>
      <c r="C40" s="1479">
        <f t="shared" si="51"/>
        <v>181.69567812247232</v>
      </c>
      <c r="D40" s="1479">
        <f t="shared" si="35"/>
        <v>181.69567812247232</v>
      </c>
      <c r="E40" s="1479">
        <f t="shared" si="52"/>
        <v>286.13517466736738</v>
      </c>
      <c r="F40" s="1479">
        <f t="shared" si="52"/>
        <v>165.47535084591149</v>
      </c>
      <c r="G40" s="3270">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1178</v>
      </c>
      <c r="B41" s="1479">
        <f t="shared" si="51"/>
        <v>208.83454537875372</v>
      </c>
      <c r="C41" s="1479">
        <f t="shared" si="51"/>
        <v>183.77230517090351</v>
      </c>
      <c r="D41" s="1479">
        <f t="shared" si="35"/>
        <v>183.77230517090351</v>
      </c>
      <c r="E41" s="1479">
        <f t="shared" si="52"/>
        <v>281.10342338870947</v>
      </c>
      <c r="F41" s="1479">
        <f t="shared" si="52"/>
        <v>168.97309388942256</v>
      </c>
      <c r="G41" s="3271">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1179</v>
      </c>
      <c r="B42" s="1513">
        <v>214</v>
      </c>
      <c r="C42" s="1513">
        <v>188</v>
      </c>
      <c r="D42" s="1513">
        <f t="shared" si="35"/>
        <v>188</v>
      </c>
      <c r="E42" s="1513">
        <v>289</v>
      </c>
      <c r="F42" s="1514">
        <v>166</v>
      </c>
      <c r="G42" s="3269">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1180</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0">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1181</v>
      </c>
      <c r="B44" s="1479">
        <f t="shared" si="53"/>
        <v>206.31694671589116</v>
      </c>
      <c r="C44" s="1479">
        <f t="shared" si="53"/>
        <v>183.61041121036101</v>
      </c>
      <c r="D44" s="1479">
        <f t="shared" si="35"/>
        <v>183.61041121036101</v>
      </c>
      <c r="E44" s="1479">
        <f t="shared" si="54"/>
        <v>276.66850301795557</v>
      </c>
      <c r="F44" s="1479">
        <f t="shared" si="54"/>
        <v>165.1360938278614</v>
      </c>
      <c r="G44" s="3270">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1182</v>
      </c>
      <c r="B45" s="1516">
        <f t="shared" si="53"/>
        <v>196.62341248059772</v>
      </c>
      <c r="C45" s="1516">
        <f t="shared" si="53"/>
        <v>170.99125648199012</v>
      </c>
      <c r="D45" s="1516">
        <f t="shared" si="35"/>
        <v>170.99125648199012</v>
      </c>
      <c r="E45" s="1516">
        <f t="shared" si="54"/>
        <v>266.07857570490052</v>
      </c>
      <c r="F45" s="1516">
        <f t="shared" si="54"/>
        <v>154.53499328828505</v>
      </c>
      <c r="G45" s="3271">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1183</v>
      </c>
      <c r="B46" s="1471">
        <v>188</v>
      </c>
      <c r="C46" s="1471">
        <v>165</v>
      </c>
      <c r="D46" s="1471">
        <f t="shared" si="35"/>
        <v>165</v>
      </c>
      <c r="E46" s="1471">
        <v>254</v>
      </c>
      <c r="F46" s="1472">
        <v>148</v>
      </c>
      <c r="G46" s="3269">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1184</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0">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1185</v>
      </c>
      <c r="B48" s="1479">
        <f t="shared" si="57"/>
        <v>168.82017748715555</v>
      </c>
      <c r="C48" s="1479">
        <f t="shared" si="57"/>
        <v>148.06267029972753</v>
      </c>
      <c r="D48" s="1479">
        <f t="shared" si="35"/>
        <v>148.06267029972753</v>
      </c>
      <c r="E48" s="1479">
        <f t="shared" si="58"/>
        <v>216.46288379323747</v>
      </c>
      <c r="F48" s="1479">
        <f t="shared" si="58"/>
        <v>134.23529411764704</v>
      </c>
      <c r="G48" s="3270">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1186</v>
      </c>
      <c r="B49" s="1479">
        <f t="shared" si="57"/>
        <v>163.84913591779542</v>
      </c>
      <c r="C49" s="1479">
        <f t="shared" si="57"/>
        <v>145.0283378746594</v>
      </c>
      <c r="D49" s="1479">
        <f t="shared" si="35"/>
        <v>145.0283378746594</v>
      </c>
      <c r="E49" s="1479">
        <f t="shared" si="58"/>
        <v>204.95180722891567</v>
      </c>
      <c r="F49" s="1479">
        <f t="shared" si="58"/>
        <v>125.95920303605313</v>
      </c>
      <c r="G49" s="3271">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1187</v>
      </c>
      <c r="B50" s="1492">
        <v>159</v>
      </c>
      <c r="C50" s="1492">
        <v>141</v>
      </c>
      <c r="D50" s="1492">
        <f t="shared" si="35"/>
        <v>141</v>
      </c>
      <c r="E50" s="1492">
        <v>195</v>
      </c>
      <c r="F50" s="1493">
        <v>122</v>
      </c>
      <c r="G50" s="3269">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1188</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0">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1189</v>
      </c>
      <c r="B52" s="1479">
        <f t="shared" si="61"/>
        <v>146.57412060301507</v>
      </c>
      <c r="C52" s="1479">
        <f t="shared" si="61"/>
        <v>136.46831955922866</v>
      </c>
      <c r="D52" s="1479">
        <f t="shared" si="35"/>
        <v>136.46831955922866</v>
      </c>
      <c r="E52" s="1479">
        <f t="shared" si="62"/>
        <v>166.73864894795128</v>
      </c>
      <c r="F52" s="1479">
        <f t="shared" si="62"/>
        <v>115.05882352941177</v>
      </c>
      <c r="G52" s="3270">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1190</v>
      </c>
      <c r="B53" s="1479">
        <f t="shared" si="61"/>
        <v>144.04145728643215</v>
      </c>
      <c r="C53" s="1479">
        <f t="shared" si="61"/>
        <v>136.12396694214877</v>
      </c>
      <c r="D53" s="1479">
        <f t="shared" si="35"/>
        <v>136.12396694214877</v>
      </c>
      <c r="E53" s="1479">
        <f t="shared" si="62"/>
        <v>158.32225913621264</v>
      </c>
      <c r="F53" s="1479">
        <f t="shared" si="62"/>
        <v>114.04278074866311</v>
      </c>
      <c r="G53" s="3271">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1191</v>
      </c>
      <c r="B54" s="1492">
        <v>138</v>
      </c>
      <c r="C54" s="1492">
        <v>131</v>
      </c>
      <c r="D54" s="1492">
        <f t="shared" si="35"/>
        <v>131</v>
      </c>
      <c r="E54" s="1492">
        <v>155</v>
      </c>
      <c r="F54" s="1493">
        <v>114</v>
      </c>
      <c r="G54" s="3269">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1192</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0">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1193</v>
      </c>
      <c r="B56" s="1479">
        <f t="shared" si="65"/>
        <v>124.29032258064517</v>
      </c>
      <c r="C56" s="1479">
        <f t="shared" si="65"/>
        <v>123.8968609865471</v>
      </c>
      <c r="D56" s="1479">
        <f t="shared" si="35"/>
        <v>123.8968609865471</v>
      </c>
      <c r="E56" s="1479">
        <f t="shared" si="66"/>
        <v>138.00507614213197</v>
      </c>
      <c r="F56" s="1479">
        <f t="shared" si="66"/>
        <v>107.96106557377048</v>
      </c>
      <c r="G56" s="3270">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1194</v>
      </c>
      <c r="B57" s="1479">
        <f t="shared" si="65"/>
        <v>122.57204301075269</v>
      </c>
      <c r="C57" s="1479">
        <f t="shared" si="65"/>
        <v>123.4932735426009</v>
      </c>
      <c r="D57" s="1479">
        <f t="shared" si="35"/>
        <v>123.4932735426009</v>
      </c>
      <c r="E57" s="1479">
        <f t="shared" si="66"/>
        <v>129.82233502538071</v>
      </c>
      <c r="F57" s="1479">
        <f t="shared" si="66"/>
        <v>107.39446721311475</v>
      </c>
      <c r="G57" s="3271">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1195</v>
      </c>
      <c r="B58" s="1513">
        <v>121</v>
      </c>
      <c r="C58" s="1513">
        <v>122</v>
      </c>
      <c r="D58" s="1513">
        <f t="shared" si="35"/>
        <v>122</v>
      </c>
      <c r="E58" s="1513">
        <v>124</v>
      </c>
      <c r="F58" s="1514">
        <v>107</v>
      </c>
      <c r="G58" s="3269">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1196</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0">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1197</v>
      </c>
      <c r="B60" s="1479">
        <f t="shared" si="69"/>
        <v>116.99099099099099</v>
      </c>
      <c r="C60" s="1479">
        <f t="shared" si="69"/>
        <v>118.84848484848486</v>
      </c>
      <c r="D60" s="1479">
        <f t="shared" si="35"/>
        <v>118.84848484848486</v>
      </c>
      <c r="E60" s="1479">
        <f t="shared" si="70"/>
        <v>117.60960960960961</v>
      </c>
      <c r="F60" s="1479">
        <f t="shared" si="70"/>
        <v>104</v>
      </c>
      <c r="G60" s="3270">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1198</v>
      </c>
      <c r="B61" s="1516">
        <f t="shared" si="69"/>
        <v>112.48648648648648</v>
      </c>
      <c r="C61" s="1516">
        <f t="shared" si="69"/>
        <v>115.21212121212122</v>
      </c>
      <c r="D61" s="1516">
        <f t="shared" si="35"/>
        <v>115.21212121212122</v>
      </c>
      <c r="E61" s="1516">
        <f t="shared" si="70"/>
        <v>110.4024024024024</v>
      </c>
      <c r="F61" s="1516">
        <f t="shared" si="70"/>
        <v>104</v>
      </c>
      <c r="G61" s="3271">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1199</v>
      </c>
      <c r="B62" s="1534">
        <v>111</v>
      </c>
      <c r="C62" s="1534">
        <v>114</v>
      </c>
      <c r="D62" s="1534">
        <f t="shared" si="35"/>
        <v>114</v>
      </c>
      <c r="E62" s="1534">
        <v>108</v>
      </c>
      <c r="F62" s="1535">
        <v>104</v>
      </c>
      <c r="G62" s="3269">
        <v>2003</v>
      </c>
      <c r="H62" s="1524">
        <v>4</v>
      </c>
      <c r="I62" s="1536"/>
      <c r="J62" s="1536"/>
      <c r="K62" s="1536"/>
      <c r="L62" s="1536"/>
      <c r="N62" s="1537"/>
      <c r="O62" s="1536"/>
      <c r="P62" s="1536"/>
      <c r="Q62" s="1536"/>
      <c r="S62" s="1537"/>
      <c r="T62" s="1536"/>
      <c r="U62" s="1536"/>
      <c r="V62" s="1536"/>
      <c r="X62" s="1528"/>
      <c r="Y62" s="1528"/>
      <c r="Z62" s="1528"/>
    </row>
    <row r="63" spans="1:26">
      <c r="A63" s="1463" t="s">
        <v>1200</v>
      </c>
      <c r="B63" s="1538">
        <f t="shared" ref="B63:C65" si="71">B64+(B$62-B$66)/4</f>
        <v>109.75</v>
      </c>
      <c r="C63" s="1538">
        <f t="shared" si="71"/>
        <v>112.25</v>
      </c>
      <c r="D63" s="1538">
        <f t="shared" si="35"/>
        <v>112.25</v>
      </c>
      <c r="E63" s="1538">
        <f t="shared" ref="E63:F65" si="72">E64+(E$62-E$66)/4</f>
        <v>107.25</v>
      </c>
      <c r="F63" s="1538">
        <f t="shared" si="72"/>
        <v>103.5</v>
      </c>
      <c r="G63" s="3270">
        <v>2003</v>
      </c>
      <c r="H63" s="1489">
        <v>3</v>
      </c>
      <c r="I63" s="1536"/>
      <c r="J63" s="1536"/>
      <c r="K63" s="1536"/>
      <c r="L63" s="1536"/>
      <c r="X63" s="1528"/>
      <c r="Y63" s="1528"/>
      <c r="Z63" s="1528"/>
    </row>
    <row r="64" spans="1:26">
      <c r="A64" s="1463" t="s">
        <v>1201</v>
      </c>
      <c r="B64" s="1538">
        <f t="shared" si="71"/>
        <v>108.5</v>
      </c>
      <c r="C64" s="1538">
        <f t="shared" si="71"/>
        <v>110.5</v>
      </c>
      <c r="D64" s="1538">
        <f t="shared" si="35"/>
        <v>110.5</v>
      </c>
      <c r="E64" s="1538">
        <f t="shared" si="72"/>
        <v>106.5</v>
      </c>
      <c r="F64" s="1538">
        <f t="shared" si="72"/>
        <v>103</v>
      </c>
      <c r="G64" s="3270">
        <v>2003</v>
      </c>
      <c r="H64" s="1467">
        <v>2</v>
      </c>
      <c r="I64" s="1536"/>
      <c r="J64" s="1536"/>
      <c r="K64" s="1536"/>
      <c r="L64" s="1536"/>
      <c r="X64" s="1528"/>
      <c r="Y64" s="1528"/>
      <c r="Z64" s="1528"/>
    </row>
    <row r="65" spans="1:26" ht="13.5" thickBot="1">
      <c r="A65" s="1463" t="s">
        <v>1202</v>
      </c>
      <c r="B65" s="1538">
        <f t="shared" si="71"/>
        <v>107.25</v>
      </c>
      <c r="C65" s="1538">
        <f t="shared" si="71"/>
        <v>108.75</v>
      </c>
      <c r="D65" s="1538">
        <f t="shared" si="35"/>
        <v>108.75</v>
      </c>
      <c r="E65" s="1538">
        <f t="shared" si="72"/>
        <v>105.75</v>
      </c>
      <c r="F65" s="1538">
        <f t="shared" si="72"/>
        <v>102.5</v>
      </c>
      <c r="G65" s="3271">
        <v>2003</v>
      </c>
      <c r="H65" s="1539">
        <v>1</v>
      </c>
      <c r="I65" s="1536"/>
      <c r="J65" s="1536"/>
      <c r="K65" s="1536"/>
      <c r="L65" s="1536"/>
      <c r="S65" s="1474"/>
      <c r="T65" s="1475"/>
      <c r="U65" s="1475"/>
      <c r="X65" s="1528"/>
      <c r="Y65" s="1528"/>
      <c r="Z65" s="1528"/>
    </row>
    <row r="66" spans="1:26" ht="13.5" thickBot="1">
      <c r="A66" s="1463" t="s">
        <v>1203</v>
      </c>
      <c r="B66" s="1540">
        <v>106</v>
      </c>
      <c r="C66" s="1540">
        <v>107</v>
      </c>
      <c r="D66" s="1540">
        <f t="shared" si="35"/>
        <v>107</v>
      </c>
      <c r="E66" s="1540">
        <v>105</v>
      </c>
      <c r="F66" s="1541">
        <v>102</v>
      </c>
      <c r="G66" s="3269">
        <v>2002</v>
      </c>
      <c r="H66" s="1484">
        <v>4</v>
      </c>
      <c r="I66" s="1536"/>
      <c r="J66" s="1536"/>
      <c r="K66" s="1536"/>
      <c r="L66" s="1536"/>
      <c r="N66" s="1537"/>
      <c r="O66" s="1536"/>
      <c r="P66" s="1536"/>
      <c r="Q66" s="1536"/>
      <c r="S66" s="1537"/>
      <c r="T66" s="1536"/>
      <c r="U66" s="1536"/>
      <c r="V66" s="1536"/>
      <c r="X66" s="1528"/>
      <c r="Y66" s="1528"/>
      <c r="Z66" s="1528"/>
    </row>
    <row r="67" spans="1:26">
      <c r="A67" s="1463" t="s">
        <v>1204</v>
      </c>
      <c r="B67" s="1538">
        <f t="shared" ref="B67:C69" si="73">B68+(B$66-B$70)/4</f>
        <v>105</v>
      </c>
      <c r="C67" s="1538">
        <f t="shared" si="73"/>
        <v>106</v>
      </c>
      <c r="D67" s="1538">
        <f t="shared" si="35"/>
        <v>106</v>
      </c>
      <c r="E67" s="1538">
        <f t="shared" ref="E67:F69" si="74">E68+(E$66-E$70)/4</f>
        <v>104.5</v>
      </c>
      <c r="F67" s="1538">
        <f t="shared" si="74"/>
        <v>101.5</v>
      </c>
      <c r="G67" s="3270">
        <v>2002</v>
      </c>
      <c r="H67" s="1489">
        <v>3</v>
      </c>
      <c r="I67" s="1536"/>
      <c r="J67" s="1536"/>
      <c r="K67" s="1536"/>
      <c r="L67" s="1536"/>
      <c r="X67" s="1528"/>
      <c r="Y67" s="1528"/>
      <c r="Z67" s="1528"/>
    </row>
    <row r="68" spans="1:26">
      <c r="A68" s="1463" t="s">
        <v>1205</v>
      </c>
      <c r="B68" s="1538">
        <f t="shared" si="73"/>
        <v>104</v>
      </c>
      <c r="C68" s="1538">
        <f t="shared" si="73"/>
        <v>105</v>
      </c>
      <c r="D68" s="1538">
        <f t="shared" si="35"/>
        <v>105</v>
      </c>
      <c r="E68" s="1538">
        <f t="shared" si="74"/>
        <v>104</v>
      </c>
      <c r="F68" s="1538">
        <f t="shared" si="74"/>
        <v>101</v>
      </c>
      <c r="G68" s="3270">
        <v>2002</v>
      </c>
      <c r="H68" s="1467">
        <v>2</v>
      </c>
      <c r="I68" s="1536"/>
      <c r="J68" s="1536"/>
      <c r="K68" s="1536"/>
      <c r="L68" s="1536"/>
      <c r="X68" s="1528"/>
      <c r="Y68" s="1528"/>
      <c r="Z68" s="1528"/>
    </row>
    <row r="69" spans="1:26" s="1500" customFormat="1" ht="13.5" thickBot="1">
      <c r="A69" s="1496" t="s">
        <v>1206</v>
      </c>
      <c r="B69" s="1542">
        <f t="shared" si="73"/>
        <v>103</v>
      </c>
      <c r="C69" s="1542">
        <f t="shared" si="73"/>
        <v>104</v>
      </c>
      <c r="D69" s="1542">
        <f t="shared" si="35"/>
        <v>104</v>
      </c>
      <c r="E69" s="1542">
        <f t="shared" si="74"/>
        <v>103.5</v>
      </c>
      <c r="F69" s="1542">
        <f t="shared" si="74"/>
        <v>100.5</v>
      </c>
      <c r="G69" s="3271">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1207</v>
      </c>
      <c r="G72" s="1552"/>
      <c r="N72" s="1552"/>
      <c r="S72" s="1552"/>
    </row>
    <row r="73" spans="1:26" s="1551" customFormat="1">
      <c r="A73" s="1551" t="s">
        <v>1208</v>
      </c>
      <c r="G73" s="1552"/>
      <c r="N73" s="1552"/>
      <c r="S73" s="1552"/>
    </row>
    <row r="74" spans="1:26" s="1551" customFormat="1">
      <c r="A74" s="1551" t="s">
        <v>1209</v>
      </c>
      <c r="G74" s="1552"/>
      <c r="I74" s="1553"/>
      <c r="J74" s="1553"/>
      <c r="K74" s="1553"/>
      <c r="L74" s="1553"/>
      <c r="N74" s="1554"/>
      <c r="O74" s="1553"/>
      <c r="P74" s="1553"/>
      <c r="Q74" s="1553"/>
      <c r="S74" s="1554"/>
      <c r="T74" s="1553"/>
      <c r="U74" s="1553"/>
      <c r="V74" s="1553"/>
    </row>
    <row r="75" spans="1:26" s="1551" customFormat="1">
      <c r="A75" s="1551" t="s">
        <v>1210</v>
      </c>
      <c r="G75" s="1552"/>
      <c r="N75" s="1552"/>
      <c r="S75" s="1552"/>
    </row>
    <row r="82" spans="7:22" ht="13.5" thickBot="1"/>
    <row r="83" spans="7:22">
      <c r="G83" s="1473"/>
      <c r="S83" s="1555" t="s">
        <v>1211</v>
      </c>
      <c r="T83" s="1556" t="s">
        <v>1212</v>
      </c>
      <c r="U83" s="1556" t="s">
        <v>1213</v>
      </c>
      <c r="V83" s="1556" t="s">
        <v>1214</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2985</v>
      </c>
      <c r="C1" s="3278" t="s">
        <v>2986</v>
      </c>
      <c r="D1" s="3279"/>
      <c r="E1" s="3279"/>
      <c r="F1" s="3279"/>
      <c r="G1" s="3279"/>
      <c r="H1" s="3279"/>
      <c r="I1" s="3279"/>
      <c r="J1" s="3279"/>
      <c r="K1" s="3279"/>
      <c r="L1" s="3279"/>
      <c r="M1" s="3279"/>
      <c r="N1" s="3279"/>
      <c r="O1" s="3279"/>
      <c r="P1" s="3279"/>
      <c r="Q1" s="3279"/>
      <c r="R1" s="3279"/>
      <c r="S1" s="3280"/>
      <c r="T1" s="1206" t="s">
        <v>2987</v>
      </c>
    </row>
    <row r="2" spans="1:45" s="706" customFormat="1">
      <c r="A2" s="1207"/>
      <c r="B2" s="702" t="s">
        <v>2988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2989</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2990</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2991</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2992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2993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2994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2995</v>
      </c>
      <c r="B17" s="2916" t="s">
        <v>2996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2997</v>
      </c>
      <c r="E19" s="1793"/>
      <c r="F19" s="1793"/>
      <c r="G19" s="1793"/>
      <c r="H19" s="1282"/>
      <c r="I19" s="167"/>
      <c r="J19" s="167"/>
      <c r="K19" s="167"/>
      <c r="L19" s="167"/>
      <c r="M19" s="167"/>
      <c r="N19" s="167"/>
      <c r="O19" s="167"/>
      <c r="P19" s="167"/>
      <c r="Q19" s="167"/>
      <c r="R19" s="787"/>
      <c r="S19" s="137"/>
    </row>
    <row r="20" spans="1:45" ht="16.5" thickBot="1">
      <c r="A20" s="714" t="s">
        <v>2998</v>
      </c>
      <c r="B20" s="337" t="e">
        <f ca="1">IF(D20="——",S22,S22-F20)</f>
        <v>#REF!</v>
      </c>
      <c r="C20" s="167"/>
      <c r="D20" s="2918" t="s">
        <v>2999</v>
      </c>
      <c r="E20" s="1794"/>
      <c r="F20" s="1206" t="e">
        <f ca="1">SUMIF(INDIRECT("'"&amp;H20&amp;"'"&amp;"!A:A"),"承租人权益价值",INDIRECT("'"&amp;H20&amp;"'"&amp;"!c:c"))</f>
        <v>#REF!</v>
      </c>
      <c r="G20" s="1206" t="s">
        <v>3000</v>
      </c>
      <c r="H20" s="2919"/>
      <c r="I20" s="167"/>
      <c r="J20" s="167"/>
      <c r="K20" s="167"/>
      <c r="L20" s="167"/>
      <c r="M20" s="167"/>
      <c r="N20" s="167"/>
      <c r="O20" s="167"/>
      <c r="P20" s="167"/>
      <c r="Q20" s="167"/>
      <c r="R20" s="787"/>
      <c r="S20" s="137"/>
    </row>
    <row r="21" spans="1:45" ht="15.75">
      <c r="A21" s="714" t="s">
        <v>3001</v>
      </c>
      <c r="B21" s="337">
        <f>R22</f>
        <v>10000</v>
      </c>
      <c r="C21" s="167"/>
      <c r="D21" s="167"/>
      <c r="E21" s="167"/>
      <c r="F21" s="167"/>
      <c r="G21" s="167"/>
      <c r="H21" s="167"/>
      <c r="I21" s="167"/>
      <c r="J21" s="167"/>
      <c r="K21" s="167"/>
      <c r="L21" s="167"/>
      <c r="M21" s="167"/>
      <c r="N21" s="167"/>
      <c r="O21" s="167"/>
      <c r="P21" s="167"/>
      <c r="Q21" s="167"/>
      <c r="R21" s="787"/>
      <c r="S21" s="137"/>
    </row>
    <row r="22" spans="1:45">
      <c r="A22" s="360" t="s">
        <v>3002</v>
      </c>
      <c r="B22" s="24">
        <f>SUM(B24:B10000)</f>
        <v>100</v>
      </c>
      <c r="C22" s="3059" t="s">
        <v>33</v>
      </c>
      <c r="D22" s="3060"/>
      <c r="E22" s="3060"/>
      <c r="F22" s="3060"/>
      <c r="G22" s="3060"/>
      <c r="H22" s="3060"/>
      <c r="I22" s="3060"/>
      <c r="J22" s="3060"/>
      <c r="K22" s="3060"/>
      <c r="L22" s="3060"/>
      <c r="M22" s="3060"/>
      <c r="N22" s="3060"/>
      <c r="O22" s="3060"/>
      <c r="P22" s="3060"/>
      <c r="Q22" s="3277"/>
      <c r="R22" s="715">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47901</v>
      </c>
      <c r="C2" s="2" t="s">
        <v>133</v>
      </c>
      <c r="D2" s="242"/>
      <c r="E2" s="242"/>
      <c r="F2" s="242"/>
      <c r="G2" s="242"/>
    </row>
    <row r="3" spans="1:7" s="243" customFormat="1" ht="18" customHeight="1" thickBot="1">
      <c r="A3" s="246" t="s">
        <v>85</v>
      </c>
      <c r="B3" s="247">
        <f ca="1">ROUND(B2*10000/'数据-汇总表'!E3,0)</f>
        <v>2153</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51" t="s">
        <v>790</v>
      </c>
      <c r="B6" s="258" t="s">
        <v>91</v>
      </c>
      <c r="C6" s="259">
        <v>20000</v>
      </c>
      <c r="D6" s="260"/>
      <c r="E6" s="261"/>
      <c r="F6" s="261"/>
      <c r="G6" s="262"/>
    </row>
    <row r="7" spans="1:7" s="257" customFormat="1" ht="13.5" customHeight="1">
      <c r="A7" s="951" t="s">
        <v>791</v>
      </c>
      <c r="B7" s="258" t="s">
        <v>57</v>
      </c>
      <c r="C7" s="263">
        <f>ROUND(C6*F7,0)</f>
        <v>610</v>
      </c>
      <c r="D7" s="263"/>
      <c r="E7" s="261"/>
      <c r="F7" s="264">
        <f>'数据-取费表'!B48+'数据-取费表'!B49</f>
        <v>3.0499999999999999E-2</v>
      </c>
      <c r="G7" s="262"/>
    </row>
    <row r="8" spans="1:7" s="266" customFormat="1">
      <c r="A8" s="951" t="s">
        <v>792</v>
      </c>
      <c r="B8" s="258" t="s">
        <v>92</v>
      </c>
      <c r="C8" s="263" t="str">
        <f>IF(G8="已包含在土地购买价格中","0",'数据-取费表'!B29)</f>
        <v>0</v>
      </c>
      <c r="D8" s="265"/>
      <c r="E8" s="263"/>
      <c r="F8" s="264"/>
      <c r="G8" s="1" t="s">
        <v>1144</v>
      </c>
    </row>
    <row r="9" spans="1:7" s="257" customFormat="1" ht="13.5" customHeight="1">
      <c r="A9" s="952" t="s">
        <v>799</v>
      </c>
      <c r="B9" s="267" t="s">
        <v>93</v>
      </c>
      <c r="C9" s="268">
        <f>ROUND(D9*E9/10000,0)</f>
        <v>2192</v>
      </c>
      <c r="D9" s="1034">
        <f>'数据-汇总表'!E5</f>
        <v>136969</v>
      </c>
      <c r="E9" s="268">
        <f>'数据-取费表'!B27</f>
        <v>160</v>
      </c>
      <c r="F9" s="264"/>
      <c r="G9" s="269"/>
    </row>
    <row r="10" spans="1:7" s="257" customFormat="1" ht="13.5" customHeight="1">
      <c r="A10" s="952" t="s">
        <v>800</v>
      </c>
      <c r="B10" s="267" t="s">
        <v>94</v>
      </c>
      <c r="C10" s="268">
        <f>ROUND(D10*E10/10000,0)</f>
        <v>1710</v>
      </c>
      <c r="D10" s="1034">
        <f>'数据-汇总表'!E6</f>
        <v>85524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1054</v>
      </c>
      <c r="B19" s="253" t="s">
        <v>111</v>
      </c>
      <c r="C19" s="254">
        <f>IF(G19="已包含在土地取得成本中","0",ROUND(D19*E19/10000,0))</f>
        <v>4450</v>
      </c>
      <c r="D19" s="1038">
        <f>'数据-汇总表'!E3</f>
        <v>222493</v>
      </c>
      <c r="E19" s="254">
        <f>'数据-取费表'!B31</f>
        <v>200</v>
      </c>
      <c r="F19" s="274"/>
      <c r="G19" s="1" t="s">
        <v>1073</v>
      </c>
    </row>
    <row r="20" spans="1:7" s="257" customFormat="1" ht="13.5" customHeight="1">
      <c r="A20" s="950" t="s">
        <v>1056</v>
      </c>
      <c r="B20" s="253" t="s">
        <v>104</v>
      </c>
      <c r="C20" s="275">
        <f>ROUND((C5+C19)*F20,0)</f>
        <v>251</v>
      </c>
      <c r="D20" s="275"/>
      <c r="E20" s="275"/>
      <c r="F20" s="276">
        <f>'数据-取费表'!B37</f>
        <v>0.01</v>
      </c>
      <c r="G20" s="1291" t="s">
        <v>1067</v>
      </c>
    </row>
    <row r="21" spans="1:7" s="257" customFormat="1" ht="13.5" customHeight="1">
      <c r="A21" s="950" t="s">
        <v>1058</v>
      </c>
      <c r="B21" s="253" t="s">
        <v>105</v>
      </c>
      <c r="C21" s="278">
        <f>F21</f>
        <v>0.01</v>
      </c>
      <c r="D21" s="279" t="s">
        <v>126</v>
      </c>
      <c r="E21" s="275"/>
      <c r="F21" s="276">
        <f>'数据-取费表'!B38</f>
        <v>0.01</v>
      </c>
      <c r="G21" s="277" t="s">
        <v>106</v>
      </c>
    </row>
    <row r="22" spans="1:7" s="257" customFormat="1" ht="13.5" customHeight="1">
      <c r="A22" s="950" t="s">
        <v>785</v>
      </c>
      <c r="B22" s="253" t="s">
        <v>107</v>
      </c>
      <c r="C22" s="1356">
        <f ca="1">ROUND(SUM(C23:C25),0)</f>
        <v>1816</v>
      </c>
      <c r="D22" s="278">
        <f ca="1">C26</f>
        <v>4.0000000000000002E-4</v>
      </c>
      <c r="E22" s="279" t="s">
        <v>126</v>
      </c>
      <c r="F22" s="280">
        <f ca="1">'数据-取费表'!B40</f>
        <v>4.7500000000000001E-2</v>
      </c>
      <c r="G22" s="1291" t="str">
        <f>IF('数据-取费表'!B22&lt;=1,"单利计息","复利计息")</f>
        <v>复利计息</v>
      </c>
    </row>
    <row r="23" spans="1:7" s="257" customFormat="1" ht="13.5" customHeight="1">
      <c r="A23" s="953" t="s">
        <v>793</v>
      </c>
      <c r="B23" s="258" t="s">
        <v>1060</v>
      </c>
      <c r="C23" s="1357">
        <f ca="1">ROUND(IF('数据-取费表'!B22&lt;=1,C5*F22*'数据-取费表'!B23,C5*(POWER((1+F22),'数据-取费表'!B23)-1)),0)</f>
        <v>1486</v>
      </c>
      <c r="D23" s="281"/>
      <c r="E23" s="281"/>
      <c r="F23" s="282"/>
      <c r="G23" s="283" t="s">
        <v>108</v>
      </c>
    </row>
    <row r="24" spans="1:7" s="257" customFormat="1" ht="13.5" customHeight="1">
      <c r="A24" s="953" t="s">
        <v>791</v>
      </c>
      <c r="B24" s="258" t="s">
        <v>1055</v>
      </c>
      <c r="C24" s="1357">
        <f ca="1">ROUND(IF('数据-取费表'!B22&lt;=1,C19*F22*('数据-取费表'!B19/2+'数据-取费表'!B21),C19*(POWER((1+F22),('数据-取费表'!B19/2+'数据-取费表'!B21))-1)),0)</f>
        <v>321</v>
      </c>
      <c r="D24" s="281"/>
      <c r="E24" s="281"/>
      <c r="F24" s="282"/>
      <c r="G24" s="283" t="s">
        <v>109</v>
      </c>
    </row>
    <row r="25" spans="1:7" s="257" customFormat="1" ht="24">
      <c r="A25" s="953" t="s">
        <v>792</v>
      </c>
      <c r="B25" s="258" t="s">
        <v>1057</v>
      </c>
      <c r="C25" s="1357">
        <f ca="1">ROUND(IF('数据-取费表'!B22&lt;=1,C20*F22*'数据-取费表'!B23/2,C20*(POWER((1+F22),'数据-取费表'!B23/2)-1)),0)</f>
        <v>9</v>
      </c>
      <c r="D25" s="281"/>
      <c r="E25" s="284"/>
      <c r="F25" s="282"/>
      <c r="G25" s="285" t="s">
        <v>110</v>
      </c>
    </row>
    <row r="26" spans="1:7" s="257" customFormat="1">
      <c r="A26" s="953" t="s">
        <v>794</v>
      </c>
      <c r="B26" s="258" t="s">
        <v>1059</v>
      </c>
      <c r="C26" s="281">
        <f ca="1">ROUND(IF('数据-取费表'!B22&lt;=1,F21*F22*'数据-取费表'!B23/2,F21*(POWER((1+F22),'数据-取费表'!B23/2)-1)),4)</f>
        <v>4.0000000000000002E-4</v>
      </c>
      <c r="D26" s="281"/>
      <c r="E26" s="284"/>
      <c r="F26" s="282"/>
      <c r="G26" s="286"/>
    </row>
    <row r="27" spans="1:7" s="257" customFormat="1" ht="24.75">
      <c r="A27" s="950" t="s">
        <v>786</v>
      </c>
      <c r="B27" s="287" t="s">
        <v>112</v>
      </c>
      <c r="C27" s="288">
        <f>C28</f>
        <v>886</v>
      </c>
      <c r="D27" s="278">
        <f>C29</f>
        <v>4.0000000000000002E-4</v>
      </c>
      <c r="E27" s="279" t="s">
        <v>126</v>
      </c>
      <c r="F27" s="289">
        <f>'数据-取费表'!Q16</f>
        <v>7.0000000000000007E-2</v>
      </c>
      <c r="G27" s="290" t="s">
        <v>1068</v>
      </c>
    </row>
    <row r="28" spans="1:7" s="257" customFormat="1" ht="13.5" customHeight="1">
      <c r="A28" s="953" t="s">
        <v>793</v>
      </c>
      <c r="B28" s="291" t="s">
        <v>1061</v>
      </c>
      <c r="C28" s="292">
        <f>ROUND((C5+C19+C20)*F27*'数据-取费表'!B21/'数据-取费表'!B20,0)</f>
        <v>886</v>
      </c>
      <c r="D28" s="278"/>
      <c r="E28" s="279"/>
      <c r="F28" s="289"/>
      <c r="G28" s="290"/>
    </row>
    <row r="29" spans="1:7" s="257" customFormat="1" ht="13.5" customHeight="1">
      <c r="A29" s="953" t="s">
        <v>791</v>
      </c>
      <c r="B29" s="291" t="s">
        <v>1062</v>
      </c>
      <c r="C29" s="281">
        <f>ROUND(C21*F27*'数据-取费表'!B21/'数据-取费表'!B20,4)</f>
        <v>4.0000000000000002E-4</v>
      </c>
      <c r="D29" s="278"/>
      <c r="E29" s="279"/>
      <c r="F29" s="289"/>
      <c r="G29" s="290"/>
    </row>
    <row r="30" spans="1:7" s="257" customFormat="1" ht="13.5" customHeight="1">
      <c r="A30" s="950"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29902</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15098</v>
      </c>
      <c r="D33" s="275"/>
      <c r="E33" s="255"/>
      <c r="F33" s="284"/>
      <c r="G33" s="277"/>
    </row>
    <row r="34" spans="1:7" s="301" customFormat="1" ht="13.5" customHeight="1">
      <c r="A34" s="953" t="s">
        <v>793</v>
      </c>
      <c r="B34" s="258" t="s">
        <v>59</v>
      </c>
      <c r="C34" s="263">
        <f>IF(F34=100%,'数据-取费表'!M16-SUMIF('数据-取费表'!C:C,"公共配套",'数据-取费表'!M:M),'数据-取费表'!O16-SUMIF('数据-取费表'!C:C,"公共配套",'数据-取费表'!O:O))</f>
        <v>13127</v>
      </c>
      <c r="D34" s="260"/>
      <c r="E34" s="263"/>
      <c r="F34" s="300">
        <f>IF('数据-取费表'!B24=0,1,'数据-取费表'!N16)</f>
        <v>0.26400000000000001</v>
      </c>
      <c r="G34" s="262" t="s">
        <v>116</v>
      </c>
    </row>
    <row r="35" spans="1:7" ht="13.5" customHeight="1">
      <c r="A35" s="953" t="s">
        <v>795</v>
      </c>
      <c r="B35" s="258" t="s">
        <v>60</v>
      </c>
      <c r="C35" s="263">
        <f>ROUND(C34*F35,0)</f>
        <v>394</v>
      </c>
      <c r="D35" s="263"/>
      <c r="E35" s="263"/>
      <c r="F35" s="302">
        <f>'数据-取费表'!B33</f>
        <v>0.03</v>
      </c>
      <c r="G35" s="262" t="s">
        <v>117</v>
      </c>
    </row>
    <row r="36" spans="1:7" ht="24">
      <c r="A36" s="953"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205</v>
      </c>
      <c r="D36" s="263"/>
      <c r="E36" s="263"/>
      <c r="F36" s="302">
        <f>'数据-取费表'!B34</f>
        <v>0.02</v>
      </c>
      <c r="G36" s="303" t="s">
        <v>62</v>
      </c>
    </row>
    <row r="37" spans="1:7" s="301" customFormat="1" ht="13.5" customHeight="1">
      <c r="A37" s="953" t="s">
        <v>797</v>
      </c>
      <c r="B37" s="258" t="s">
        <v>118</v>
      </c>
      <c r="C37" s="292">
        <f>ROUND(E37*D37*F34/10000,0)</f>
        <v>1175</v>
      </c>
      <c r="D37" s="260">
        <f>'数据-汇总表'!E3</f>
        <v>222493</v>
      </c>
      <c r="E37" s="292">
        <f>'数据-取费表'!B35</f>
        <v>200</v>
      </c>
      <c r="F37" s="302"/>
      <c r="G37" s="304" t="s">
        <v>119</v>
      </c>
    </row>
    <row r="38" spans="1:7" ht="13.5" customHeight="1">
      <c r="A38" s="953" t="s">
        <v>798</v>
      </c>
      <c r="B38" s="258" t="s">
        <v>63</v>
      </c>
      <c r="C38" s="263">
        <f>ROUND(C34*F38,0)</f>
        <v>197</v>
      </c>
      <c r="D38" s="263"/>
      <c r="E38" s="263"/>
      <c r="F38" s="302">
        <f>'数据-取费表'!B36</f>
        <v>1.4999999999999999E-2</v>
      </c>
      <c r="G38" s="262" t="s">
        <v>117</v>
      </c>
    </row>
    <row r="39" spans="1:7" s="257" customFormat="1" ht="13.5" customHeight="1">
      <c r="A39" s="950" t="s">
        <v>782</v>
      </c>
      <c r="B39" s="253" t="s">
        <v>104</v>
      </c>
      <c r="C39" s="275">
        <f>ROUND(C33*F20,0)</f>
        <v>151</v>
      </c>
      <c r="D39" s="275"/>
      <c r="E39" s="275"/>
      <c r="F39" s="276"/>
      <c r="G39" s="1291" t="s">
        <v>1070</v>
      </c>
    </row>
    <row r="40" spans="1:7" s="257" customFormat="1" ht="13.5" customHeight="1">
      <c r="A40" s="950" t="s">
        <v>783</v>
      </c>
      <c r="B40" s="253" t="s">
        <v>105</v>
      </c>
      <c r="C40" s="305">
        <f>F21</f>
        <v>0.01</v>
      </c>
      <c r="D40" s="279" t="s">
        <v>129</v>
      </c>
      <c r="E40" s="275"/>
      <c r="F40" s="276"/>
      <c r="G40" s="277" t="s">
        <v>120</v>
      </c>
    </row>
    <row r="41" spans="1:7" s="257" customFormat="1" ht="13.5" customHeight="1">
      <c r="A41" s="950" t="s">
        <v>784</v>
      </c>
      <c r="B41" s="253" t="s">
        <v>107</v>
      </c>
      <c r="C41" s="275">
        <f ca="1">ROUND(SUM(C42:C43),0)</f>
        <v>540</v>
      </c>
      <c r="D41" s="278">
        <f ca="1">C44</f>
        <v>4.0000000000000002E-4</v>
      </c>
      <c r="E41" s="279" t="s">
        <v>129</v>
      </c>
      <c r="F41" s="280"/>
      <c r="G41" s="1291" t="str">
        <f>IF('数据-取费表'!B22&lt;=1,"单利计息","复利计息")</f>
        <v>复利计息</v>
      </c>
    </row>
    <row r="42" spans="1:7" ht="13.5" customHeight="1">
      <c r="A42" s="953" t="s">
        <v>793</v>
      </c>
      <c r="B42" s="258" t="s">
        <v>1060</v>
      </c>
      <c r="C42" s="281">
        <f ca="1">ROUND(IF('数据-取费表'!B22&lt;=1,C33*F22*'数据-取费表'!B21/2,C33*(POWER((1+F22),'数据-取费表'!B21/2)-1)),0)</f>
        <v>535</v>
      </c>
      <c r="D42" s="281"/>
      <c r="E42" s="281"/>
      <c r="F42" s="282"/>
      <c r="G42" s="3144" t="s">
        <v>121</v>
      </c>
    </row>
    <row r="43" spans="1:7" ht="13.5" customHeight="1">
      <c r="A43" s="953" t="s">
        <v>791</v>
      </c>
      <c r="B43" s="258" t="s">
        <v>1063</v>
      </c>
      <c r="C43" s="281">
        <f ca="1">ROUND(IF('数据-取费表'!B22&lt;=1,C39*F22*'数据-取费表'!B21/2,C39*(POWER((1+F22),'数据-取费表'!B21/2)-1)),0)</f>
        <v>5</v>
      </c>
      <c r="D43" s="281"/>
      <c r="E43" s="281"/>
      <c r="F43" s="282"/>
      <c r="G43" s="3145"/>
    </row>
    <row r="44" spans="1:7" ht="13.5" customHeight="1">
      <c r="A44" s="953" t="s">
        <v>792</v>
      </c>
      <c r="B44" s="258" t="s">
        <v>1065</v>
      </c>
      <c r="C44" s="281">
        <f ca="1">ROUND(IF('数据-取费表'!B22&lt;=1,C40*F22*'数据-取费表'!B21/2,C40*(POWER((1+F22),'数据-取费表'!B21/2)-1)),4)</f>
        <v>4.0000000000000002E-4</v>
      </c>
      <c r="D44" s="281"/>
      <c r="E44" s="281"/>
      <c r="F44" s="282"/>
      <c r="G44" s="3146"/>
    </row>
    <row r="45" spans="1:7" s="257" customFormat="1" ht="13.5" customHeight="1">
      <c r="A45" s="950" t="s">
        <v>785</v>
      </c>
      <c r="B45" s="287" t="s">
        <v>112</v>
      </c>
      <c r="C45" s="288">
        <f>C46</f>
        <v>1067</v>
      </c>
      <c r="D45" s="278">
        <f>C47</f>
        <v>6.9999999999999999E-4</v>
      </c>
      <c r="E45" s="279" t="s">
        <v>129</v>
      </c>
      <c r="F45" s="289"/>
      <c r="G45" s="290" t="s">
        <v>1071</v>
      </c>
    </row>
    <row r="46" spans="1:7" s="257" customFormat="1" ht="13.5" customHeight="1">
      <c r="A46" s="953" t="s">
        <v>793</v>
      </c>
      <c r="B46" s="291" t="s">
        <v>1064</v>
      </c>
      <c r="C46" s="292">
        <f>ROUND((C33+C39)*F27,0)</f>
        <v>1067</v>
      </c>
      <c r="D46" s="306"/>
      <c r="E46" s="279"/>
      <c r="F46" s="289"/>
      <c r="G46" s="290"/>
    </row>
    <row r="47" spans="1:7" s="257" customFormat="1" ht="13.5" customHeight="1">
      <c r="A47" s="953" t="s">
        <v>791</v>
      </c>
      <c r="B47" s="291" t="s">
        <v>1066</v>
      </c>
      <c r="C47" s="281">
        <f>ROUND(C40*F27,4)</f>
        <v>6.9999999999999999E-4</v>
      </c>
      <c r="D47" s="306"/>
      <c r="E47" s="279"/>
      <c r="F47" s="289"/>
      <c r="G47" s="290"/>
    </row>
    <row r="48" spans="1:7" s="257" customFormat="1" ht="13.5" customHeight="1">
      <c r="A48" s="950" t="s">
        <v>786</v>
      </c>
      <c r="B48" s="253" t="s">
        <v>122</v>
      </c>
      <c r="C48" s="305">
        <f>F30</f>
        <v>5.5000000000000007E-2</v>
      </c>
      <c r="D48" s="279" t="s">
        <v>130</v>
      </c>
      <c r="E48" s="275"/>
      <c r="F48" s="280"/>
      <c r="G48" s="277" t="s">
        <v>123</v>
      </c>
    </row>
    <row r="49" spans="1:7" ht="16.5" customHeight="1">
      <c r="A49" s="950" t="s">
        <v>787</v>
      </c>
      <c r="B49" s="253" t="s">
        <v>131</v>
      </c>
      <c r="C49" s="275">
        <f ca="1">ROUND((C33+C39+C41+C45)/(1-C40-D41-D45-C48/(1+'数据-取费表'!B42)),0)</f>
        <v>17999</v>
      </c>
      <c r="D49" s="275"/>
      <c r="E49" s="275"/>
      <c r="F49" s="307"/>
      <c r="G49" s="277" t="s">
        <v>1072</v>
      </c>
    </row>
    <row r="50" spans="1:7" s="301" customFormat="1" ht="24">
      <c r="A50" s="950" t="s">
        <v>788</v>
      </c>
      <c r="B50" s="253" t="s">
        <v>124</v>
      </c>
      <c r="C50" s="275"/>
      <c r="D50" s="275"/>
      <c r="E50" s="275"/>
      <c r="F50" s="307">
        <f>IF('数据-取费表'!B24=0,'数据-取费表'!N16,1)</f>
        <v>1</v>
      </c>
      <c r="G50" s="290" t="s">
        <v>125</v>
      </c>
    </row>
    <row r="51" spans="1:7" ht="16.5" customHeight="1">
      <c r="A51" s="950" t="s">
        <v>789</v>
      </c>
      <c r="B51" s="253" t="s">
        <v>132</v>
      </c>
      <c r="C51" s="275">
        <f ca="1">ROUND(C49*F50,0)</f>
        <v>17999</v>
      </c>
      <c r="D51" s="275"/>
      <c r="E51" s="275"/>
      <c r="F51" s="307"/>
      <c r="G51" s="277" t="s">
        <v>64</v>
      </c>
    </row>
    <row r="52" spans="1:7" s="251" customFormat="1" ht="16.5" thickBot="1">
      <c r="A52" s="308" t="s">
        <v>65</v>
      </c>
      <c r="B52" s="309"/>
      <c r="C52" s="310">
        <f ca="1">C31+C51</f>
        <v>47901</v>
      </c>
      <c r="D52" s="309"/>
      <c r="E52" s="309"/>
      <c r="F52" s="309"/>
      <c r="G52" s="311"/>
    </row>
    <row r="55" spans="1:7" ht="15">
      <c r="B55" s="313" t="s">
        <v>66</v>
      </c>
      <c r="C55" s="314"/>
    </row>
    <row r="56" spans="1:7">
      <c r="B56" s="316" t="s">
        <v>67</v>
      </c>
      <c r="C56" s="317">
        <f ca="1">ROUND(C51/C52,3)</f>
        <v>0.376</v>
      </c>
    </row>
    <row r="57" spans="1:7">
      <c r="B57" s="316" t="s">
        <v>68</v>
      </c>
      <c r="C57" s="318">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1" t="s">
        <v>156</v>
      </c>
      <c r="B1" s="3281"/>
      <c r="C1" s="3281"/>
      <c r="D1" s="3281"/>
      <c r="E1" s="3281"/>
      <c r="F1" s="328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2" t="s">
        <v>169</v>
      </c>
      <c r="B2" s="3282"/>
      <c r="C2" s="3282"/>
      <c r="D2" s="3282"/>
      <c r="E2" s="3282"/>
      <c r="F2" s="328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1" t="s">
        <v>870</v>
      </c>
      <c r="B1" s="3281"/>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42990</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1638</v>
      </c>
      <c r="B2" s="2972" t="s">
        <v>1639</v>
      </c>
      <c r="C2" s="2972" t="s">
        <v>1640</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6" t="s">
        <v>1635</v>
      </c>
      <c r="E3" s="1046" t="s">
        <v>1641</v>
      </c>
      <c r="F3" s="1046" t="s">
        <v>1635</v>
      </c>
      <c r="G3" s="1046" t="s">
        <v>1636</v>
      </c>
      <c r="H3" s="1046" t="s">
        <v>1635</v>
      </c>
      <c r="I3" s="1046" t="s">
        <v>1636</v>
      </c>
    </row>
    <row r="4" spans="1:9" ht="45">
      <c r="A4" s="1974" t="str">
        <f>项目基本情况!S2</f>
        <v>北京市昌平区沙河镇西沙屯南侧出让国有建设用地使用权及在建建筑物房地产</v>
      </c>
      <c r="B4" s="1046">
        <f>项目基本情况!C17</f>
        <v>222493</v>
      </c>
      <c r="C4" s="1046">
        <f>项目基本情况!C18</f>
        <v>53758.79</v>
      </c>
      <c r="D4" s="1046">
        <f ca="1">结果表!D118</f>
        <v>44649</v>
      </c>
      <c r="E4" s="1046">
        <f ca="1">结果表!E118</f>
        <v>2006</v>
      </c>
      <c r="F4" s="1046">
        <f ca="1">结果表!F118</f>
        <v>6554</v>
      </c>
      <c r="G4" s="1046">
        <f ca="1">结果表!G118</f>
        <v>295</v>
      </c>
      <c r="H4" s="1046">
        <f ca="1">结果表!H118</f>
        <v>51203</v>
      </c>
      <c r="I4" s="1046">
        <f ca="1">结果表!I118</f>
        <v>2301</v>
      </c>
    </row>
    <row r="5" spans="1:9" ht="30" customHeight="1">
      <c r="A5" s="2973" t="s">
        <v>1637</v>
      </c>
      <c r="B5" s="2973"/>
      <c r="C5" s="2973"/>
      <c r="D5" s="2974" t="str">
        <f ca="1">结果表!D119</f>
        <v>肆亿肆仟陆佰肆拾玖万元整</v>
      </c>
      <c r="E5" s="2974"/>
      <c r="F5" s="2974" t="str">
        <f ca="1">结果表!F119</f>
        <v>陆仟伍佰伍拾肆万元整</v>
      </c>
      <c r="G5" s="2974"/>
      <c r="H5" s="2974" t="str">
        <f ca="1">结果表!H119</f>
        <v>伍亿壹仟贰佰零叁万元整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1637</v>
      </c>
      <c r="B7" s="2973"/>
      <c r="C7" s="2973"/>
      <c r="D7" s="2976" t="str">
        <f>结果表!D121</f>
        <v>零元整</v>
      </c>
      <c r="E7" s="2977"/>
      <c r="F7" s="2977"/>
      <c r="G7" s="2977"/>
      <c r="H7" s="2977"/>
      <c r="I7" s="2978"/>
    </row>
    <row r="8" spans="1:9" ht="15.75">
      <c r="A8" s="2975" t="str">
        <f>结果表!A122</f>
        <v>房地产抵押价值</v>
      </c>
      <c r="B8" s="2975"/>
      <c r="C8" s="2975"/>
      <c r="D8" s="2975">
        <f ca="1">结果表!D122</f>
        <v>51203</v>
      </c>
      <c r="E8" s="2975"/>
      <c r="F8" s="2975"/>
      <c r="G8" s="2975"/>
      <c r="H8" s="2975"/>
      <c r="I8" s="2975"/>
    </row>
    <row r="9" spans="1:9" ht="15">
      <c r="A9" s="2973" t="s">
        <v>1637</v>
      </c>
      <c r="B9" s="2973"/>
      <c r="C9" s="2973"/>
      <c r="D9" s="2974" t="str">
        <f ca="1">结果表!D123</f>
        <v>伍亿壹仟贰佰零叁万元整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1637</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1637</v>
      </c>
      <c r="B13" s="2979"/>
      <c r="C13" s="2979"/>
      <c r="D13" s="2980" t="e">
        <f>结果表!D127</f>
        <v>#VALUE!</v>
      </c>
      <c r="E13" s="2980"/>
      <c r="F13" s="2980"/>
      <c r="G13" s="2980"/>
      <c r="H13" s="2980"/>
      <c r="I13" s="2980"/>
    </row>
    <row r="14" spans="1:9" ht="15" thickTop="1">
      <c r="A14" s="2981" t="s">
        <v>1642</v>
      </c>
      <c r="B14" s="2981"/>
      <c r="C14" s="2981"/>
      <c r="D14" s="2981"/>
      <c r="E14" s="2981"/>
      <c r="F14" s="2981"/>
      <c r="G14" s="2981"/>
      <c r="H14" s="2981"/>
      <c r="I14" s="2981"/>
    </row>
    <row r="16" spans="1:9" ht="18.75">
      <c r="A16" s="1975" t="s">
        <v>1625</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813</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814</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2" t="s">
        <v>1659</v>
      </c>
      <c r="B1" s="2982"/>
      <c r="C1" s="2982"/>
      <c r="D1" s="2982"/>
    </row>
    <row r="2" spans="1:4" ht="18">
      <c r="A2" s="2983" t="s">
        <v>1643</v>
      </c>
      <c r="B2" s="2983"/>
      <c r="C2" s="2983"/>
      <c r="D2" s="2983"/>
    </row>
    <row r="3" spans="1:4" ht="18.75">
      <c r="A3" s="1978" t="s">
        <v>1644</v>
      </c>
      <c r="B3" s="1978" t="s">
        <v>1645</v>
      </c>
      <c r="C3" s="1978" t="s">
        <v>1646</v>
      </c>
      <c r="D3" s="1978" t="s">
        <v>1647</v>
      </c>
    </row>
    <row r="4" spans="1:4" ht="56.25" customHeight="1">
      <c r="A4" s="1979" t="str">
        <f>项目基本情况!B4</f>
        <v>王鹏</v>
      </c>
      <c r="B4" s="1980">
        <f ca="1">项目基本情况!C4</f>
        <v>1120050019</v>
      </c>
      <c r="C4" s="1981"/>
      <c r="D4" s="1982" t="s">
        <v>1648</v>
      </c>
    </row>
    <row r="5" spans="1:4" ht="56.25" customHeight="1">
      <c r="A5" s="1979" t="str">
        <f>项目基本情况!D4</f>
        <v>郑燚</v>
      </c>
      <c r="B5" s="1980">
        <f ca="1">项目基本情况!E4</f>
        <v>1120070131</v>
      </c>
      <c r="C5" s="1983"/>
      <c r="D5" s="1982" t="s">
        <v>1648</v>
      </c>
    </row>
    <row r="6" spans="1:4" ht="18">
      <c r="A6" s="2983" t="s">
        <v>1649</v>
      </c>
      <c r="B6" s="2983"/>
      <c r="C6" s="2983"/>
      <c r="D6" s="2983"/>
    </row>
    <row r="7" spans="1:4" ht="18.75">
      <c r="A7" s="1978" t="s">
        <v>1644</v>
      </c>
      <c r="B7" s="1980" t="s">
        <v>1650</v>
      </c>
      <c r="C7" s="1978" t="s">
        <v>1646</v>
      </c>
      <c r="D7" s="1978" t="s">
        <v>1647</v>
      </c>
    </row>
    <row r="8" spans="1:4" ht="56.25" customHeight="1">
      <c r="A8" s="1984" t="s">
        <v>868</v>
      </c>
      <c r="B8" s="1984" t="s">
        <v>1</v>
      </c>
      <c r="C8" s="1981"/>
      <c r="D8" s="1982" t="s">
        <v>1648</v>
      </c>
    </row>
    <row r="9" spans="1:4">
      <c r="A9" s="727"/>
      <c r="B9" s="727"/>
      <c r="C9" s="727"/>
      <c r="D9" s="727"/>
    </row>
    <row r="10" spans="1:4" ht="18.75">
      <c r="A10" s="1985" t="s">
        <v>1651</v>
      </c>
      <c r="B10" s="727"/>
      <c r="C10" s="727"/>
      <c r="D10" s="727"/>
    </row>
    <row r="11" spans="1:4" ht="30" customHeight="1">
      <c r="A11" s="2984" t="s">
        <v>1652</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（1）根据估价对象、《国有土地使用权》复印件，截至价值时点，估价对象抵押权未见登记。</v>
      </c>
      <c r="B15" s="2985"/>
      <c r="C15" s="2985"/>
      <c r="D15" s="2985"/>
    </row>
    <row r="16" spans="1:4" ht="30" customHeight="1">
      <c r="A16" s="2988" t="s">
        <v>1653</v>
      </c>
      <c r="B16" s="2988"/>
      <c r="C16" s="2988"/>
      <c r="D16" s="2988"/>
    </row>
    <row r="17" spans="1:4" ht="144" customHeight="1">
      <c r="A17" s="2988" t="s">
        <v>1654</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1655</v>
      </c>
      <c r="B22" s="2990"/>
      <c r="C22" s="2990"/>
      <c r="D22" s="2990"/>
    </row>
    <row r="23" spans="1:4">
      <c r="A23" s="1986"/>
      <c r="B23" s="1958"/>
      <c r="C23" s="1958"/>
      <c r="D23" s="1958"/>
    </row>
    <row r="24" spans="1:4">
      <c r="A24" s="1986"/>
      <c r="B24" s="1958"/>
      <c r="C24" s="1958"/>
      <c r="D24" s="1958"/>
    </row>
    <row r="25" spans="1:4" ht="18.75">
      <c r="A25" s="1987" t="s">
        <v>1656</v>
      </c>
    </row>
    <row r="26" spans="1:4" ht="18">
      <c r="A26" s="1956"/>
    </row>
    <row r="27" spans="1:4" ht="18.75">
      <c r="A27" s="1956" t="s">
        <v>1657</v>
      </c>
    </row>
    <row r="30" spans="1:4" ht="18.75">
      <c r="D30" s="1987" t="s">
        <v>1658</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869</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4" customWidth="1"/>
    <col min="2" max="16384" width="14.5" style="1976"/>
  </cols>
  <sheetData>
    <row r="1" spans="1:7" s="1991" customFormat="1" ht="18.75">
      <c r="A1" s="1990" t="s">
        <v>1660</v>
      </c>
    </row>
    <row r="3" spans="1:7">
      <c r="A3" s="1992" t="s">
        <v>82</v>
      </c>
      <c r="B3" s="1976" t="s">
        <v>1661</v>
      </c>
      <c r="G3" s="1993"/>
    </row>
    <row r="4" spans="1:7">
      <c r="G4" s="1993"/>
    </row>
    <row r="5" spans="1:7">
      <c r="A5" s="1995" t="s">
        <v>73</v>
      </c>
      <c r="B5" s="1976" t="s">
        <v>1662</v>
      </c>
      <c r="G5" s="1993"/>
    </row>
    <row r="6" spans="1:7">
      <c r="G6" s="1993"/>
    </row>
    <row r="7" spans="1:7">
      <c r="A7" s="1996" t="s">
        <v>135</v>
      </c>
      <c r="B7" s="1976" t="s">
        <v>1663</v>
      </c>
      <c r="G7" s="1993"/>
    </row>
    <row r="8" spans="1:7">
      <c r="G8" s="1993"/>
    </row>
    <row r="9" spans="1:7">
      <c r="A9" s="1997" t="s">
        <v>74</v>
      </c>
      <c r="B9" s="1976" t="s">
        <v>1664</v>
      </c>
    </row>
    <row r="11" spans="1:7">
      <c r="A11" s="1998" t="s">
        <v>75</v>
      </c>
      <c r="B11" s="1999" t="s">
        <v>72</v>
      </c>
    </row>
    <row r="13" spans="1:7">
      <c r="A13" s="2000" t="s">
        <v>1665</v>
      </c>
    </row>
    <row r="15" spans="1:7" ht="13.5">
      <c r="A15" s="2996" t="s">
        <v>1666</v>
      </c>
      <c r="B15" s="2991" t="s">
        <v>136</v>
      </c>
      <c r="C15" s="2992"/>
    </row>
    <row r="16" spans="1:7" ht="13.5">
      <c r="A16" s="2997"/>
      <c r="B16" s="2991" t="s">
        <v>69</v>
      </c>
      <c r="C16" s="2992"/>
    </row>
    <row r="17" spans="1:3" ht="13.5">
      <c r="A17" s="2997"/>
      <c r="B17" s="2994" t="s">
        <v>1667</v>
      </c>
      <c r="C17" s="2001" t="s">
        <v>1666</v>
      </c>
    </row>
    <row r="18" spans="1:3" ht="13.5">
      <c r="A18" s="2997"/>
      <c r="B18" s="2994"/>
      <c r="C18" s="2001" t="s">
        <v>1668</v>
      </c>
    </row>
    <row r="19" spans="1:3" ht="13.5">
      <c r="A19" s="2997"/>
      <c r="B19" s="2994"/>
      <c r="C19" s="2001" t="s">
        <v>1669</v>
      </c>
    </row>
    <row r="20" spans="1:3" ht="13.5">
      <c r="A20" s="2998"/>
      <c r="B20" s="2993" t="s">
        <v>1670</v>
      </c>
      <c r="C20" s="2992"/>
    </row>
    <row r="21" spans="1:3" ht="13.5">
      <c r="A21" s="2002" t="s">
        <v>1671</v>
      </c>
      <c r="B21" s="2003"/>
      <c r="C21" s="2004"/>
    </row>
    <row r="22" spans="1:3" ht="13.5">
      <c r="A22" s="2995" t="s">
        <v>1672</v>
      </c>
      <c r="B22" s="2993" t="s">
        <v>1673</v>
      </c>
      <c r="C22" s="2992"/>
    </row>
    <row r="23" spans="1:3" ht="13.5">
      <c r="A23" s="2995"/>
      <c r="B23" s="2993" t="s">
        <v>1674</v>
      </c>
      <c r="C23" s="2992"/>
    </row>
    <row r="24" spans="1:3" ht="13.5">
      <c r="A24" s="2995"/>
      <c r="B24" s="2993" t="s">
        <v>1675</v>
      </c>
      <c r="C24" s="2992"/>
    </row>
    <row r="25" spans="1:3" ht="13.5">
      <c r="A25" s="2995"/>
      <c r="B25" s="2994" t="s">
        <v>1676</v>
      </c>
      <c r="C25" s="2001" t="s">
        <v>1677</v>
      </c>
    </row>
    <row r="26" spans="1:3" ht="13.5">
      <c r="A26" s="2995"/>
      <c r="B26" s="2994"/>
      <c r="C26" s="2001" t="s">
        <v>1678</v>
      </c>
    </row>
    <row r="27" spans="1:3" ht="13.5">
      <c r="A27" s="2995"/>
      <c r="B27" s="2994"/>
      <c r="C27" s="2001" t="s">
        <v>1679</v>
      </c>
    </row>
    <row r="28" spans="1:3" ht="13.5">
      <c r="A28" s="2995"/>
      <c r="B28" s="2994"/>
      <c r="C28" s="2001" t="s">
        <v>1680</v>
      </c>
    </row>
    <row r="29" spans="1:3" ht="13.5">
      <c r="A29" s="2995"/>
      <c r="B29" s="2994"/>
      <c r="C29" s="2001" t="s">
        <v>1681</v>
      </c>
    </row>
    <row r="30" spans="1:3" ht="13.5">
      <c r="A30" s="2995"/>
      <c r="B30" s="2994"/>
      <c r="C30" s="2001" t="s">
        <v>1682</v>
      </c>
    </row>
    <row r="31" spans="1:3" ht="13.5">
      <c r="A31" s="2995"/>
      <c r="B31" s="2994"/>
      <c r="C31" s="2001" t="s">
        <v>1683</v>
      </c>
    </row>
    <row r="32" spans="1:3" ht="13.5">
      <c r="A32" s="2995"/>
      <c r="B32" s="2994"/>
      <c r="C32" s="2001" t="s">
        <v>1684</v>
      </c>
    </row>
    <row r="33" spans="1:3" ht="13.5">
      <c r="A33" s="2995"/>
      <c r="B33" s="2994"/>
      <c r="C33" s="2001" t="s">
        <v>1685</v>
      </c>
    </row>
    <row r="34" spans="1:3">
      <c r="A34" s="2005" t="s">
        <v>76</v>
      </c>
    </row>
    <row r="37" spans="1:3">
      <c r="A37" s="2005" t="s">
        <v>1686</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43116</v>
      </c>
      <c r="C2" s="1021" t="s">
        <v>825</v>
      </c>
      <c r="D2" s="1021"/>
    </row>
    <row r="3" spans="1:6" ht="24" customHeight="1">
      <c r="A3" s="1022" t="s">
        <v>826</v>
      </c>
      <c r="B3" s="1023" t="s">
        <v>827</v>
      </c>
      <c r="C3" s="2344" t="s">
        <v>828</v>
      </c>
      <c r="D3" s="2347" t="s">
        <v>829</v>
      </c>
      <c r="E3" s="1024" t="s">
        <v>830</v>
      </c>
      <c r="F3" s="1023" t="s">
        <v>828</v>
      </c>
    </row>
    <row r="4" spans="1:6" ht="24" customHeight="1">
      <c r="A4" s="1703" t="s">
        <v>831</v>
      </c>
      <c r="B4" s="1024">
        <f ca="1">IF(C4&lt;B2,"已过期",1119970066)</f>
        <v>1119970066</v>
      </c>
      <c r="C4" s="2345">
        <v>43849</v>
      </c>
      <c r="D4" s="2348" t="s">
        <v>831</v>
      </c>
      <c r="E4" s="1024">
        <f ca="1">IF(F4&lt;B2,"已过期",96010014)</f>
        <v>96010014</v>
      </c>
      <c r="F4" s="1032">
        <v>47118</v>
      </c>
    </row>
    <row r="5" spans="1:6" ht="24" customHeight="1">
      <c r="A5" s="1703" t="s">
        <v>832</v>
      </c>
      <c r="B5" s="1024">
        <f ca="1">IF(C5&lt;B2,"已过期",1119970074)</f>
        <v>1119970074</v>
      </c>
      <c r="C5" s="2345">
        <v>43849</v>
      </c>
      <c r="D5" s="2348" t="s">
        <v>832</v>
      </c>
      <c r="E5" s="1024">
        <f ca="1">IF(F5&lt;B2,"已过期",2002110027)</f>
        <v>2002110027</v>
      </c>
      <c r="F5" s="1032">
        <v>46752</v>
      </c>
    </row>
    <row r="6" spans="1:6" ht="24" customHeight="1">
      <c r="A6" s="1703" t="s">
        <v>833</v>
      </c>
      <c r="B6" s="1024">
        <f ca="1">IF(C6&lt;B2,"已过期",1119970111)</f>
        <v>1119970111</v>
      </c>
      <c r="C6" s="2345">
        <v>43849</v>
      </c>
      <c r="D6" s="2348" t="s">
        <v>833</v>
      </c>
      <c r="E6" s="1024">
        <f ca="1">IF(F6&lt;B2,"已过期",94010078)</f>
        <v>94010078</v>
      </c>
      <c r="F6" s="1032">
        <v>46387</v>
      </c>
    </row>
    <row r="7" spans="1:6" ht="24" customHeight="1">
      <c r="A7" s="1703" t="s">
        <v>834</v>
      </c>
      <c r="B7" s="1024">
        <f ca="1">IF(C7&lt;B2,"已过期",1120050019)</f>
        <v>1120050019</v>
      </c>
      <c r="C7" s="2345">
        <v>43359</v>
      </c>
      <c r="D7" s="2348" t="s">
        <v>834</v>
      </c>
      <c r="E7" s="1024">
        <f ca="1">IF(F7&lt;B2,"已过期",2002110030)</f>
        <v>2002110030</v>
      </c>
      <c r="F7" s="1032">
        <v>46387</v>
      </c>
    </row>
    <row r="8" spans="1:6" ht="24" customHeight="1">
      <c r="A8" s="1703" t="s">
        <v>835</v>
      </c>
      <c r="B8" s="1024">
        <f ca="1">IF(C8&lt;B2,"已过期",1120000080)</f>
        <v>1120000080</v>
      </c>
      <c r="C8" s="2345">
        <v>43849</v>
      </c>
      <c r="D8" s="2348" t="s">
        <v>835</v>
      </c>
      <c r="E8" s="1024">
        <f ca="1">IF(F8&lt;B2,"已过期",2000110082)</f>
        <v>2000110082</v>
      </c>
      <c r="F8" s="1032">
        <v>46387</v>
      </c>
    </row>
    <row r="9" spans="1:6" ht="24" customHeight="1">
      <c r="A9" s="1703" t="s">
        <v>836</v>
      </c>
      <c r="B9" s="1024">
        <f ca="1">IF(C9&lt;B2,"已过期",1419970001)</f>
        <v>1419970001</v>
      </c>
      <c r="C9" s="2345">
        <v>43867</v>
      </c>
      <c r="D9" s="2348" t="s">
        <v>836</v>
      </c>
      <c r="E9" s="1024">
        <f ca="1">IF(F9&lt;B2,"已过期",2002110125)</f>
        <v>2002110125</v>
      </c>
      <c r="F9" s="1032">
        <v>47118</v>
      </c>
    </row>
    <row r="10" spans="1:6" ht="24" customHeight="1">
      <c r="A10" s="1703" t="s">
        <v>837</v>
      </c>
      <c r="B10" s="1024">
        <f ca="1">IF(C10&lt;B2,"已过期",1120060040)</f>
        <v>1120060040</v>
      </c>
      <c r="C10" s="2345">
        <v>43483</v>
      </c>
      <c r="D10" s="2348" t="s">
        <v>837</v>
      </c>
      <c r="E10" s="1024">
        <f ca="1">IF(F10&lt;B2,"已过期",2004110096)</f>
        <v>2004110096</v>
      </c>
      <c r="F10" s="1032">
        <v>47118</v>
      </c>
    </row>
    <row r="11" spans="1:6" ht="24" customHeight="1">
      <c r="A11" s="1703" t="s">
        <v>838</v>
      </c>
      <c r="B11" s="1024">
        <f ca="1">IF(C11&lt;B2,"已过期",1120100036)</f>
        <v>1120100036</v>
      </c>
      <c r="C11" s="2345">
        <v>43622</v>
      </c>
      <c r="D11" s="2348" t="s">
        <v>838</v>
      </c>
      <c r="E11" s="1024">
        <f ca="1">IF(F11&lt;B2,"已过期",2010110070)</f>
        <v>2010110070</v>
      </c>
      <c r="F11" s="1032">
        <v>47907</v>
      </c>
    </row>
    <row r="12" spans="1:6" ht="24" customHeight="1">
      <c r="A12" s="1703"/>
      <c r="B12" s="1024"/>
      <c r="C12" s="2345"/>
      <c r="D12" s="2348"/>
      <c r="E12" s="1024"/>
      <c r="F12" s="1024"/>
    </row>
    <row r="13" spans="1:6" ht="24" customHeight="1">
      <c r="A13" s="1703" t="s">
        <v>839</v>
      </c>
      <c r="B13" s="1024">
        <f ca="1">IF(C13&lt;B2,"已过期",1120070131)</f>
        <v>1120070131</v>
      </c>
      <c r="C13" s="2345">
        <v>43814</v>
      </c>
      <c r="D13" s="2348" t="s">
        <v>839</v>
      </c>
      <c r="E13" s="1024">
        <v>2014110011</v>
      </c>
      <c r="F13" s="1032">
        <v>49302</v>
      </c>
    </row>
    <row r="14" spans="1:6" ht="24" customHeight="1">
      <c r="A14" s="1703" t="s">
        <v>840</v>
      </c>
      <c r="B14" s="1024">
        <f ca="1">IF(C14&lt;B2,"已过期",1120130020)</f>
        <v>1120130020</v>
      </c>
      <c r="C14" s="2345">
        <v>43622</v>
      </c>
      <c r="D14" s="2348"/>
      <c r="E14" s="1024"/>
      <c r="F14" s="1024"/>
    </row>
    <row r="15" spans="1:6" ht="24" customHeight="1">
      <c r="A15" s="1704" t="s">
        <v>1145</v>
      </c>
      <c r="B15" s="1024">
        <v>1120070085</v>
      </c>
      <c r="C15" s="2345">
        <v>43814</v>
      </c>
      <c r="D15" s="2349" t="s">
        <v>1145</v>
      </c>
      <c r="E15" s="1024">
        <v>2004110128</v>
      </c>
      <c r="F15" s="1025">
        <v>47118</v>
      </c>
    </row>
    <row r="16" spans="1:6" ht="24" customHeight="1">
      <c r="A16" s="1703" t="s">
        <v>841</v>
      </c>
      <c r="B16" s="1024">
        <f ca="1">IF(C16&lt;B2,"已过期",1120140022)</f>
        <v>1120140022</v>
      </c>
      <c r="C16" s="2345">
        <v>44029</v>
      </c>
      <c r="D16" s="2348" t="s">
        <v>841</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842</v>
      </c>
      <c r="E21" s="1024">
        <f ca="1">IF(F21&lt;B2,"已过期",2011110090)</f>
        <v>2011110090</v>
      </c>
      <c r="F21" s="1032">
        <v>48302</v>
      </c>
    </row>
    <row r="22" spans="1:7" ht="24" customHeight="1">
      <c r="A22" s="1703" t="s">
        <v>843</v>
      </c>
      <c r="B22" s="1024">
        <f ca="1">IF(C22&lt;B2,"已过期",1120020033)</f>
        <v>1120020033</v>
      </c>
      <c r="C22" s="2345">
        <v>43304</v>
      </c>
      <c r="D22" s="2348" t="s">
        <v>843</v>
      </c>
      <c r="E22" s="1024">
        <f ca="1">IF(F22&lt;B2,"已过期",2000110137)</f>
        <v>2000110137</v>
      </c>
      <c r="F22" s="1032">
        <v>46387</v>
      </c>
    </row>
    <row r="23" spans="1:7" ht="24" customHeight="1">
      <c r="A23" s="1703" t="s">
        <v>844</v>
      </c>
      <c r="B23" s="1024">
        <f ca="1">IF(C23&lt;B2,"已过期",1120130048)</f>
        <v>1120130048</v>
      </c>
      <c r="C23" s="2345">
        <v>43686</v>
      </c>
      <c r="D23" s="2348"/>
      <c r="E23" s="1024"/>
      <c r="F23" s="1024"/>
    </row>
    <row r="24" spans="1:7" s="1026" customFormat="1" ht="24" customHeight="1">
      <c r="A24" s="1704" t="s">
        <v>1329</v>
      </c>
      <c r="B24" s="1704" t="s">
        <v>1329</v>
      </c>
      <c r="C24" s="2346" t="s">
        <v>1329</v>
      </c>
      <c r="D24" s="2349" t="s">
        <v>1329</v>
      </c>
      <c r="E24" s="1704" t="s">
        <v>1329</v>
      </c>
      <c r="F24" s="1704" t="s">
        <v>1329</v>
      </c>
    </row>
    <row r="25" spans="1:7" ht="24" customHeight="1">
      <c r="A25" s="2999" t="s">
        <v>845</v>
      </c>
      <c r="B25" s="2999"/>
      <c r="C25" s="2999"/>
      <c r="D25" s="2999"/>
      <c r="E25" s="2999"/>
      <c r="F25" s="2999"/>
      <c r="G25" s="2999"/>
    </row>
    <row r="26" spans="1:7" s="1027" customFormat="1" ht="24" customHeight="1">
      <c r="A26" s="3000" t="s">
        <v>846</v>
      </c>
      <c r="B26" s="3000"/>
      <c r="C26" s="3001"/>
      <c r="D26" s="3002" t="s">
        <v>847</v>
      </c>
      <c r="E26" s="3000"/>
      <c r="F26" s="3000"/>
    </row>
    <row r="27" spans="1:7" s="1029" customFormat="1" ht="24" customHeight="1">
      <c r="A27" s="1028" t="s">
        <v>848</v>
      </c>
      <c r="B27" s="1023" t="s">
        <v>849</v>
      </c>
      <c r="C27" s="2344" t="s">
        <v>850</v>
      </c>
      <c r="D27" s="2352" t="s">
        <v>848</v>
      </c>
      <c r="E27" s="1023" t="s">
        <v>849</v>
      </c>
      <c r="F27" s="1023" t="s">
        <v>850</v>
      </c>
    </row>
    <row r="28" spans="1:7" s="1029" customFormat="1" ht="24" customHeight="1">
      <c r="A28" s="1030" t="s">
        <v>851</v>
      </c>
      <c r="B28" s="1031" t="s">
        <v>852</v>
      </c>
      <c r="C28" s="2350">
        <v>43725</v>
      </c>
      <c r="D28" s="2353" t="s">
        <v>853</v>
      </c>
      <c r="E28" s="1030" t="s">
        <v>854</v>
      </c>
      <c r="F28" s="1060">
        <v>44377</v>
      </c>
    </row>
    <row r="29" spans="1:7" s="1029" customFormat="1" ht="24" customHeight="1">
      <c r="A29" s="1030"/>
      <c r="B29" s="1030"/>
      <c r="C29" s="2351"/>
      <c r="D29" s="2353"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6" priority="55">
      <formula>AND($C28-TODAY()&lt;30,TODAY()&lt;$C28)</formula>
    </cfRule>
  </conditionalFormatting>
  <conditionalFormatting sqref="C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F28">
    <cfRule type="expression" dxfId="180" priority="12">
      <formula>AND($E28-TODAY()&lt;30,TODAY()&lt;$E28)</formula>
    </cfRule>
  </conditionalFormatting>
  <conditionalFormatting sqref="F28">
    <cfRule type="cellIs" dxfId="179" priority="13" stopIfTrue="1" operator="lessThan">
      <formula>$B$2</formula>
    </cfRule>
  </conditionalFormatting>
  <conditionalFormatting sqref="F29">
    <cfRule type="expression" dxfId="178" priority="8" stopIfTrue="1">
      <formula>AND($E29-TODAY()&lt;30,TODAY()&lt;$E29)</formula>
    </cfRule>
  </conditionalFormatting>
  <conditionalFormatting sqref="F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141</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基准地价修正-居住</vt:lpstr>
      <vt:lpstr>基准地价修正-商业</vt:lpstr>
      <vt:lpstr>基准地价修正-办公</vt:lpstr>
      <vt:lpstr>假设开发法</vt:lpstr>
      <vt:lpstr>土地比较法-住宅、综合</vt:lpstr>
      <vt:lpstr>收益法-公租房</vt:lpstr>
      <vt:lpstr>收益法-商业</vt:lpstr>
      <vt:lpstr>收益法-办公</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'收益法-办公'!Print_Area</vt:lpstr>
      <vt:lpstr>'收益法-地下车库'!Print_Area</vt:lpstr>
      <vt:lpstr>'收益法-公租房'!Print_Area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2018-01-16T09:57:02Z</dcterms:modified>
</cp:coreProperties>
</file>